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esktop\SED\"/>
    </mc:Choice>
  </mc:AlternateContent>
  <xr:revisionPtr revIDLastSave="0" documentId="8_{5131EA69-241E-499C-AAE5-A2B8A0E44C0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2021 PTR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</calcChain>
</file>

<file path=xl/sharedStrings.xml><?xml version="1.0" encoding="utf-8"?>
<sst xmlns="http://schemas.openxmlformats.org/spreadsheetml/2006/main" count="712" uniqueCount="701">
  <si>
    <t>ALBANY CITY SD</t>
  </si>
  <si>
    <t>BERNE-KNOX-WES</t>
  </si>
  <si>
    <t xml:space="preserve">BETHLEHEM CSD </t>
  </si>
  <si>
    <t>RAVENA-COEYMAN</t>
  </si>
  <si>
    <t>COHOES CITY SD</t>
  </si>
  <si>
    <t xml:space="preserve">SOUTH COLONIE </t>
  </si>
  <si>
    <t xml:space="preserve">MENANDS UFSD  </t>
  </si>
  <si>
    <t xml:space="preserve">NORTH COLONIE </t>
  </si>
  <si>
    <t>GREEN ISLAND U</t>
  </si>
  <si>
    <t>GUILDERLAND CS</t>
  </si>
  <si>
    <t xml:space="preserve">VOORHEESVILLE </t>
  </si>
  <si>
    <t>WATERVLIET CIT</t>
  </si>
  <si>
    <t xml:space="preserve">ALFRED-ALMOND </t>
  </si>
  <si>
    <t xml:space="preserve">ANDOVER CSD   </t>
  </si>
  <si>
    <t>GENESEE VALLEY</t>
  </si>
  <si>
    <t xml:space="preserve">BELFAST CSD   </t>
  </si>
  <si>
    <t>CANASERAGA CSD</t>
  </si>
  <si>
    <t>FRIENDSHIP CSD</t>
  </si>
  <si>
    <t xml:space="preserve">FILLMORE CSD  </t>
  </si>
  <si>
    <t>WHITESVILLE CS</t>
  </si>
  <si>
    <t xml:space="preserve">CUBA-RUSHFORD </t>
  </si>
  <si>
    <t xml:space="preserve">SCIO CSD      </t>
  </si>
  <si>
    <t>WELLSVILLE CSD</t>
  </si>
  <si>
    <t>BOLIVAR-RICHBU</t>
  </si>
  <si>
    <t>CHENANGO FORKS</t>
  </si>
  <si>
    <t>BINGHAMTON CIT</t>
  </si>
  <si>
    <t>HARPURSVILLE C</t>
  </si>
  <si>
    <t>SUSQUEHANNA VA</t>
  </si>
  <si>
    <t>CHENANGO VALLE</t>
  </si>
  <si>
    <t xml:space="preserve">MAINE-ENDWELL </t>
  </si>
  <si>
    <t xml:space="preserve">DEPOSIT CSD   </t>
  </si>
  <si>
    <t xml:space="preserve">WHITNEY POINT </t>
  </si>
  <si>
    <t>UNION-ENDICOTT</t>
  </si>
  <si>
    <t>JOHNSON CITY C</t>
  </si>
  <si>
    <t xml:space="preserve">VESTAL CSD    </t>
  </si>
  <si>
    <t xml:space="preserve">WINDSOR CSD   </t>
  </si>
  <si>
    <t>WEST VALLEY CS</t>
  </si>
  <si>
    <t>ALLEGANY-LIMES</t>
  </si>
  <si>
    <t xml:space="preserve">ELLICOTTVILLE </t>
  </si>
  <si>
    <t xml:space="preserve">FRANKLINVILLE </t>
  </si>
  <si>
    <t xml:space="preserve">HINSDALE CSD  </t>
  </si>
  <si>
    <t>CATTARAUGUS-LI</t>
  </si>
  <si>
    <t xml:space="preserve">OLEAN CITY SD </t>
  </si>
  <si>
    <t xml:space="preserve">GOWANDA CSD   </t>
  </si>
  <si>
    <t xml:space="preserve">PORTVILLE CSD </t>
  </si>
  <si>
    <t xml:space="preserve">RANDOLPH CSD  </t>
  </si>
  <si>
    <t>SALAMANCA CITY</t>
  </si>
  <si>
    <t>YORKSHIRE-PION</t>
  </si>
  <si>
    <t>AUBURN CITY SD</t>
  </si>
  <si>
    <t xml:space="preserve">WEEDSPORT CSD </t>
  </si>
  <si>
    <t xml:space="preserve">CATO-MERIDIAN </t>
  </si>
  <si>
    <t>SOUTHERN CAYUG</t>
  </si>
  <si>
    <t>PORT BYRON CSD</t>
  </si>
  <si>
    <t xml:space="preserve">MORAVIA CSD   </t>
  </si>
  <si>
    <t xml:space="preserve">UNION SPRINGS </t>
  </si>
  <si>
    <t>SOUTHWESTERN C</t>
  </si>
  <si>
    <t xml:space="preserve">FREWSBURG CSD </t>
  </si>
  <si>
    <t>CASSADAGA VALL</t>
  </si>
  <si>
    <t>CHAUTAUQUA LAK</t>
  </si>
  <si>
    <t>PINE VALLEY CS</t>
  </si>
  <si>
    <t xml:space="preserve">CLYMER CSD    </t>
  </si>
  <si>
    <t>DUNKIRK CITY S</t>
  </si>
  <si>
    <t>BEMUS POINT CS</t>
  </si>
  <si>
    <t xml:space="preserve">FALCONER CSD  </t>
  </si>
  <si>
    <t>SILVER CREEK C</t>
  </si>
  <si>
    <t>FORESTVILLE CS</t>
  </si>
  <si>
    <t xml:space="preserve">PANAMA CSD    </t>
  </si>
  <si>
    <t>JAMESTOWN CITY</t>
  </si>
  <si>
    <t xml:space="preserve">FREDONIA CSD  </t>
  </si>
  <si>
    <t xml:space="preserve">BROCTON CSD   </t>
  </si>
  <si>
    <t xml:space="preserve">RIPLEY CSD    </t>
  </si>
  <si>
    <t xml:space="preserve">SHERMAN CSD   </t>
  </si>
  <si>
    <t xml:space="preserve">WESTFIELD CSD </t>
  </si>
  <si>
    <t>ELMIRA CITY SD</t>
  </si>
  <si>
    <t>HORSEHEADS CSD</t>
  </si>
  <si>
    <t>ELMIRA HEIGHTS</t>
  </si>
  <si>
    <t xml:space="preserve">AFTON CSD     </t>
  </si>
  <si>
    <t>BAINBRIDGE-GUI</t>
  </si>
  <si>
    <t xml:space="preserve">GREENE CSD    </t>
  </si>
  <si>
    <t>UNADILLA VALLE</t>
  </si>
  <si>
    <t>NORWICH CITY S</t>
  </si>
  <si>
    <t>GEORGETOWN-SOU</t>
  </si>
  <si>
    <t>OXFORD ACADEMY</t>
  </si>
  <si>
    <t>SHERBURNE-EARL</t>
  </si>
  <si>
    <t>AUSABLE VALLEY</t>
  </si>
  <si>
    <t>BEEKMANTOWN CS</t>
  </si>
  <si>
    <t>NORTHEASTERN C</t>
  </si>
  <si>
    <t xml:space="preserve">CHAZY UFSD    </t>
  </si>
  <si>
    <t>NORTHERN ADIRO</t>
  </si>
  <si>
    <t xml:space="preserve">PERU CSD      </t>
  </si>
  <si>
    <t>PLATTSBURGH CI</t>
  </si>
  <si>
    <t xml:space="preserve">SARANAC CSD   </t>
  </si>
  <si>
    <t xml:space="preserve">TACONIC HILLS </t>
  </si>
  <si>
    <t>GERMANTOWN CSD</t>
  </si>
  <si>
    <t xml:space="preserve">CHATHAM CSD   </t>
  </si>
  <si>
    <t>HUDSON CITY SD</t>
  </si>
  <si>
    <t>KINDERHOOK CSD</t>
  </si>
  <si>
    <t>NEW LEBANON CS</t>
  </si>
  <si>
    <t xml:space="preserve"> </t>
  </si>
  <si>
    <t>CINCINNATUS CS</t>
  </si>
  <si>
    <t xml:space="preserve">CORTLAND CITY </t>
  </si>
  <si>
    <t xml:space="preserve">MCGRAW CSD    </t>
  </si>
  <si>
    <t xml:space="preserve">HOMER CSD     </t>
  </si>
  <si>
    <t xml:space="preserve">MARATHON CSD  </t>
  </si>
  <si>
    <t xml:space="preserve">ANDES CSD     </t>
  </si>
  <si>
    <t>DOWNSVILLE CSD</t>
  </si>
  <si>
    <t>CHARLOTTE VALL</t>
  </si>
  <si>
    <t>DELAWARE ACADE</t>
  </si>
  <si>
    <t xml:space="preserve">FRANKLIN CSD  </t>
  </si>
  <si>
    <t xml:space="preserve">HANCOCK CSD   </t>
  </si>
  <si>
    <t xml:space="preserve">MARGARETVILLE </t>
  </si>
  <si>
    <t xml:space="preserve">ROXBURY CSD   </t>
  </si>
  <si>
    <t xml:space="preserve">SIDNEY CSD    </t>
  </si>
  <si>
    <t xml:space="preserve">STAMFORD CSD  </t>
  </si>
  <si>
    <t>SOUTH KORTRIGH</t>
  </si>
  <si>
    <t xml:space="preserve">WALTON CSD    </t>
  </si>
  <si>
    <t>BEACON CITY SD</t>
  </si>
  <si>
    <t xml:space="preserve">DOVER UFSD    </t>
  </si>
  <si>
    <t xml:space="preserve">HYDE PARK CSD </t>
  </si>
  <si>
    <t xml:space="preserve">NORTHEAST CSD </t>
  </si>
  <si>
    <t xml:space="preserve">PAWLING CSD   </t>
  </si>
  <si>
    <t>PINE PLAINS CS</t>
  </si>
  <si>
    <t>POUGHKEEPSIE C</t>
  </si>
  <si>
    <t xml:space="preserve">ARLINGTON CSD </t>
  </si>
  <si>
    <t>SPACKENKILL UF</t>
  </si>
  <si>
    <t xml:space="preserve">RED HOOK CSD  </t>
  </si>
  <si>
    <t xml:space="preserve">RHINEBECK CSD </t>
  </si>
  <si>
    <t>WAPPINGERS CSD</t>
  </si>
  <si>
    <t xml:space="preserve">MILLBROOK CSD </t>
  </si>
  <si>
    <t xml:space="preserve">ALDEN CSD     </t>
  </si>
  <si>
    <t xml:space="preserve">AMHERST CSD   </t>
  </si>
  <si>
    <t xml:space="preserve">WILLIAMSVILLE </t>
  </si>
  <si>
    <t>SWEET HOME CSD</t>
  </si>
  <si>
    <t>EAST AURORA UF</t>
  </si>
  <si>
    <t>CHEEKTOWAGA CS</t>
  </si>
  <si>
    <t>CHEEKTOWAGA-MA</t>
  </si>
  <si>
    <t>CLEVELAND HILL</t>
  </si>
  <si>
    <t xml:space="preserve">DEPEW UFSD    </t>
  </si>
  <si>
    <t>CHEEKTOWAGA-SL</t>
  </si>
  <si>
    <t xml:space="preserve">CLARENCE CSD  </t>
  </si>
  <si>
    <t>SPRINGVILLE-GR</t>
  </si>
  <si>
    <t xml:space="preserve">EDEN CSD      </t>
  </si>
  <si>
    <t xml:space="preserve">IROQUOIS CSD  </t>
  </si>
  <si>
    <t>EVANS-BRANT CS</t>
  </si>
  <si>
    <t>GRAND ISLAND C</t>
  </si>
  <si>
    <t xml:space="preserve">HAMBURG CSD   </t>
  </si>
  <si>
    <t xml:space="preserve">FRONTIER CSD  </t>
  </si>
  <si>
    <t xml:space="preserve">HOLLAND CSD   </t>
  </si>
  <si>
    <t>LACKAWANNA CIT</t>
  </si>
  <si>
    <t xml:space="preserve">LANCASTER CSD </t>
  </si>
  <si>
    <t xml:space="preserve">AKRON CSD     </t>
  </si>
  <si>
    <t xml:space="preserve">NORTH COLLINS </t>
  </si>
  <si>
    <t>ORCHARD PARK C</t>
  </si>
  <si>
    <t>TONAWANDA CITY</t>
  </si>
  <si>
    <t>KENMORE-TONAWA</t>
  </si>
  <si>
    <t>WEST SENECA CS</t>
  </si>
  <si>
    <t>CROWN POINT CS</t>
  </si>
  <si>
    <t xml:space="preserve">KEENE CSD     </t>
  </si>
  <si>
    <t xml:space="preserve">MINERVA CSD   </t>
  </si>
  <si>
    <t xml:space="preserve">MORIAH CSD    </t>
  </si>
  <si>
    <t xml:space="preserve">NEWCOMB CSD   </t>
  </si>
  <si>
    <t>LAKE PLACID CS</t>
  </si>
  <si>
    <t>SCHROON LAKE C</t>
  </si>
  <si>
    <t>TICONDEROGA CS</t>
  </si>
  <si>
    <t xml:space="preserve">WILLSBORO CSD </t>
  </si>
  <si>
    <t xml:space="preserve">BOQUET VALLEY </t>
  </si>
  <si>
    <t>TUPPER LAKE CS</t>
  </si>
  <si>
    <t>CHATEAUGAY CSD</t>
  </si>
  <si>
    <t>SALMON RIVER C</t>
  </si>
  <si>
    <t>SARANAC LAKE C</t>
  </si>
  <si>
    <t xml:space="preserve">MALONE CSD    </t>
  </si>
  <si>
    <t>BRUSHTON-MOIRA</t>
  </si>
  <si>
    <t>ST REGIS FALLS</t>
  </si>
  <si>
    <t>WHEELERVILLE U</t>
  </si>
  <si>
    <t>GLOVERSVILLE C</t>
  </si>
  <si>
    <t>JOHNSTOWN CITY</t>
  </si>
  <si>
    <t xml:space="preserve">MAYFIELD CSD  </t>
  </si>
  <si>
    <t>NORTHVILLE CSD</t>
  </si>
  <si>
    <t>BROADALBIN-PER</t>
  </si>
  <si>
    <t xml:space="preserve">ALEXANDER CSD </t>
  </si>
  <si>
    <t>BATAVIA CITY S</t>
  </si>
  <si>
    <t>BYRON-BERGEN C</t>
  </si>
  <si>
    <t xml:space="preserve">ELBA CSD      </t>
  </si>
  <si>
    <t xml:space="preserve">LE ROY CSD    </t>
  </si>
  <si>
    <t>OAKFIELD-ALABA</t>
  </si>
  <si>
    <t xml:space="preserve">PAVILION CSD  </t>
  </si>
  <si>
    <t xml:space="preserve">PEMBROKE CSD  </t>
  </si>
  <si>
    <t>CAIRO-DURHAM C</t>
  </si>
  <si>
    <t xml:space="preserve">CATSKILL CSD  </t>
  </si>
  <si>
    <t>COXSACKIE-ATHE</t>
  </si>
  <si>
    <t>GREENVILLE CSD</t>
  </si>
  <si>
    <t>HUNTER-TANNERS</t>
  </si>
  <si>
    <t>WINDHAM-ASHLAN</t>
  </si>
  <si>
    <t>INDIAN LAKE CS</t>
  </si>
  <si>
    <t xml:space="preserve">LAKE PLEASANT </t>
  </si>
  <si>
    <t xml:space="preserve">LONG LAKE CSD </t>
  </si>
  <si>
    <t xml:space="preserve">WELLS CSD     </t>
  </si>
  <si>
    <t>WEST CANADA VA</t>
  </si>
  <si>
    <t>FRANKFORT-SCHU</t>
  </si>
  <si>
    <t xml:space="preserve">HERKIMER CSD  </t>
  </si>
  <si>
    <t>LITTLE FALLS C</t>
  </si>
  <si>
    <t>DOLGEVILLE CSD</t>
  </si>
  <si>
    <t xml:space="preserve">POLAND CSD    </t>
  </si>
  <si>
    <t>VAN HORNESVILL</t>
  </si>
  <si>
    <t>TOWN OF WEBB U</t>
  </si>
  <si>
    <t xml:space="preserve">MOUNT MARKHAM </t>
  </si>
  <si>
    <t>CENTRAL VALLEY</t>
  </si>
  <si>
    <t>SOUTH JEFFERSO</t>
  </si>
  <si>
    <t>ALEXANDRIA CSD</t>
  </si>
  <si>
    <t>INDIAN RIVER C</t>
  </si>
  <si>
    <t xml:space="preserve">GENERAL BROWN </t>
  </si>
  <si>
    <t>THOUSAND ISLAN</t>
  </si>
  <si>
    <t>BELLEVILLE-HEN</t>
  </si>
  <si>
    <t>SACKETS HARBOR</t>
  </si>
  <si>
    <t xml:space="preserve">LYME CSD      </t>
  </si>
  <si>
    <t xml:space="preserve">LA FARGEVILLE </t>
  </si>
  <si>
    <t>WATERTOWN CITY</t>
  </si>
  <si>
    <t xml:space="preserve">CARTHAGE CSD  </t>
  </si>
  <si>
    <t>COPENHAGEN CSD</t>
  </si>
  <si>
    <t>HARRISVILLE CS</t>
  </si>
  <si>
    <t>LOWVILLE ACADE</t>
  </si>
  <si>
    <t>SOUTH LEWIS CS</t>
  </si>
  <si>
    <t>BEAVER RIVER C</t>
  </si>
  <si>
    <t xml:space="preserve">AVON CSD      </t>
  </si>
  <si>
    <t>CALEDONIA-MUMF</t>
  </si>
  <si>
    <t xml:space="preserve">GENESEO CSD   </t>
  </si>
  <si>
    <t xml:space="preserve">LIVONIA CSD   </t>
  </si>
  <si>
    <t xml:space="preserve">MT MORRIS CSD </t>
  </si>
  <si>
    <t xml:space="preserve">DANSVILLE CSD </t>
  </si>
  <si>
    <t>DALTON-NUNDA C</t>
  </si>
  <si>
    <t xml:space="preserve">YORK CSD      </t>
  </si>
  <si>
    <t>BROOKFIELD CSD</t>
  </si>
  <si>
    <t xml:space="preserve">CAZENOVIA CSD </t>
  </si>
  <si>
    <t xml:space="preserve">DERUYTER CSD  </t>
  </si>
  <si>
    <t>MORRISVILLE-EA</t>
  </si>
  <si>
    <t xml:space="preserve">HAMILTON CSD  </t>
  </si>
  <si>
    <t xml:space="preserve">CANASTOTA CSD </t>
  </si>
  <si>
    <t xml:space="preserve">MADISON CSD   </t>
  </si>
  <si>
    <t>ONEIDA CITY SD</t>
  </si>
  <si>
    <t>STOCKBRIDGE VA</t>
  </si>
  <si>
    <t>CHITTENANGO CS</t>
  </si>
  <si>
    <t xml:space="preserve">BRIGHTON CSD  </t>
  </si>
  <si>
    <t>GATES CHILI CS</t>
  </si>
  <si>
    <t xml:space="preserve">GREECE CSD    </t>
  </si>
  <si>
    <t>EAST IRONDEQUO</t>
  </si>
  <si>
    <t>WEST IRONDEQUO</t>
  </si>
  <si>
    <t>HONEOYE FALLS-</t>
  </si>
  <si>
    <t>SPENCERPORT CS</t>
  </si>
  <si>
    <t xml:space="preserve">HILTON CSD    </t>
  </si>
  <si>
    <t xml:space="preserve">PENFIELD CSD  </t>
  </si>
  <si>
    <t xml:space="preserve">FAIRPORT CSD  </t>
  </si>
  <si>
    <t>EAST ROCHESTER</t>
  </si>
  <si>
    <t xml:space="preserve">PITTSFORD CSD </t>
  </si>
  <si>
    <t>CHURCHVILLE-CH</t>
  </si>
  <si>
    <t>RUSH-HENRIETTA</t>
  </si>
  <si>
    <t xml:space="preserve">BROCKPORT CSD </t>
  </si>
  <si>
    <t xml:space="preserve">WEBSTER CSD   </t>
  </si>
  <si>
    <t>WHEATLAND-CHIL</t>
  </si>
  <si>
    <t>AMSTERDAM CITY</t>
  </si>
  <si>
    <t>CANAJOHARIE CS</t>
  </si>
  <si>
    <t>FONDA-FULTONVI</t>
  </si>
  <si>
    <t>FORT PLAIN CSD</t>
  </si>
  <si>
    <t>OPPENHEIM-EPHR</t>
  </si>
  <si>
    <t>GLEN COVE CITY</t>
  </si>
  <si>
    <t>HEMPSTEAD UFSD</t>
  </si>
  <si>
    <t>UNIONDALE UFSD</t>
  </si>
  <si>
    <t>EAST MEADOW UF</t>
  </si>
  <si>
    <t>NORTH BELLMORE</t>
  </si>
  <si>
    <t>LEVITTOWN UFSD</t>
  </si>
  <si>
    <t xml:space="preserve">SEAFORD UFSD  </t>
  </si>
  <si>
    <t xml:space="preserve">BELLMORE UFSD </t>
  </si>
  <si>
    <t>ROOSEVELT UFSD</t>
  </si>
  <si>
    <t xml:space="preserve">FREEPORT UFSD </t>
  </si>
  <si>
    <t xml:space="preserve">BALDWIN UFSD  </t>
  </si>
  <si>
    <t>OCEANSIDE UFSD</t>
  </si>
  <si>
    <t xml:space="preserve">MALVERNE UFSD </t>
  </si>
  <si>
    <t xml:space="preserve">VALLEY STREAM </t>
  </si>
  <si>
    <t>HEWLETT-WOODME</t>
  </si>
  <si>
    <t xml:space="preserve">LAWRENCE UFSD </t>
  </si>
  <si>
    <t xml:space="preserve">ELMONT UFSD   </t>
  </si>
  <si>
    <t>FRANKLIN SQUAR</t>
  </si>
  <si>
    <t>GARDEN CITY UF</t>
  </si>
  <si>
    <t xml:space="preserve">EAST ROCKAWAY </t>
  </si>
  <si>
    <t xml:space="preserve">LYNBROOK UFSD </t>
  </si>
  <si>
    <t>ROCKVILLE CENT</t>
  </si>
  <si>
    <t>FLORAL PARK-BE</t>
  </si>
  <si>
    <t xml:space="preserve">WANTAGH UFSD  </t>
  </si>
  <si>
    <t xml:space="preserve">MERRICK UFSD  </t>
  </si>
  <si>
    <t>ISLAND TREES U</t>
  </si>
  <si>
    <t>WEST HEMPSTEAD</t>
  </si>
  <si>
    <t xml:space="preserve">NORTH MERRICK </t>
  </si>
  <si>
    <t>ISLAND PARK UF</t>
  </si>
  <si>
    <t>SEWANHAKA CENT</t>
  </si>
  <si>
    <t>BELLMORE-MERRI</t>
  </si>
  <si>
    <t>LONG BEACH CIT</t>
  </si>
  <si>
    <t xml:space="preserve">WESTBURY UFSD </t>
  </si>
  <si>
    <t>EAST WILLISTON</t>
  </si>
  <si>
    <t xml:space="preserve">ROSLYN UFSD   </t>
  </si>
  <si>
    <t>PORT WASHINGTO</t>
  </si>
  <si>
    <t>NEW HYDE PARK-</t>
  </si>
  <si>
    <t>MANHASSET UFSD</t>
  </si>
  <si>
    <t>GREAT NECK UFS</t>
  </si>
  <si>
    <t xml:space="preserve">HERRICKS UFSD </t>
  </si>
  <si>
    <t xml:space="preserve">MINEOLA UFSD  </t>
  </si>
  <si>
    <t>CARLE PLACE UF</t>
  </si>
  <si>
    <t>NORTH SHORE CS</t>
  </si>
  <si>
    <t xml:space="preserve">SYOSSET CSD   </t>
  </si>
  <si>
    <t xml:space="preserve">LOCUST VALLEY </t>
  </si>
  <si>
    <t xml:space="preserve">PLAINVIEW-OLD </t>
  </si>
  <si>
    <t>OYSTER BAY-EAS</t>
  </si>
  <si>
    <t xml:space="preserve">JERICHO UFSD  </t>
  </si>
  <si>
    <t>HICKSVILLE UFS</t>
  </si>
  <si>
    <t>PLAINEDGE UFSD</t>
  </si>
  <si>
    <t xml:space="preserve">BETHPAGE UFSD </t>
  </si>
  <si>
    <t>FARMINGDALE UF</t>
  </si>
  <si>
    <t>MASSAPEQUA UFS</t>
  </si>
  <si>
    <t>LEWISTON-PORTE</t>
  </si>
  <si>
    <t xml:space="preserve">LOCKPORT CITY </t>
  </si>
  <si>
    <t xml:space="preserve">NEWFANE CSD   </t>
  </si>
  <si>
    <t>NIAGARA-WHEATF</t>
  </si>
  <si>
    <t xml:space="preserve">NIAGARA FALLS </t>
  </si>
  <si>
    <t>NORTH TONAWAND</t>
  </si>
  <si>
    <t xml:space="preserve">STARPOINT CSD </t>
  </si>
  <si>
    <t>ROYALTON-HARTL</t>
  </si>
  <si>
    <t xml:space="preserve">BARKER CSD    </t>
  </si>
  <si>
    <t xml:space="preserve">WILSON CSD    </t>
  </si>
  <si>
    <t>ADIRONDACK CSD</t>
  </si>
  <si>
    <t xml:space="preserve">CAMDEN CSD    </t>
  </si>
  <si>
    <t xml:space="preserve">CLINTON CSD   </t>
  </si>
  <si>
    <t>NEW HARTFORD C</t>
  </si>
  <si>
    <t xml:space="preserve">NY MILLS UFSD </t>
  </si>
  <si>
    <t>SAUQUOIT VALLE</t>
  </si>
  <si>
    <t xml:space="preserve">REMSEN CSD    </t>
  </si>
  <si>
    <t xml:space="preserve">ROME CITY SD  </t>
  </si>
  <si>
    <t>WATERVILLE CSD</t>
  </si>
  <si>
    <t xml:space="preserve">SHERRILL CITY </t>
  </si>
  <si>
    <t>HOLLAND PATENT</t>
  </si>
  <si>
    <t xml:space="preserve">UTICA CITY SD </t>
  </si>
  <si>
    <t>WESTMORELAND C</t>
  </si>
  <si>
    <t xml:space="preserve">ORISKANY CSD  </t>
  </si>
  <si>
    <t>WHITESBORO CSD</t>
  </si>
  <si>
    <t>WEST GENESEE C</t>
  </si>
  <si>
    <t>NORTH SYRACUSE</t>
  </si>
  <si>
    <t xml:space="preserve">EAST SYRACUSE </t>
  </si>
  <si>
    <t>JAMESVILLE-DEW</t>
  </si>
  <si>
    <t>JORDAN-ELBRIDG</t>
  </si>
  <si>
    <t xml:space="preserve">FABIUS-POMPEY </t>
  </si>
  <si>
    <t xml:space="preserve">WESTHILL CSD  </t>
  </si>
  <si>
    <t xml:space="preserve">SOLVAY UFSD   </t>
  </si>
  <si>
    <t xml:space="preserve">LAFAYETTE CSD </t>
  </si>
  <si>
    <t xml:space="preserve">BALDWINSVILLE </t>
  </si>
  <si>
    <t>FAYETTEVILLE-M</t>
  </si>
  <si>
    <t xml:space="preserve">MARCELLUS CSD </t>
  </si>
  <si>
    <t xml:space="preserve">ONONDAGA CSD  </t>
  </si>
  <si>
    <t xml:space="preserve">LIVERPOOL CSD </t>
  </si>
  <si>
    <t xml:space="preserve">LYNCOURT UFSD </t>
  </si>
  <si>
    <t>SKANEATELES CS</t>
  </si>
  <si>
    <t xml:space="preserve">TULLY CSD     </t>
  </si>
  <si>
    <t>CANANDAIGUA CI</t>
  </si>
  <si>
    <t>EAST BLOOMFIEL</t>
  </si>
  <si>
    <t>GENEVA CITY SD</t>
  </si>
  <si>
    <t>GORHAM-MIDDLES</t>
  </si>
  <si>
    <t>MANCHESTER-SHO</t>
  </si>
  <si>
    <t xml:space="preserve">NAPLES CSD    </t>
  </si>
  <si>
    <t>PHELPS-CLIFTON</t>
  </si>
  <si>
    <t xml:space="preserve">HONEOYE CSD   </t>
  </si>
  <si>
    <t xml:space="preserve">VICTOR CSD    </t>
  </si>
  <si>
    <t>WASHINGTONVILL</t>
  </si>
  <si>
    <t xml:space="preserve">CHESTER UFSD  </t>
  </si>
  <si>
    <t xml:space="preserve">CORNWALL CSD  </t>
  </si>
  <si>
    <t xml:space="preserve">PINE BUSH CSD </t>
  </si>
  <si>
    <t xml:space="preserve">GOSHEN CSD    </t>
  </si>
  <si>
    <t>HIGHLAND FALLS</t>
  </si>
  <si>
    <t>MIDDLETOWN CIT</t>
  </si>
  <si>
    <t>MINISINK VALLE</t>
  </si>
  <si>
    <t>MONROE-WOODBUR</t>
  </si>
  <si>
    <t>KIRYAS JOEL VI</t>
  </si>
  <si>
    <t>VALLEY CSD (MO</t>
  </si>
  <si>
    <t xml:space="preserve">NEWBURGH CITY </t>
  </si>
  <si>
    <t>PORT JERVIS CI</t>
  </si>
  <si>
    <t xml:space="preserve">TUXEDO UFSD   </t>
  </si>
  <si>
    <t>WARWICK VALLEY</t>
  </si>
  <si>
    <t>GREENWOOD LAKE</t>
  </si>
  <si>
    <t xml:space="preserve">FLORIDA UFSD  </t>
  </si>
  <si>
    <t xml:space="preserve">ALBION CSD    </t>
  </si>
  <si>
    <t xml:space="preserve">KENDALL CSD   </t>
  </si>
  <si>
    <t xml:space="preserve">HOLLEY CSD    </t>
  </si>
  <si>
    <t xml:space="preserve">MEDINA CSD    </t>
  </si>
  <si>
    <t>LYNDONVILLE CS</t>
  </si>
  <si>
    <t>ALTMAR-PARISH-</t>
  </si>
  <si>
    <t>FULTON CITY SD</t>
  </si>
  <si>
    <t xml:space="preserve">HANNIBAL CSD  </t>
  </si>
  <si>
    <t>CENTRAL SQUARE</t>
  </si>
  <si>
    <t xml:space="preserve">MEXICO CSD    </t>
  </si>
  <si>
    <t>OSWEGO CITY SD</t>
  </si>
  <si>
    <t xml:space="preserve">PULASKI CSD   </t>
  </si>
  <si>
    <t>SANDY CREEK CS</t>
  </si>
  <si>
    <t xml:space="preserve">PHOENIX CSD   </t>
  </si>
  <si>
    <t>GILBERTSVILLE-</t>
  </si>
  <si>
    <t xml:space="preserve">EDMESTON CSD  </t>
  </si>
  <si>
    <t xml:space="preserve">LAURENS CSD   </t>
  </si>
  <si>
    <t xml:space="preserve">SCHENEVUS CSD </t>
  </si>
  <si>
    <t xml:space="preserve">MILFORD CSD   </t>
  </si>
  <si>
    <t xml:space="preserve">MORRIS CSD    </t>
  </si>
  <si>
    <t>ONEONTA CITY S</t>
  </si>
  <si>
    <t>OTEGO-UNADILLA</t>
  </si>
  <si>
    <t>COOPERSTOWN CS</t>
  </si>
  <si>
    <t>RICHFIELD SPRI</t>
  </si>
  <si>
    <t>CHERRY VALLEY-</t>
  </si>
  <si>
    <t xml:space="preserve">WORCESTER CSD </t>
  </si>
  <si>
    <t xml:space="preserve">MAHOPAC CSD   </t>
  </si>
  <si>
    <t xml:space="preserve">CARMEL CSD    </t>
  </si>
  <si>
    <t xml:space="preserve">HALDANE CSD   </t>
  </si>
  <si>
    <t xml:space="preserve">GARRISON UFSD </t>
  </si>
  <si>
    <t xml:space="preserve">PUTNAM VALLEY </t>
  </si>
  <si>
    <t xml:space="preserve">BREWSTER CSD  </t>
  </si>
  <si>
    <t xml:space="preserve">BERLIN CSD    </t>
  </si>
  <si>
    <t xml:space="preserve">BRUNSWICK CSD </t>
  </si>
  <si>
    <t>EAST GREENBUSH</t>
  </si>
  <si>
    <t xml:space="preserve">HOOSICK FALLS </t>
  </si>
  <si>
    <t>LANSINGBURGH C</t>
  </si>
  <si>
    <t>WYNANTSKILL UF</t>
  </si>
  <si>
    <t>RENSSELAER CIT</t>
  </si>
  <si>
    <t>AVERILL PARK C</t>
  </si>
  <si>
    <t xml:space="preserve">HOOSIC VALLEY </t>
  </si>
  <si>
    <t xml:space="preserve">SCHODACK CSD  </t>
  </si>
  <si>
    <t xml:space="preserve">TROY CITY SD  </t>
  </si>
  <si>
    <t>CLARKSTOWN CSD</t>
  </si>
  <si>
    <t xml:space="preserve">NANUET UFSD   </t>
  </si>
  <si>
    <t>HAVERSTRAW-STO</t>
  </si>
  <si>
    <t>SOUTH ORANGETO</t>
  </si>
  <si>
    <t xml:space="preserve">NYACK UFSD    </t>
  </si>
  <si>
    <t>PEARL RIVER UF</t>
  </si>
  <si>
    <t xml:space="preserve">SUFFERN CSD   </t>
  </si>
  <si>
    <t>EAST RAMAPO CS</t>
  </si>
  <si>
    <t xml:space="preserve">BRASHER FALLS </t>
  </si>
  <si>
    <t xml:space="preserve">CANTON CSD    </t>
  </si>
  <si>
    <t>CLIFTON-FINE C</t>
  </si>
  <si>
    <t>COLTON-PIERREP</t>
  </si>
  <si>
    <t>GOUVERNEUR CSD</t>
  </si>
  <si>
    <t xml:space="preserve">HAMMOND CSD   </t>
  </si>
  <si>
    <t xml:space="preserve">HERMON-DEKALB </t>
  </si>
  <si>
    <t xml:space="preserve">LISBON CSD    </t>
  </si>
  <si>
    <t>MADRID-WADDING</t>
  </si>
  <si>
    <t xml:space="preserve">MASSENA CSD   </t>
  </si>
  <si>
    <t>MORRISTOWN CSD</t>
  </si>
  <si>
    <t>NORWOOD-NORFOL</t>
  </si>
  <si>
    <t>OGDENSBURG CIT</t>
  </si>
  <si>
    <t xml:space="preserve">HEUVELTON CSD </t>
  </si>
  <si>
    <t>PARISHVILLE-HO</t>
  </si>
  <si>
    <t xml:space="preserve">POTSDAM CSD   </t>
  </si>
  <si>
    <t>EDWARDS-KNOX C</t>
  </si>
  <si>
    <t>BURNT HILLS-BA</t>
  </si>
  <si>
    <t>SHENENDEHOWA C</t>
  </si>
  <si>
    <t xml:space="preserve">CORINTH CSD   </t>
  </si>
  <si>
    <t>EDINBURG COMMO</t>
  </si>
  <si>
    <t xml:space="preserve">GALWAY CSD    </t>
  </si>
  <si>
    <t xml:space="preserve">MECHANICVILLE </t>
  </si>
  <si>
    <t>BALLSTON SPA C</t>
  </si>
  <si>
    <t>SOUTH GLENS FA</t>
  </si>
  <si>
    <t xml:space="preserve">SCHUYLERVILLE </t>
  </si>
  <si>
    <t>SARATOGA SPRIN</t>
  </si>
  <si>
    <t>STILLWATER CSD</t>
  </si>
  <si>
    <t>WATERFORD-HALF</t>
  </si>
  <si>
    <t>DUANESBURG CSD</t>
  </si>
  <si>
    <t>SCOTIA-GLENVIL</t>
  </si>
  <si>
    <t xml:space="preserve">NISKAYUNA CSD </t>
  </si>
  <si>
    <t xml:space="preserve">SCHALMONT CSD </t>
  </si>
  <si>
    <t>ROTTERDAM-MOHO</t>
  </si>
  <si>
    <t>SCHENECTADY CI</t>
  </si>
  <si>
    <t>GILBOA-CONESVI</t>
  </si>
  <si>
    <t xml:space="preserve">JEFFERSON CSD </t>
  </si>
  <si>
    <t>MIDDLEBURGH CS</t>
  </si>
  <si>
    <t>COBLESKILL-RIC</t>
  </si>
  <si>
    <t xml:space="preserve">SCHOHARIE CSD </t>
  </si>
  <si>
    <t>SHARON SPRINGS</t>
  </si>
  <si>
    <t>ODESSA-MONTOUR</t>
  </si>
  <si>
    <t>WATKINS GLEN C</t>
  </si>
  <si>
    <t>SOUTH SENECA C</t>
  </si>
  <si>
    <t xml:space="preserve">ROMULUS CSD   </t>
  </si>
  <si>
    <t>SENECA FALLS C</t>
  </si>
  <si>
    <t xml:space="preserve">WATERLOO CSD  </t>
  </si>
  <si>
    <t xml:space="preserve">ADDISON CSD   </t>
  </si>
  <si>
    <t xml:space="preserve">AVOCA CSD     </t>
  </si>
  <si>
    <t xml:space="preserve">BATH CSD      </t>
  </si>
  <si>
    <t xml:space="preserve">BRADFORD CSD  </t>
  </si>
  <si>
    <t>CAMPBELL-SAVON</t>
  </si>
  <si>
    <t>CORNING CITY S</t>
  </si>
  <si>
    <t>CANISTEO-GREEN</t>
  </si>
  <si>
    <t>HORNELL CITY S</t>
  </si>
  <si>
    <t xml:space="preserve">ARKPORT CSD   </t>
  </si>
  <si>
    <t>PRATTSBURGH CS</t>
  </si>
  <si>
    <t>JASPER-TROUPSB</t>
  </si>
  <si>
    <t>HAMMONDSPORT C</t>
  </si>
  <si>
    <t>WAYLAND-COHOCT</t>
  </si>
  <si>
    <t xml:space="preserve">BABYLON UFSD  </t>
  </si>
  <si>
    <t>WEST BABYLON U</t>
  </si>
  <si>
    <t xml:space="preserve">NORTH BABYLON </t>
  </si>
  <si>
    <t>LINDENHURST UF</t>
  </si>
  <si>
    <t xml:space="preserve">COPIAGUE UFSD </t>
  </si>
  <si>
    <t>AMITYVILLE UFS</t>
  </si>
  <si>
    <t>DEER PARK UFSD</t>
  </si>
  <si>
    <t>WYANDANCH UFSD</t>
  </si>
  <si>
    <t xml:space="preserve">THREE VILLAGE </t>
  </si>
  <si>
    <t>BROOKHAVEN-COM</t>
  </si>
  <si>
    <t xml:space="preserve">SACHEM CSD    </t>
  </si>
  <si>
    <t>PORT JEFFERSON</t>
  </si>
  <si>
    <t xml:space="preserve">MT SINAI UFSD </t>
  </si>
  <si>
    <t>MILLER PLACE U</t>
  </si>
  <si>
    <t>ROCKY POINT UF</t>
  </si>
  <si>
    <t>MIDDLE COUNTRY</t>
  </si>
  <si>
    <t xml:space="preserve">LONGWOOD CSD  </t>
  </si>
  <si>
    <t>PATCHOGUE-MEDF</t>
  </si>
  <si>
    <t xml:space="preserve">WILLIAM FLOYD </t>
  </si>
  <si>
    <t>CENTER MORICHE</t>
  </si>
  <si>
    <t xml:space="preserve">EAST MORICHES </t>
  </si>
  <si>
    <t xml:space="preserve">SOUTH COUNTRY </t>
  </si>
  <si>
    <t>EAST HAMPTON U</t>
  </si>
  <si>
    <t>AMAGANSETT UFS</t>
  </si>
  <si>
    <t xml:space="preserve">SPRINGS UFSD  </t>
  </si>
  <si>
    <t>SAG HARBOR UFS</t>
  </si>
  <si>
    <t xml:space="preserve">MONTAUK UFSD  </t>
  </si>
  <si>
    <t xml:space="preserve">ELWOOD UFSD   </t>
  </si>
  <si>
    <t>COLD SPRING HA</t>
  </si>
  <si>
    <t>HUNTINGTON UFS</t>
  </si>
  <si>
    <t>NORTHPORT-EAST</t>
  </si>
  <si>
    <t>HALF HOLLOW HI</t>
  </si>
  <si>
    <t>HARBORFIELDS C</t>
  </si>
  <si>
    <t xml:space="preserve">COMMACK UFSD  </t>
  </si>
  <si>
    <t>SOUTH HUNTINGT</t>
  </si>
  <si>
    <t>BAY SHORE UFSD</t>
  </si>
  <si>
    <t xml:space="preserve">ISLIP UFSD    </t>
  </si>
  <si>
    <t>EAST ISLIP UFS</t>
  </si>
  <si>
    <t xml:space="preserve">SAYVILLE UFSD </t>
  </si>
  <si>
    <t>BAYPORT-BLUE P</t>
  </si>
  <si>
    <t>HAUPPAUGE UFSD</t>
  </si>
  <si>
    <t>CONNETQUOT CSD</t>
  </si>
  <si>
    <t>WEST ISLIP UFS</t>
  </si>
  <si>
    <t>BRENTWOOD UFSD</t>
  </si>
  <si>
    <t xml:space="preserve">CENTRAL ISLIP </t>
  </si>
  <si>
    <t>FIRE ISLAND UF</t>
  </si>
  <si>
    <t>SHOREHAM-WADIN</t>
  </si>
  <si>
    <t xml:space="preserve">RIVERHEAD CSD </t>
  </si>
  <si>
    <t>SHELTER ISLAND</t>
  </si>
  <si>
    <t xml:space="preserve">SMITHTOWN CSD </t>
  </si>
  <si>
    <t>KINGS PARK CSD</t>
  </si>
  <si>
    <t>REMSENBURG-SPE</t>
  </si>
  <si>
    <t>WESTHAMPTON BE</t>
  </si>
  <si>
    <t xml:space="preserve">QUOGUE UFSD   </t>
  </si>
  <si>
    <t>HAMPTON BAYS U</t>
  </si>
  <si>
    <t>SOUTHAMPTON UF</t>
  </si>
  <si>
    <t xml:space="preserve">BRIDGEHAMPTON </t>
  </si>
  <si>
    <t>EASTPORT-SOUTH</t>
  </si>
  <si>
    <t xml:space="preserve">TUCKAHOE COMN </t>
  </si>
  <si>
    <t>EAST QUOGUE UF</t>
  </si>
  <si>
    <t>OYSTERPONDS UF</t>
  </si>
  <si>
    <t>FISHERS ISLAND</t>
  </si>
  <si>
    <t xml:space="preserve">SOUTHOLD UFSD </t>
  </si>
  <si>
    <t>GREENPORT UFSD</t>
  </si>
  <si>
    <t>MATTITUCK-CUTC</t>
  </si>
  <si>
    <t xml:space="preserve">FALLSBURG CSD </t>
  </si>
  <si>
    <t xml:space="preserve">ELDRED CSD    </t>
  </si>
  <si>
    <t xml:space="preserve">LIBERTY CSD   </t>
  </si>
  <si>
    <t>TRI-VALLEY CSD</t>
  </si>
  <si>
    <t xml:space="preserve">ROSCOE CSD    </t>
  </si>
  <si>
    <t>LIVINGSTON MAN</t>
  </si>
  <si>
    <t>MONTICELLO CSD</t>
  </si>
  <si>
    <t xml:space="preserve">SULLIVAN WEST </t>
  </si>
  <si>
    <t xml:space="preserve">WAVERLY CSD   </t>
  </si>
  <si>
    <t xml:space="preserve">CANDOR CSD    </t>
  </si>
  <si>
    <t xml:space="preserve">NEWARK VALLEY </t>
  </si>
  <si>
    <t>OWEGO-APALACHI</t>
  </si>
  <si>
    <t>SPENCER-VAN ET</t>
  </si>
  <si>
    <t xml:space="preserve">TIOGA CSD     </t>
  </si>
  <si>
    <t xml:space="preserve">DRYDEN CSD    </t>
  </si>
  <si>
    <t xml:space="preserve">GROTON CSD    </t>
  </si>
  <si>
    <t>ITHACA CITY SD</t>
  </si>
  <si>
    <t xml:space="preserve">LANSING CSD   </t>
  </si>
  <si>
    <t xml:space="preserve">NEWFIELD CSD  </t>
  </si>
  <si>
    <t>TRUMANSBURG CS</t>
  </si>
  <si>
    <t xml:space="preserve">KINGSTON CITY </t>
  </si>
  <si>
    <t xml:space="preserve">HIGHLAND CSD  </t>
  </si>
  <si>
    <t>RONDOUT VALLEY</t>
  </si>
  <si>
    <t xml:space="preserve">MARLBORO CSD  </t>
  </si>
  <si>
    <t xml:space="preserve">NEW PALTZ CSD </t>
  </si>
  <si>
    <t xml:space="preserve">ONTEORA CSD   </t>
  </si>
  <si>
    <t>SAUGERTIES CSD</t>
  </si>
  <si>
    <t xml:space="preserve">WALLKILL CSD  </t>
  </si>
  <si>
    <t>ELLENVILLE CSD</t>
  </si>
  <si>
    <t xml:space="preserve">BOLTON CSD    </t>
  </si>
  <si>
    <t>NORTH WARREN C</t>
  </si>
  <si>
    <t>GLENS FALLS CI</t>
  </si>
  <si>
    <t xml:space="preserve">JOHNSBURG CSD </t>
  </si>
  <si>
    <t>LAKE GEORGE CS</t>
  </si>
  <si>
    <t>HADLEY-LUZERNE</t>
  </si>
  <si>
    <t>QUEENSBURY UFS</t>
  </si>
  <si>
    <t>GLENS FALLS CO</t>
  </si>
  <si>
    <t>WARRENSBURG CS</t>
  </si>
  <si>
    <t xml:space="preserve">ARGYLE CSD    </t>
  </si>
  <si>
    <t xml:space="preserve">FORT ANN CSD  </t>
  </si>
  <si>
    <t>FORT EDWARD UF</t>
  </si>
  <si>
    <t xml:space="preserve">GRANVILLE CSD </t>
  </si>
  <si>
    <t xml:space="preserve">GREENWICH CSD </t>
  </si>
  <si>
    <t xml:space="preserve">HARTFORD CSD  </t>
  </si>
  <si>
    <t>HUDSON FALLS C</t>
  </si>
  <si>
    <t xml:space="preserve">PUTNAM CSD    </t>
  </si>
  <si>
    <t xml:space="preserve">SALEM CSD     </t>
  </si>
  <si>
    <t xml:space="preserve">CAMBRIDGE CSD </t>
  </si>
  <si>
    <t xml:space="preserve">WHITEHALL CSD </t>
  </si>
  <si>
    <t xml:space="preserve">NEWARK CSD    </t>
  </si>
  <si>
    <t>CLYDE-SAVANNAH</t>
  </si>
  <si>
    <t xml:space="preserve">LYONS CSD     </t>
  </si>
  <si>
    <t xml:space="preserve">MARION CSD    </t>
  </si>
  <si>
    <t xml:space="preserve">WAYNE CSD     </t>
  </si>
  <si>
    <t>PALMYRA-MACEDO</t>
  </si>
  <si>
    <t xml:space="preserve">GANANDA CSD   </t>
  </si>
  <si>
    <t xml:space="preserve">SODUS CSD     </t>
  </si>
  <si>
    <t>WILLIAMSON CSD</t>
  </si>
  <si>
    <t>NORTH ROSE-WOL</t>
  </si>
  <si>
    <t xml:space="preserve">RED CREEK CSD </t>
  </si>
  <si>
    <t>KATONAH-LEWISB</t>
  </si>
  <si>
    <t xml:space="preserve">BEDFORD CSD   </t>
  </si>
  <si>
    <t xml:space="preserve">CROTON-HARMON </t>
  </si>
  <si>
    <t>HENDRICK HUDSO</t>
  </si>
  <si>
    <t>EASTCHESTER UF</t>
  </si>
  <si>
    <t xml:space="preserve">TUCKAHOE UFSD </t>
  </si>
  <si>
    <t>BRONXVILLE UFS</t>
  </si>
  <si>
    <t>UFSD-TARRYTOWN</t>
  </si>
  <si>
    <t>IRVINGTON UFSD</t>
  </si>
  <si>
    <t>DOBBS FERRY UF</t>
  </si>
  <si>
    <t>HASTINGS-ON-HU</t>
  </si>
  <si>
    <t xml:space="preserve">ARDSLEY UFSD  </t>
  </si>
  <si>
    <t xml:space="preserve">EDGEMONT UFSD </t>
  </si>
  <si>
    <t>GREENBURGH CSD</t>
  </si>
  <si>
    <t xml:space="preserve">ELMSFORD UFSD </t>
  </si>
  <si>
    <t xml:space="preserve">HARRISON CSD  </t>
  </si>
  <si>
    <t>MAMARONECK UFS</t>
  </si>
  <si>
    <t>MT PLEASANT CS</t>
  </si>
  <si>
    <t>POCANTICO HILL</t>
  </si>
  <si>
    <t xml:space="preserve">VALHALLA UFSD </t>
  </si>
  <si>
    <t xml:space="preserve">PLEASANTVILLE </t>
  </si>
  <si>
    <t>MT VERNON SCHO</t>
  </si>
  <si>
    <t xml:space="preserve">CHAPPAQUA CSD </t>
  </si>
  <si>
    <t>NEW ROCHELLE C</t>
  </si>
  <si>
    <t>BYRAM HILLS CS</t>
  </si>
  <si>
    <t>NORTH SALEM CS</t>
  </si>
  <si>
    <t xml:space="preserve">OSSINING UFSD </t>
  </si>
  <si>
    <t>BRIARCLIFF MAN</t>
  </si>
  <si>
    <t>PEEKSKILL CITY</t>
  </si>
  <si>
    <t xml:space="preserve">PELHAM UFSD   </t>
  </si>
  <si>
    <t xml:space="preserve">RYE CITY SD   </t>
  </si>
  <si>
    <t xml:space="preserve">RYE NECK UFSD </t>
  </si>
  <si>
    <t>PORT CHESTER-R</t>
  </si>
  <si>
    <t>BLIND BROOK-RY</t>
  </si>
  <si>
    <t>SCARSDALE UFSD</t>
  </si>
  <si>
    <t xml:space="preserve">SOMERS CSD    </t>
  </si>
  <si>
    <t>WHITE PLAINS C</t>
  </si>
  <si>
    <t xml:space="preserve">LAKELAND CSD  </t>
  </si>
  <si>
    <t xml:space="preserve">YORKTOWN CSD  </t>
  </si>
  <si>
    <t xml:space="preserve">ATTICA CSD    </t>
  </si>
  <si>
    <t>LETCHWORTH CSD</t>
  </si>
  <si>
    <t xml:space="preserve">WYOMING CSD   </t>
  </si>
  <si>
    <t xml:space="preserve">PERRY CSD     </t>
  </si>
  <si>
    <t xml:space="preserve">WARSAW CSD    </t>
  </si>
  <si>
    <t xml:space="preserve">PENN YAN CSD  </t>
  </si>
  <si>
    <t xml:space="preserve">DUNDEE CSD    </t>
  </si>
  <si>
    <t>BEDS Code</t>
  </si>
  <si>
    <t>District Name</t>
  </si>
  <si>
    <t>Total Proposed Spending 2020-21</t>
  </si>
  <si>
    <t>Total Proposed Spending 2021-22</t>
  </si>
  <si>
    <t>Spending Percent Change</t>
  </si>
  <si>
    <t>Proposed Tax Levy to Support Budget 2020-21</t>
  </si>
  <si>
    <t>Proposed Tax Levy to Support Budget 2021-22</t>
  </si>
  <si>
    <t>Levy for Library Debt 2020-21</t>
  </si>
  <si>
    <t>Levy for Library Debt 2021-22</t>
  </si>
  <si>
    <t>Levy for Non-Excludable Propositions 2020-21</t>
  </si>
  <si>
    <t>Levy for Non-Excludable Propositions 2021-22</t>
  </si>
  <si>
    <t>Tax Cap Reserve Used for 2020-21</t>
  </si>
  <si>
    <t>Tax Cap Reserve Used for 2021-22</t>
  </si>
  <si>
    <t>Total Proposed Tax Levy 2020-21</t>
  </si>
  <si>
    <t>Total Proposed Tax Levy  2021-22</t>
  </si>
  <si>
    <t>Proposed Tax Levy Percent Change</t>
  </si>
  <si>
    <t>Permissible Exclusions 2020-21</t>
  </si>
  <si>
    <t>Permissible Exclusions 2021-22</t>
  </si>
  <si>
    <t>Tax Levy Limit w/o Exclusions 2020-21</t>
  </si>
  <si>
    <t>Tax Levy Limit w/o Exclusions 2021-22</t>
  </si>
  <si>
    <t>Proposed Tax Levy w/o Excl. 2020-21</t>
  </si>
  <si>
    <t>Proposed Tax Levy w/o Excl. 2021-22</t>
  </si>
  <si>
    <t>(w/o Exc.) Tax Levy vs. Tax Levy Limit 2020-21</t>
  </si>
  <si>
    <t>(w/o Exc.) Tax Levy vs. Tax Levy Limit 2021-22</t>
  </si>
  <si>
    <t>Enrollment 2020-21</t>
  </si>
  <si>
    <t>Enrollment 2021-22</t>
  </si>
  <si>
    <t>Enrollment Percent Change</t>
  </si>
  <si>
    <t>FB - Adj Restricted 2020-21</t>
  </si>
  <si>
    <t>FB - Adj Restricted 2021-22</t>
  </si>
  <si>
    <t>Assigned Approp FB 2020-21</t>
  </si>
  <si>
    <t>Assigned Approp FB 2021-22</t>
  </si>
  <si>
    <t>Adjusted Unrestricted 2020-21</t>
  </si>
  <si>
    <t>Adjusted Unrestricted 2021-22</t>
  </si>
  <si>
    <t>Adjusted Unrestricted Fund Balance as a Percent of Total Budget 2020-21</t>
  </si>
  <si>
    <t>Adjusted Unrestricted Fund Balance as a Percent of Total Budget 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</si>
</sst>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3" fontId="18" fillId="33" borderId="13" xfId="0" applyNumberFormat="1" applyFont="1" applyFill="1" applyBorder="1" applyAlignment="1">
      <alignment horizontal="center" vertical="center" wrapText="1"/>
    </xf>
    <xf numFmtId="3" fontId="18" fillId="33" borderId="14" xfId="1" applyNumberFormat="1" applyFont="1" applyFill="1" applyBorder="1" applyAlignment="1">
      <alignment horizontal="center" vertical="center" wrapText="1"/>
    </xf>
    <xf numFmtId="164" fontId="19" fillId="33" borderId="14" xfId="1" applyNumberFormat="1" applyFont="1" applyFill="1" applyBorder="1" applyAlignment="1">
      <alignment horizontal="center" vertical="center" wrapText="1"/>
    </xf>
    <xf numFmtId="2" fontId="19" fillId="33" borderId="14" xfId="0" applyNumberFormat="1" applyFont="1" applyFill="1" applyBorder="1" applyAlignment="1">
      <alignment horizontal="center" vertical="center" wrapText="1"/>
    </xf>
    <xf numFmtId="164" fontId="18" fillId="33" borderId="14" xfId="1" applyNumberFormat="1" applyFont="1" applyFill="1" applyBorder="1" applyAlignment="1">
      <alignment horizontal="center" vertical="center" wrapText="1"/>
    </xf>
    <xf numFmtId="2" fontId="18" fillId="33" borderId="14" xfId="0" applyNumberFormat="1" applyFont="1" applyFill="1" applyBorder="1" applyAlignment="1">
      <alignment horizontal="center" vertical="center" wrapText="1"/>
    </xf>
    <xf numFmtId="165" fontId="19" fillId="33" borderId="14" xfId="1" applyNumberFormat="1" applyFont="1" applyFill="1" applyBorder="1" applyAlignment="1">
      <alignment horizontal="center" vertical="center" wrapText="1"/>
    </xf>
    <xf numFmtId="3" fontId="19" fillId="33" borderId="14" xfId="1" applyNumberFormat="1" applyFont="1" applyFill="1" applyBorder="1" applyAlignment="1">
      <alignment horizontal="center" vertical="center" wrapText="1"/>
    </xf>
    <xf numFmtId="2" fontId="19" fillId="33" borderId="15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0" fontId="0" fillId="0" borderId="18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"/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670" totalsRowShown="0" headerRowDxfId="38" headerRowBorderDxfId="37" tableBorderDxfId="36" totalsRowBorderDxfId="35" headerRowCellStyle="Comma">
  <autoFilter ref="A1:AI670" xr:uid="{00000000-0009-0000-0100-000001000000}"/>
  <sortState xmlns:xlrd2="http://schemas.microsoft.com/office/spreadsheetml/2017/richdata2" ref="A2:AI670">
    <sortCondition ref="A1:A670"/>
  </sortState>
  <tableColumns count="35">
    <tableColumn id="1" xr3:uid="{00000000-0010-0000-0000-000001000000}" name="BEDS Code" dataDxfId="34"/>
    <tableColumn id="2" xr3:uid="{00000000-0010-0000-0000-000002000000}" name="District Name" dataDxfId="33"/>
    <tableColumn id="3" xr3:uid="{00000000-0010-0000-0000-000003000000}" name="Total Proposed Spending 2020-21" dataDxfId="32"/>
    <tableColumn id="4" xr3:uid="{00000000-0010-0000-0000-000004000000}" name="Total Proposed Spending 2021-22" dataDxfId="31"/>
    <tableColumn id="5" xr3:uid="{00000000-0010-0000-0000-000005000000}" name="Spending Percent Change" dataDxfId="30"/>
    <tableColumn id="6" xr3:uid="{00000000-0010-0000-0000-000006000000}" name="Proposed Tax Levy to Support Budget 2020-21" dataDxfId="29"/>
    <tableColumn id="7" xr3:uid="{00000000-0010-0000-0000-000007000000}" name="Proposed Tax Levy to Support Budget 2021-22" dataDxfId="28"/>
    <tableColumn id="8" xr3:uid="{00000000-0010-0000-0000-000008000000}" name="Levy for Library Debt 2020-21" dataDxfId="27"/>
    <tableColumn id="9" xr3:uid="{00000000-0010-0000-0000-000009000000}" name="Levy for Library Debt 2021-22" dataDxfId="26"/>
    <tableColumn id="10" xr3:uid="{00000000-0010-0000-0000-00000A000000}" name="Levy for Non-Excludable Propositions 2020-21" dataDxfId="25"/>
    <tableColumn id="11" xr3:uid="{00000000-0010-0000-0000-00000B000000}" name="Levy for Non-Excludable Propositions 2021-22" dataDxfId="24"/>
    <tableColumn id="12" xr3:uid="{00000000-0010-0000-0000-00000C000000}" name="Tax Cap Reserve Used for 2020-21" dataDxfId="23"/>
    <tableColumn id="13" xr3:uid="{00000000-0010-0000-0000-00000D000000}" name="Tax Cap Reserve Used for 2021-22" dataDxfId="22"/>
    <tableColumn id="14" xr3:uid="{00000000-0010-0000-0000-00000E000000}" name="Total Proposed Tax Levy 2020-21" dataDxfId="21"/>
    <tableColumn id="15" xr3:uid="{00000000-0010-0000-0000-00000F000000}" name="Total Proposed Tax Levy  2021-22" dataDxfId="20"/>
    <tableColumn id="16" xr3:uid="{00000000-0010-0000-0000-000010000000}" name="Proposed Tax Levy Percent Change" dataDxfId="19"/>
    <tableColumn id="17" xr3:uid="{00000000-0010-0000-0000-000011000000}" name="Permissible Exclusions 2020-21" dataDxfId="18"/>
    <tableColumn id="18" xr3:uid="{00000000-0010-0000-0000-000012000000}" name="Permissible Exclusions 2021-22" dataDxfId="17"/>
    <tableColumn id="19" xr3:uid="{00000000-0010-0000-0000-000013000000}" name="Tax Levy Limit w/o Exclusions 2020-21" dataDxfId="16"/>
    <tableColumn id="20" xr3:uid="{00000000-0010-0000-0000-000014000000}" name="Tax Levy Limit w/o Exclusions 2021-22" dataDxfId="15"/>
    <tableColumn id="21" xr3:uid="{00000000-0010-0000-0000-000015000000}" name="Proposed Tax Levy w/o Excl. 2020-21" dataDxfId="14"/>
    <tableColumn id="22" xr3:uid="{00000000-0010-0000-0000-000016000000}" name="Proposed Tax Levy w/o Excl. 2021-22" dataDxfId="13"/>
    <tableColumn id="23" xr3:uid="{00000000-0010-0000-0000-000017000000}" name="(w/o Exc.) Tax Levy vs. Tax Levy Limit 2020-21" dataDxfId="12"/>
    <tableColumn id="24" xr3:uid="{00000000-0010-0000-0000-000018000000}" name="(w/o Exc.) Tax Levy vs. Tax Levy Limit 2021-22" dataDxfId="11"/>
    <tableColumn id="25" xr3:uid="{00000000-0010-0000-0000-000019000000}" name="Enrollment 2020-21" dataDxfId="10"/>
    <tableColumn id="26" xr3:uid="{00000000-0010-0000-0000-00001A000000}" name="Enrollment 2021-22" dataDxfId="9"/>
    <tableColumn id="27" xr3:uid="{00000000-0010-0000-0000-00001B000000}" name="Enrollment Percent Change" dataDxfId="8"/>
    <tableColumn id="28" xr3:uid="{00000000-0010-0000-0000-00001C000000}" name="FB - Adj Restricted 2020-21" dataDxfId="7"/>
    <tableColumn id="29" xr3:uid="{00000000-0010-0000-0000-00001D000000}" name="FB - Adj Restricted 2021-22" dataDxfId="6"/>
    <tableColumn id="30" xr3:uid="{00000000-0010-0000-0000-00001E000000}" name="Assigned Approp FB 2020-21" dataDxfId="5"/>
    <tableColumn id="31" xr3:uid="{00000000-0010-0000-0000-00001F000000}" name="Assigned Approp FB 2021-22" dataDxfId="4"/>
    <tableColumn id="32" xr3:uid="{00000000-0010-0000-0000-000020000000}" name="Adjusted Unrestricted 2020-21" dataDxfId="3"/>
    <tableColumn id="33" xr3:uid="{00000000-0010-0000-0000-000021000000}" name="Adjusted Unrestricted 2021-22" dataDxfId="2"/>
    <tableColumn id="34" xr3:uid="{00000000-0010-0000-0000-000022000000}" name="Adjusted Unrestricted Fund Balance as a Percent of Total Budget 2020-21" dataDxfId="1"/>
    <tableColumn id="35" xr3:uid="{00000000-0010-0000-0000-000023000000}" name="Adjusted Unrestricted Fund Balance as a Percent of Total Budget 2021-2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0"/>
  <sheetViews>
    <sheetView tabSelected="1" workbookViewId="0">
      <pane xSplit="2" ySplit="1" topLeftCell="P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13" customWidth="1"/>
    <col min="2" max="2" width="18.88671875" bestFit="1" customWidth="1"/>
    <col min="3" max="4" width="16.109375" style="1" customWidth="1"/>
    <col min="5" max="5" width="16.109375" customWidth="1"/>
    <col min="6" max="7" width="16.109375" style="1" customWidth="1"/>
    <col min="8" max="13" width="15" style="1" customWidth="1"/>
    <col min="14" max="15" width="16.109375" style="1" customWidth="1"/>
    <col min="16" max="16" width="16.109375" customWidth="1"/>
    <col min="17" max="24" width="16.109375" style="1" customWidth="1"/>
    <col min="25" max="27" width="16.109375" customWidth="1"/>
    <col min="28" max="33" width="16.109375" style="1" customWidth="1"/>
    <col min="34" max="35" width="16.109375" customWidth="1"/>
  </cols>
  <sheetData>
    <row r="1" spans="1:35" ht="109.2" x14ac:dyDescent="0.3">
      <c r="A1" s="6" t="s">
        <v>666</v>
      </c>
      <c r="B1" s="7" t="s">
        <v>667</v>
      </c>
      <c r="C1" s="8" t="s">
        <v>668</v>
      </c>
      <c r="D1" s="8" t="s">
        <v>669</v>
      </c>
      <c r="E1" s="9" t="s">
        <v>670</v>
      </c>
      <c r="F1" s="10" t="s">
        <v>671</v>
      </c>
      <c r="G1" s="10" t="s">
        <v>672</v>
      </c>
      <c r="H1" s="10" t="s">
        <v>673</v>
      </c>
      <c r="I1" s="10" t="s">
        <v>674</v>
      </c>
      <c r="J1" s="10" t="s">
        <v>675</v>
      </c>
      <c r="K1" s="10" t="s">
        <v>676</v>
      </c>
      <c r="L1" s="10" t="s">
        <v>677</v>
      </c>
      <c r="M1" s="10" t="s">
        <v>678</v>
      </c>
      <c r="N1" s="10" t="s">
        <v>679</v>
      </c>
      <c r="O1" s="10" t="s">
        <v>680</v>
      </c>
      <c r="P1" s="11" t="s">
        <v>681</v>
      </c>
      <c r="Q1" s="8" t="s">
        <v>682</v>
      </c>
      <c r="R1" s="8" t="s">
        <v>683</v>
      </c>
      <c r="S1" s="8" t="s">
        <v>684</v>
      </c>
      <c r="T1" s="8" t="s">
        <v>685</v>
      </c>
      <c r="U1" s="8" t="s">
        <v>686</v>
      </c>
      <c r="V1" s="8" t="s">
        <v>687</v>
      </c>
      <c r="W1" s="8" t="s">
        <v>688</v>
      </c>
      <c r="X1" s="8" t="s">
        <v>689</v>
      </c>
      <c r="Y1" s="12" t="s">
        <v>690</v>
      </c>
      <c r="Z1" s="13" t="s">
        <v>691</v>
      </c>
      <c r="AA1" s="9" t="s">
        <v>692</v>
      </c>
      <c r="AB1" s="8" t="s">
        <v>693</v>
      </c>
      <c r="AC1" s="8" t="s">
        <v>694</v>
      </c>
      <c r="AD1" s="8" t="s">
        <v>695</v>
      </c>
      <c r="AE1" s="8" t="s">
        <v>696</v>
      </c>
      <c r="AF1" s="8" t="s">
        <v>697</v>
      </c>
      <c r="AG1" s="8" t="s">
        <v>698</v>
      </c>
      <c r="AH1" s="9" t="s">
        <v>699</v>
      </c>
      <c r="AI1" s="14" t="s">
        <v>700</v>
      </c>
    </row>
    <row r="2" spans="1:35" x14ac:dyDescent="0.3">
      <c r="A2" s="4" t="str">
        <f>"010100"</f>
        <v>010100</v>
      </c>
      <c r="B2" s="2" t="s">
        <v>0</v>
      </c>
      <c r="C2" s="3">
        <v>261568188</v>
      </c>
      <c r="D2" s="3">
        <v>270267867</v>
      </c>
      <c r="E2" s="2">
        <v>3.33</v>
      </c>
      <c r="F2" s="3">
        <v>120118833</v>
      </c>
      <c r="G2" s="3">
        <v>121259962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120118833</v>
      </c>
      <c r="O2" s="3">
        <v>121259962</v>
      </c>
      <c r="P2" s="2">
        <v>0.95</v>
      </c>
      <c r="Q2" s="3">
        <v>6025859</v>
      </c>
      <c r="R2" s="3">
        <v>5719520</v>
      </c>
      <c r="S2" s="3">
        <v>114092974</v>
      </c>
      <c r="T2" s="3">
        <v>116273513</v>
      </c>
      <c r="U2" s="3">
        <v>114092974</v>
      </c>
      <c r="V2" s="3">
        <v>115540442</v>
      </c>
      <c r="W2" s="3">
        <v>0</v>
      </c>
      <c r="X2" s="3">
        <v>733071</v>
      </c>
      <c r="Y2" s="2">
        <v>8520</v>
      </c>
      <c r="Z2" s="2">
        <v>8328</v>
      </c>
      <c r="AA2" s="2">
        <v>-2.25</v>
      </c>
      <c r="AB2" s="3">
        <v>387000</v>
      </c>
      <c r="AC2" s="3">
        <v>387000</v>
      </c>
      <c r="AD2" s="3">
        <v>2400000</v>
      </c>
      <c r="AE2" s="3">
        <v>2583431</v>
      </c>
      <c r="AF2" s="3">
        <v>5717081</v>
      </c>
      <c r="AG2" s="3">
        <v>8133650</v>
      </c>
      <c r="AH2" s="2">
        <v>2.19</v>
      </c>
      <c r="AI2" s="5">
        <v>3.01</v>
      </c>
    </row>
    <row r="3" spans="1:35" x14ac:dyDescent="0.3">
      <c r="A3" s="4" t="str">
        <f>"010201"</f>
        <v>010201</v>
      </c>
      <c r="B3" s="2" t="s">
        <v>1</v>
      </c>
      <c r="C3" s="3">
        <v>23442127</v>
      </c>
      <c r="D3" s="3">
        <v>23672248</v>
      </c>
      <c r="E3" s="2">
        <v>0.98</v>
      </c>
      <c r="F3" s="3">
        <v>10999553</v>
      </c>
      <c r="G3" s="3">
        <v>10779562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10999553</v>
      </c>
      <c r="O3" s="3">
        <v>10779562</v>
      </c>
      <c r="P3" s="2">
        <v>-2</v>
      </c>
      <c r="Q3" s="3">
        <v>0</v>
      </c>
      <c r="R3" s="3">
        <v>0</v>
      </c>
      <c r="S3" s="3">
        <v>11382794</v>
      </c>
      <c r="T3" s="3">
        <v>10924077</v>
      </c>
      <c r="U3" s="3">
        <v>10999553</v>
      </c>
      <c r="V3" s="3">
        <v>10779562</v>
      </c>
      <c r="W3" s="3">
        <v>383241</v>
      </c>
      <c r="X3" s="3">
        <v>144515</v>
      </c>
      <c r="Y3" s="2">
        <v>744</v>
      </c>
      <c r="Z3" s="2">
        <v>702</v>
      </c>
      <c r="AA3" s="2">
        <v>-5.65</v>
      </c>
      <c r="AB3" s="3">
        <v>4085169</v>
      </c>
      <c r="AC3" s="3">
        <v>1651171</v>
      </c>
      <c r="AD3" s="3">
        <v>1300000</v>
      </c>
      <c r="AE3" s="3">
        <v>410000</v>
      </c>
      <c r="AF3" s="3">
        <v>937685</v>
      </c>
      <c r="AG3" s="3">
        <v>940000</v>
      </c>
      <c r="AH3" s="2">
        <v>4</v>
      </c>
      <c r="AI3" s="5">
        <v>3.97</v>
      </c>
    </row>
    <row r="4" spans="1:35" x14ac:dyDescent="0.3">
      <c r="A4" s="4" t="str">
        <f>"010306"</f>
        <v>010306</v>
      </c>
      <c r="B4" s="2" t="s">
        <v>2</v>
      </c>
      <c r="C4" s="3">
        <v>103486000</v>
      </c>
      <c r="D4" s="3">
        <v>102037000</v>
      </c>
      <c r="E4" s="2">
        <v>-1.4</v>
      </c>
      <c r="F4" s="3">
        <v>68718000</v>
      </c>
      <c r="G4" s="3">
        <v>69233000</v>
      </c>
      <c r="H4" s="3"/>
      <c r="I4" s="3"/>
      <c r="J4" s="3"/>
      <c r="K4" s="3"/>
      <c r="L4" s="3"/>
      <c r="M4" s="3"/>
      <c r="N4" s="3">
        <v>68718000</v>
      </c>
      <c r="O4" s="3">
        <v>69233000</v>
      </c>
      <c r="P4" s="2">
        <v>0.75</v>
      </c>
      <c r="Q4" s="3">
        <v>5041000</v>
      </c>
      <c r="R4" s="3">
        <v>4757175</v>
      </c>
      <c r="S4" s="3">
        <v>63677000</v>
      </c>
      <c r="T4" s="3">
        <v>64865825</v>
      </c>
      <c r="U4" s="3">
        <v>63677000</v>
      </c>
      <c r="V4" s="3">
        <v>64475825</v>
      </c>
      <c r="W4" s="3">
        <v>0</v>
      </c>
      <c r="X4" s="3">
        <v>390000</v>
      </c>
      <c r="Y4" s="2">
        <v>4250</v>
      </c>
      <c r="Z4" s="2">
        <v>4068</v>
      </c>
      <c r="AA4" s="2">
        <v>-4.28</v>
      </c>
      <c r="AB4" s="3">
        <v>16402558</v>
      </c>
      <c r="AC4" s="3">
        <v>22815200</v>
      </c>
      <c r="AD4" s="3">
        <v>3000000</v>
      </c>
      <c r="AE4" s="3">
        <v>390000</v>
      </c>
      <c r="AF4" s="3">
        <v>3803963</v>
      </c>
      <c r="AG4" s="3">
        <v>5200800</v>
      </c>
      <c r="AH4" s="2">
        <v>3.68</v>
      </c>
      <c r="AI4" s="5">
        <v>5.0999999999999996</v>
      </c>
    </row>
    <row r="5" spans="1:35" x14ac:dyDescent="0.3">
      <c r="A5" s="4" t="str">
        <f>"010402"</f>
        <v>010402</v>
      </c>
      <c r="B5" s="2" t="s">
        <v>3</v>
      </c>
      <c r="C5" s="3">
        <v>48677662</v>
      </c>
      <c r="D5" s="3">
        <v>48637301</v>
      </c>
      <c r="E5" s="2">
        <v>-0.08</v>
      </c>
      <c r="F5" s="3">
        <v>26094290</v>
      </c>
      <c r="G5" s="3">
        <v>26094290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26094290</v>
      </c>
      <c r="O5" s="3">
        <v>26094290</v>
      </c>
      <c r="P5" s="2">
        <v>0</v>
      </c>
      <c r="Q5" s="3">
        <v>628737</v>
      </c>
      <c r="R5" s="3">
        <v>662924</v>
      </c>
      <c r="S5" s="3">
        <v>25557737</v>
      </c>
      <c r="T5" s="3">
        <v>26184820</v>
      </c>
      <c r="U5" s="3">
        <v>25465553</v>
      </c>
      <c r="V5" s="3">
        <v>25431366</v>
      </c>
      <c r="W5" s="3">
        <v>92184</v>
      </c>
      <c r="X5" s="3">
        <v>753454</v>
      </c>
      <c r="Y5" s="2">
        <v>1843</v>
      </c>
      <c r="Z5" s="2">
        <v>1808</v>
      </c>
      <c r="AA5" s="2">
        <v>-1.9</v>
      </c>
      <c r="AB5" s="3">
        <v>10334847</v>
      </c>
      <c r="AC5" s="3">
        <v>10385653</v>
      </c>
      <c r="AD5" s="3">
        <v>1355749</v>
      </c>
      <c r="AE5" s="3">
        <v>2000000</v>
      </c>
      <c r="AF5" s="3">
        <v>9048269</v>
      </c>
      <c r="AG5" s="3">
        <v>8353211</v>
      </c>
      <c r="AH5" s="2">
        <v>18.59</v>
      </c>
      <c r="AI5" s="5">
        <v>17.170000000000002</v>
      </c>
    </row>
    <row r="6" spans="1:35" x14ac:dyDescent="0.3">
      <c r="A6" s="4" t="str">
        <f>"010500"</f>
        <v>010500</v>
      </c>
      <c r="B6" s="2" t="s">
        <v>4</v>
      </c>
      <c r="C6" s="3">
        <v>43867736</v>
      </c>
      <c r="D6" s="3">
        <v>43636917</v>
      </c>
      <c r="E6" s="2">
        <v>-0.53</v>
      </c>
      <c r="F6" s="3">
        <v>16017997</v>
      </c>
      <c r="G6" s="3">
        <v>17106788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16017997</v>
      </c>
      <c r="O6" s="3">
        <v>17106788</v>
      </c>
      <c r="P6" s="2">
        <v>6.8</v>
      </c>
      <c r="Q6" s="3">
        <v>168905</v>
      </c>
      <c r="R6" s="3">
        <v>161696</v>
      </c>
      <c r="S6" s="3">
        <v>15849092</v>
      </c>
      <c r="T6" s="3">
        <v>16945092</v>
      </c>
      <c r="U6" s="3">
        <v>15849092</v>
      </c>
      <c r="V6" s="3">
        <v>16945092</v>
      </c>
      <c r="W6" s="3">
        <v>0</v>
      </c>
      <c r="X6" s="3">
        <v>0</v>
      </c>
      <c r="Y6" s="2">
        <v>1795</v>
      </c>
      <c r="Z6" s="2">
        <v>1792</v>
      </c>
      <c r="AA6" s="2">
        <v>-0.17</v>
      </c>
      <c r="AB6" s="3">
        <v>495834</v>
      </c>
      <c r="AC6" s="3">
        <v>500000</v>
      </c>
      <c r="AD6" s="3">
        <v>116989</v>
      </c>
      <c r="AE6" s="3">
        <v>0</v>
      </c>
      <c r="AF6" s="3">
        <v>2049761</v>
      </c>
      <c r="AG6" s="3">
        <v>2000000</v>
      </c>
      <c r="AH6" s="2">
        <v>4.67</v>
      </c>
      <c r="AI6" s="5">
        <v>4.58</v>
      </c>
    </row>
    <row r="7" spans="1:35" x14ac:dyDescent="0.3">
      <c r="A7" s="4" t="str">
        <f>"010601"</f>
        <v>010601</v>
      </c>
      <c r="B7" s="2" t="s">
        <v>5</v>
      </c>
      <c r="C7" s="3">
        <v>107000975</v>
      </c>
      <c r="D7" s="3">
        <v>108016351</v>
      </c>
      <c r="E7" s="2">
        <v>0.95</v>
      </c>
      <c r="F7" s="3">
        <v>74000000</v>
      </c>
      <c r="G7" s="3">
        <v>74740000</v>
      </c>
      <c r="H7" s="3"/>
      <c r="I7" s="3"/>
      <c r="J7" s="3"/>
      <c r="K7" s="3"/>
      <c r="L7" s="3"/>
      <c r="M7" s="3"/>
      <c r="N7" s="3">
        <v>74000000</v>
      </c>
      <c r="O7" s="3">
        <v>74740000</v>
      </c>
      <c r="P7" s="2">
        <v>1</v>
      </c>
      <c r="Q7" s="3">
        <v>2187491</v>
      </c>
      <c r="R7" s="3">
        <v>1366860</v>
      </c>
      <c r="S7" s="3">
        <v>71851097</v>
      </c>
      <c r="T7" s="3">
        <v>73400178</v>
      </c>
      <c r="U7" s="3">
        <v>71812509</v>
      </c>
      <c r="V7" s="3">
        <v>73373140</v>
      </c>
      <c r="W7" s="3">
        <v>38588</v>
      </c>
      <c r="X7" s="3">
        <v>27038</v>
      </c>
      <c r="Y7" s="2">
        <v>4875</v>
      </c>
      <c r="Z7" s="2">
        <v>4870</v>
      </c>
      <c r="AA7" s="2">
        <v>-0.1</v>
      </c>
      <c r="AB7" s="3">
        <v>5650262</v>
      </c>
      <c r="AC7" s="3">
        <v>6694955</v>
      </c>
      <c r="AD7" s="3">
        <v>3799113</v>
      </c>
      <c r="AE7" s="3">
        <v>3438536</v>
      </c>
      <c r="AF7" s="3">
        <v>3166497</v>
      </c>
      <c r="AG7" s="3">
        <v>4320654</v>
      </c>
      <c r="AH7" s="2">
        <v>2.96</v>
      </c>
      <c r="AI7" s="5">
        <v>4</v>
      </c>
    </row>
    <row r="8" spans="1:35" x14ac:dyDescent="0.3">
      <c r="A8" s="4" t="str">
        <f>"010615"</f>
        <v>010615</v>
      </c>
      <c r="B8" s="2" t="s">
        <v>6</v>
      </c>
      <c r="C8" s="3">
        <v>9824370</v>
      </c>
      <c r="D8" s="3">
        <v>10275635</v>
      </c>
      <c r="E8" s="2">
        <v>4.59</v>
      </c>
      <c r="F8" s="3">
        <v>7236094</v>
      </c>
      <c r="G8" s="3">
        <v>7258591</v>
      </c>
      <c r="H8" s="3"/>
      <c r="I8" s="3"/>
      <c r="J8" s="3"/>
      <c r="K8" s="3"/>
      <c r="L8" s="3"/>
      <c r="M8" s="3"/>
      <c r="N8" s="3">
        <v>7236094</v>
      </c>
      <c r="O8" s="3">
        <v>7258591</v>
      </c>
      <c r="P8" s="2">
        <v>0.31</v>
      </c>
      <c r="Q8" s="3">
        <v>449685</v>
      </c>
      <c r="R8" s="3">
        <v>322783</v>
      </c>
      <c r="S8" s="3">
        <v>6786409</v>
      </c>
      <c r="T8" s="3">
        <v>6935808</v>
      </c>
      <c r="U8" s="3">
        <v>6786409</v>
      </c>
      <c r="V8" s="3">
        <v>6935808</v>
      </c>
      <c r="W8" s="3">
        <v>0</v>
      </c>
      <c r="X8" s="3">
        <v>0</v>
      </c>
      <c r="Y8" s="2">
        <v>300</v>
      </c>
      <c r="Z8" s="2">
        <v>311</v>
      </c>
      <c r="AA8" s="2">
        <v>3.67</v>
      </c>
      <c r="AB8" s="3">
        <v>653789</v>
      </c>
      <c r="AC8" s="3">
        <v>732335</v>
      </c>
      <c r="AD8" s="3">
        <v>896126</v>
      </c>
      <c r="AE8" s="3">
        <v>800000</v>
      </c>
      <c r="AF8" s="3">
        <v>787906</v>
      </c>
      <c r="AG8" s="3">
        <v>884032</v>
      </c>
      <c r="AH8" s="2">
        <v>8.02</v>
      </c>
      <c r="AI8" s="5">
        <v>8.6</v>
      </c>
    </row>
    <row r="9" spans="1:35" x14ac:dyDescent="0.3">
      <c r="A9" s="4" t="str">
        <f>"010623"</f>
        <v>010623</v>
      </c>
      <c r="B9" s="2" t="s">
        <v>7</v>
      </c>
      <c r="C9" s="3">
        <v>117979501</v>
      </c>
      <c r="D9" s="3">
        <v>124977067</v>
      </c>
      <c r="E9" s="2">
        <v>5.93</v>
      </c>
      <c r="F9" s="3">
        <v>88215013</v>
      </c>
      <c r="G9" s="3">
        <v>89438564</v>
      </c>
      <c r="H9" s="3"/>
      <c r="I9" s="3"/>
      <c r="J9" s="3"/>
      <c r="K9" s="3"/>
      <c r="L9" s="3"/>
      <c r="M9" s="3"/>
      <c r="N9" s="3">
        <v>88215013</v>
      </c>
      <c r="O9" s="3">
        <v>89438564</v>
      </c>
      <c r="P9" s="2">
        <v>1.39</v>
      </c>
      <c r="Q9" s="3">
        <v>2185996</v>
      </c>
      <c r="R9" s="3">
        <v>644399</v>
      </c>
      <c r="S9" s="3">
        <v>86029017</v>
      </c>
      <c r="T9" s="3">
        <v>88794165</v>
      </c>
      <c r="U9" s="3">
        <v>86029017</v>
      </c>
      <c r="V9" s="3">
        <v>88794165</v>
      </c>
      <c r="W9" s="3">
        <v>0</v>
      </c>
      <c r="X9" s="3">
        <v>0</v>
      </c>
      <c r="Y9" s="2">
        <v>5944</v>
      </c>
      <c r="Z9" s="2">
        <v>6010</v>
      </c>
      <c r="AA9" s="2">
        <v>1.1100000000000001</v>
      </c>
      <c r="AB9" s="3">
        <v>14264545</v>
      </c>
      <c r="AC9" s="3">
        <v>14392600</v>
      </c>
      <c r="AD9" s="3">
        <v>4800000</v>
      </c>
      <c r="AE9" s="3">
        <v>3600000</v>
      </c>
      <c r="AF9" s="3">
        <v>4659917</v>
      </c>
      <c r="AG9" s="3">
        <v>4800000</v>
      </c>
      <c r="AH9" s="2">
        <v>3.95</v>
      </c>
      <c r="AI9" s="5">
        <v>3.84</v>
      </c>
    </row>
    <row r="10" spans="1:35" x14ac:dyDescent="0.3">
      <c r="A10" s="4" t="str">
        <f>"010701"</f>
        <v>010701</v>
      </c>
      <c r="B10" s="2" t="s">
        <v>8</v>
      </c>
      <c r="C10" s="3">
        <v>7532943</v>
      </c>
      <c r="D10" s="3">
        <v>7627105</v>
      </c>
      <c r="E10" s="2">
        <v>1.25</v>
      </c>
      <c r="F10" s="3">
        <v>3746045</v>
      </c>
      <c r="G10" s="3">
        <v>3793045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3746045</v>
      </c>
      <c r="O10" s="3">
        <v>3793045</v>
      </c>
      <c r="P10" s="2">
        <v>1.1299999999999999</v>
      </c>
      <c r="Q10" s="3">
        <v>206122</v>
      </c>
      <c r="R10" s="3">
        <v>297668</v>
      </c>
      <c r="S10" s="3">
        <v>3539923</v>
      </c>
      <c r="T10" s="3">
        <v>3495905</v>
      </c>
      <c r="U10" s="3">
        <v>3539923</v>
      </c>
      <c r="V10" s="3">
        <v>3495377</v>
      </c>
      <c r="W10" s="3">
        <v>0</v>
      </c>
      <c r="X10" s="3">
        <v>528</v>
      </c>
      <c r="Y10" s="2">
        <v>291</v>
      </c>
      <c r="Z10" s="2">
        <v>300</v>
      </c>
      <c r="AA10" s="2">
        <v>3.09</v>
      </c>
      <c r="AB10" s="3">
        <v>111519</v>
      </c>
      <c r="AC10" s="3">
        <v>261519</v>
      </c>
      <c r="AD10" s="3">
        <v>197820</v>
      </c>
      <c r="AE10" s="3">
        <v>151692</v>
      </c>
      <c r="AF10" s="3">
        <v>611364</v>
      </c>
      <c r="AG10" s="3">
        <v>457627</v>
      </c>
      <c r="AH10" s="2">
        <v>8.1199999999999992</v>
      </c>
      <c r="AI10" s="5">
        <v>6</v>
      </c>
    </row>
    <row r="11" spans="1:35" x14ac:dyDescent="0.3">
      <c r="A11" s="4" t="str">
        <f>"010802"</f>
        <v>010802</v>
      </c>
      <c r="B11" s="2" t="s">
        <v>9</v>
      </c>
      <c r="C11" s="3">
        <v>103032695</v>
      </c>
      <c r="D11" s="3">
        <v>104895570</v>
      </c>
      <c r="E11" s="2">
        <v>1.81</v>
      </c>
      <c r="F11" s="3">
        <v>74990995</v>
      </c>
      <c r="G11" s="3">
        <v>75953398</v>
      </c>
      <c r="H11" s="3"/>
      <c r="I11" s="3">
        <v>81250</v>
      </c>
      <c r="J11" s="3"/>
      <c r="K11" s="3"/>
      <c r="L11" s="3"/>
      <c r="M11" s="3"/>
      <c r="N11" s="3">
        <v>74990995</v>
      </c>
      <c r="O11" s="3">
        <v>76034648</v>
      </c>
      <c r="P11" s="2">
        <v>1.39</v>
      </c>
      <c r="Q11" s="3">
        <v>1518595</v>
      </c>
      <c r="R11" s="3">
        <v>1223428</v>
      </c>
      <c r="S11" s="3">
        <v>73472400</v>
      </c>
      <c r="T11" s="3">
        <v>74729970</v>
      </c>
      <c r="U11" s="3">
        <v>73472400</v>
      </c>
      <c r="V11" s="3">
        <v>74729970</v>
      </c>
      <c r="W11" s="3">
        <v>0</v>
      </c>
      <c r="X11" s="3">
        <v>0</v>
      </c>
      <c r="Y11" s="2">
        <v>4824</v>
      </c>
      <c r="Z11" s="2">
        <v>4810</v>
      </c>
      <c r="AA11" s="2">
        <v>-0.28999999999999998</v>
      </c>
      <c r="AB11" s="3">
        <v>6779907</v>
      </c>
      <c r="AC11" s="3">
        <v>6644160</v>
      </c>
      <c r="AD11" s="3">
        <v>638940</v>
      </c>
      <c r="AE11" s="3">
        <v>0</v>
      </c>
      <c r="AF11" s="3">
        <v>4121308</v>
      </c>
      <c r="AG11" s="3">
        <v>4199182</v>
      </c>
      <c r="AH11" s="2">
        <v>4</v>
      </c>
      <c r="AI11" s="5">
        <v>4</v>
      </c>
    </row>
    <row r="12" spans="1:35" x14ac:dyDescent="0.3">
      <c r="A12" s="4" t="str">
        <f>"011003"</f>
        <v>011003</v>
      </c>
      <c r="B12" s="2" t="s">
        <v>10</v>
      </c>
      <c r="C12" s="3">
        <v>26022115</v>
      </c>
      <c r="D12" s="3">
        <v>26954451</v>
      </c>
      <c r="E12" s="2">
        <v>3.58</v>
      </c>
      <c r="F12" s="3">
        <v>18755666</v>
      </c>
      <c r="G12" s="3">
        <v>19266635</v>
      </c>
      <c r="H12" s="3"/>
      <c r="I12" s="3"/>
      <c r="J12" s="3"/>
      <c r="K12" s="3"/>
      <c r="L12" s="3"/>
      <c r="M12" s="3"/>
      <c r="N12" s="3">
        <v>18755666</v>
      </c>
      <c r="O12" s="3">
        <v>19266635</v>
      </c>
      <c r="P12" s="2">
        <v>2.72</v>
      </c>
      <c r="Q12" s="3">
        <v>73862</v>
      </c>
      <c r="R12" s="3">
        <v>0</v>
      </c>
      <c r="S12" s="3">
        <v>18681804</v>
      </c>
      <c r="T12" s="3">
        <v>19266635</v>
      </c>
      <c r="U12" s="3">
        <v>18681804</v>
      </c>
      <c r="V12" s="3">
        <v>19266635</v>
      </c>
      <c r="W12" s="3">
        <v>0</v>
      </c>
      <c r="X12" s="3">
        <v>0</v>
      </c>
      <c r="Y12" s="2">
        <v>1204</v>
      </c>
      <c r="Z12" s="2">
        <v>1220</v>
      </c>
      <c r="AA12" s="2">
        <v>1.33</v>
      </c>
      <c r="AB12" s="3">
        <v>4680267</v>
      </c>
      <c r="AC12" s="3">
        <v>3215013</v>
      </c>
      <c r="AD12" s="3">
        <v>368774</v>
      </c>
      <c r="AE12" s="3">
        <v>70000</v>
      </c>
      <c r="AF12" s="3">
        <v>1871067</v>
      </c>
      <c r="AG12" s="3">
        <v>1078178</v>
      </c>
      <c r="AH12" s="2">
        <v>7.19</v>
      </c>
      <c r="AI12" s="5">
        <v>4</v>
      </c>
    </row>
    <row r="13" spans="1:35" x14ac:dyDescent="0.3">
      <c r="A13" s="4" t="str">
        <f>"011200"</f>
        <v>011200</v>
      </c>
      <c r="B13" s="2" t="s">
        <v>11</v>
      </c>
      <c r="C13" s="3">
        <v>28560000</v>
      </c>
      <c r="D13" s="3">
        <v>30463000</v>
      </c>
      <c r="E13" s="2">
        <v>6.66</v>
      </c>
      <c r="F13" s="3">
        <v>7239000</v>
      </c>
      <c r="G13" s="3">
        <v>7275000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7239000</v>
      </c>
      <c r="O13" s="3">
        <v>7275000</v>
      </c>
      <c r="P13" s="2">
        <v>0.5</v>
      </c>
      <c r="Q13" s="3">
        <v>0</v>
      </c>
      <c r="R13" s="3">
        <v>0</v>
      </c>
      <c r="S13" s="3">
        <v>7241685</v>
      </c>
      <c r="T13" s="3">
        <v>7378723</v>
      </c>
      <c r="U13" s="3">
        <v>7239000</v>
      </c>
      <c r="V13" s="3">
        <v>7275000</v>
      </c>
      <c r="W13" s="3">
        <v>2685</v>
      </c>
      <c r="X13" s="3">
        <v>103723</v>
      </c>
      <c r="Y13" s="2">
        <v>1400</v>
      </c>
      <c r="Z13" s="2">
        <v>1425</v>
      </c>
      <c r="AA13" s="2">
        <v>1.79</v>
      </c>
      <c r="AB13" s="3">
        <v>1280000</v>
      </c>
      <c r="AC13" s="3">
        <v>1880000</v>
      </c>
      <c r="AD13" s="3">
        <v>0</v>
      </c>
      <c r="AE13" s="3">
        <v>100000</v>
      </c>
      <c r="AF13" s="3">
        <v>1735280</v>
      </c>
      <c r="AG13" s="3">
        <v>1435280</v>
      </c>
      <c r="AH13" s="2">
        <v>6.08</v>
      </c>
      <c r="AI13" s="5">
        <v>4.71</v>
      </c>
    </row>
    <row r="14" spans="1:35" x14ac:dyDescent="0.3">
      <c r="A14" s="4" t="str">
        <f>"020101"</f>
        <v>020101</v>
      </c>
      <c r="B14" s="2" t="s">
        <v>12</v>
      </c>
      <c r="C14" s="3">
        <v>14355618</v>
      </c>
      <c r="D14" s="3">
        <v>14937499</v>
      </c>
      <c r="E14" s="2">
        <v>4.05</v>
      </c>
      <c r="F14" s="3">
        <v>5168886</v>
      </c>
      <c r="G14" s="3">
        <v>5220459</v>
      </c>
      <c r="H14" s="3"/>
      <c r="I14" s="3"/>
      <c r="J14" s="3"/>
      <c r="K14" s="3"/>
      <c r="L14" s="3"/>
      <c r="M14" s="3"/>
      <c r="N14" s="3">
        <v>5168886</v>
      </c>
      <c r="O14" s="3">
        <v>5220575</v>
      </c>
      <c r="P14" s="2">
        <v>1</v>
      </c>
      <c r="Q14" s="3">
        <v>109052</v>
      </c>
      <c r="R14" s="3">
        <v>176309</v>
      </c>
      <c r="S14" s="3">
        <v>5059834</v>
      </c>
      <c r="T14" s="3">
        <v>5091820</v>
      </c>
      <c r="U14" s="3">
        <v>5059834</v>
      </c>
      <c r="V14" s="3">
        <v>5044266</v>
      </c>
      <c r="W14" s="3">
        <v>0</v>
      </c>
      <c r="X14" s="3">
        <v>47554</v>
      </c>
      <c r="Y14" s="2">
        <v>614</v>
      </c>
      <c r="Z14" s="2">
        <v>614</v>
      </c>
      <c r="AA14" s="2">
        <v>0</v>
      </c>
      <c r="AB14" s="3">
        <v>3195511</v>
      </c>
      <c r="AC14" s="3">
        <v>3063770</v>
      </c>
      <c r="AD14" s="3">
        <v>627252</v>
      </c>
      <c r="AE14" s="3">
        <v>524936</v>
      </c>
      <c r="AF14" s="3">
        <v>1408446</v>
      </c>
      <c r="AG14" s="3">
        <v>1436897</v>
      </c>
      <c r="AH14" s="2">
        <v>9.81</v>
      </c>
      <c r="AI14" s="5">
        <v>9.6199999999999992</v>
      </c>
    </row>
    <row r="15" spans="1:35" x14ac:dyDescent="0.3">
      <c r="A15" s="4" t="str">
        <f>"020601"</f>
        <v>020601</v>
      </c>
      <c r="B15" s="2" t="s">
        <v>13</v>
      </c>
      <c r="C15" s="3">
        <v>9275000</v>
      </c>
      <c r="D15" s="3">
        <v>9663000</v>
      </c>
      <c r="E15" s="2">
        <v>4.18</v>
      </c>
      <c r="F15" s="3">
        <v>2543464</v>
      </c>
      <c r="G15" s="3">
        <v>2543464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2543464</v>
      </c>
      <c r="O15" s="3">
        <v>2543464</v>
      </c>
      <c r="P15" s="2">
        <v>0</v>
      </c>
      <c r="Q15" s="3">
        <v>0</v>
      </c>
      <c r="R15" s="3">
        <v>0</v>
      </c>
      <c r="S15" s="3">
        <v>2629010</v>
      </c>
      <c r="T15" s="3">
        <v>2629375</v>
      </c>
      <c r="U15" s="3">
        <v>2543464</v>
      </c>
      <c r="V15" s="3">
        <v>2543464</v>
      </c>
      <c r="W15" s="3">
        <v>85546</v>
      </c>
      <c r="X15" s="3">
        <v>85911</v>
      </c>
      <c r="Y15" s="2">
        <v>258</v>
      </c>
      <c r="Z15" s="2">
        <v>260</v>
      </c>
      <c r="AA15" s="2">
        <v>0.78</v>
      </c>
      <c r="AB15" s="3">
        <v>2764820</v>
      </c>
      <c r="AC15" s="3">
        <v>2575808</v>
      </c>
      <c r="AD15" s="3">
        <v>232000</v>
      </c>
      <c r="AE15" s="3">
        <v>278000</v>
      </c>
      <c r="AF15" s="3">
        <v>371000</v>
      </c>
      <c r="AG15" s="3">
        <v>386520</v>
      </c>
      <c r="AH15" s="2">
        <v>4</v>
      </c>
      <c r="AI15" s="5">
        <v>4</v>
      </c>
    </row>
    <row r="16" spans="1:35" x14ac:dyDescent="0.3">
      <c r="A16" s="4" t="str">
        <f>"020702"</f>
        <v>020702</v>
      </c>
      <c r="B16" s="2" t="s">
        <v>14</v>
      </c>
      <c r="C16" s="3">
        <v>17326350</v>
      </c>
      <c r="D16" s="3">
        <v>17525366</v>
      </c>
      <c r="E16" s="2">
        <v>1.1499999999999999</v>
      </c>
      <c r="F16" s="3">
        <v>3011146</v>
      </c>
      <c r="G16" s="3">
        <v>3038246</v>
      </c>
      <c r="H16" s="3">
        <v>104500</v>
      </c>
      <c r="I16" s="3">
        <v>106000</v>
      </c>
      <c r="J16" s="3">
        <v>0</v>
      </c>
      <c r="K16" s="3">
        <v>0</v>
      </c>
      <c r="L16" s="3">
        <v>0</v>
      </c>
      <c r="M16" s="3">
        <v>0</v>
      </c>
      <c r="N16" s="3">
        <v>3115646</v>
      </c>
      <c r="O16" s="3">
        <v>3144246</v>
      </c>
      <c r="P16" s="2">
        <v>0.92</v>
      </c>
      <c r="Q16" s="3">
        <v>0</v>
      </c>
      <c r="R16" s="3">
        <v>0</v>
      </c>
      <c r="S16" s="3">
        <v>3053542</v>
      </c>
      <c r="T16" s="3">
        <v>3097945</v>
      </c>
      <c r="U16" s="3">
        <v>3011146</v>
      </c>
      <c r="V16" s="3">
        <v>3038246</v>
      </c>
      <c r="W16" s="3">
        <v>42396</v>
      </c>
      <c r="X16" s="3">
        <v>59699</v>
      </c>
      <c r="Y16" s="2">
        <v>557</v>
      </c>
      <c r="Z16" s="2">
        <v>580</v>
      </c>
      <c r="AA16" s="2">
        <v>4.13</v>
      </c>
      <c r="AB16" s="3">
        <v>4697974</v>
      </c>
      <c r="AC16" s="3">
        <v>4624280</v>
      </c>
      <c r="AD16" s="3">
        <v>400000</v>
      </c>
      <c r="AE16" s="3">
        <v>400000</v>
      </c>
      <c r="AF16" s="3">
        <v>1151696</v>
      </c>
      <c r="AG16" s="3">
        <v>701415</v>
      </c>
      <c r="AH16" s="2">
        <v>6.65</v>
      </c>
      <c r="AI16" s="5">
        <v>4</v>
      </c>
    </row>
    <row r="17" spans="1:35" x14ac:dyDescent="0.3">
      <c r="A17" s="4" t="str">
        <f>"020801"</f>
        <v>020801</v>
      </c>
      <c r="B17" s="2" t="s">
        <v>15</v>
      </c>
      <c r="C17" s="3">
        <v>9925878</v>
      </c>
      <c r="D17" s="3">
        <v>10101482</v>
      </c>
      <c r="E17" s="2">
        <v>1.77</v>
      </c>
      <c r="F17" s="3">
        <v>1819955</v>
      </c>
      <c r="G17" s="3">
        <v>1819955</v>
      </c>
      <c r="H17" s="3">
        <v>50888</v>
      </c>
      <c r="I17" s="3">
        <v>76332</v>
      </c>
      <c r="J17" s="3">
        <v>0</v>
      </c>
      <c r="K17" s="3">
        <v>0</v>
      </c>
      <c r="L17" s="3">
        <v>0</v>
      </c>
      <c r="M17" s="3">
        <v>0</v>
      </c>
      <c r="N17" s="3">
        <v>1870843</v>
      </c>
      <c r="O17" s="3">
        <v>1896287</v>
      </c>
      <c r="P17" s="2">
        <v>1.36</v>
      </c>
      <c r="Q17" s="3">
        <v>0</v>
      </c>
      <c r="R17" s="3">
        <v>21805</v>
      </c>
      <c r="S17" s="3">
        <v>1819955</v>
      </c>
      <c r="T17" s="3">
        <v>1798150</v>
      </c>
      <c r="U17" s="3">
        <v>1819955</v>
      </c>
      <c r="V17" s="3">
        <v>1798150</v>
      </c>
      <c r="W17" s="3">
        <v>0</v>
      </c>
      <c r="X17" s="3">
        <v>0</v>
      </c>
      <c r="Y17" s="2">
        <v>342</v>
      </c>
      <c r="Z17" s="2">
        <v>350</v>
      </c>
      <c r="AA17" s="2">
        <v>2.34</v>
      </c>
      <c r="AB17" s="3">
        <v>571563</v>
      </c>
      <c r="AC17" s="3">
        <v>567116</v>
      </c>
      <c r="AD17" s="3">
        <v>189406</v>
      </c>
      <c r="AE17" s="3">
        <v>25000</v>
      </c>
      <c r="AF17" s="3">
        <v>416953</v>
      </c>
      <c r="AG17" s="3">
        <v>416953</v>
      </c>
      <c r="AH17" s="2">
        <v>4.2</v>
      </c>
      <c r="AI17" s="5">
        <v>4.13</v>
      </c>
    </row>
    <row r="18" spans="1:35" x14ac:dyDescent="0.3">
      <c r="A18" s="4" t="str">
        <f>"021102"</f>
        <v>021102</v>
      </c>
      <c r="B18" s="2" t="s">
        <v>16</v>
      </c>
      <c r="C18" s="3">
        <v>7387910</v>
      </c>
      <c r="D18" s="3">
        <v>7554158</v>
      </c>
      <c r="E18" s="2">
        <v>2.25</v>
      </c>
      <c r="F18" s="3">
        <v>2085880</v>
      </c>
      <c r="G18" s="3">
        <v>2114757</v>
      </c>
      <c r="H18" s="3">
        <v>34750</v>
      </c>
      <c r="I18" s="3">
        <v>36250</v>
      </c>
      <c r="J18" s="3">
        <v>0</v>
      </c>
      <c r="K18" s="3">
        <v>0</v>
      </c>
      <c r="L18" s="3">
        <v>0</v>
      </c>
      <c r="M18" s="3">
        <v>0</v>
      </c>
      <c r="N18" s="3">
        <v>2120630</v>
      </c>
      <c r="O18" s="3">
        <v>2151007</v>
      </c>
      <c r="P18" s="2">
        <v>1.43</v>
      </c>
      <c r="Q18" s="3">
        <v>0</v>
      </c>
      <c r="R18" s="3">
        <v>8721</v>
      </c>
      <c r="S18" s="3">
        <v>2085880</v>
      </c>
      <c r="T18" s="3">
        <v>2114757</v>
      </c>
      <c r="U18" s="3">
        <v>2085880</v>
      </c>
      <c r="V18" s="3">
        <v>2106036</v>
      </c>
      <c r="W18" s="3">
        <v>0</v>
      </c>
      <c r="X18" s="3">
        <v>8721</v>
      </c>
      <c r="Y18" s="2">
        <v>235</v>
      </c>
      <c r="Z18" s="2">
        <v>225</v>
      </c>
      <c r="AA18" s="2">
        <v>-4.26</v>
      </c>
      <c r="AB18" s="3">
        <v>4231892</v>
      </c>
      <c r="AC18" s="3">
        <v>4231892</v>
      </c>
      <c r="AD18" s="3">
        <v>398542</v>
      </c>
      <c r="AE18" s="3">
        <v>459000</v>
      </c>
      <c r="AF18" s="3">
        <v>709906</v>
      </c>
      <c r="AG18" s="3">
        <v>650000</v>
      </c>
      <c r="AH18" s="2">
        <v>9.61</v>
      </c>
      <c r="AI18" s="5">
        <v>8.6</v>
      </c>
    </row>
    <row r="19" spans="1:35" x14ac:dyDescent="0.3">
      <c r="A19" s="4" t="str">
        <f>"021601"</f>
        <v>021601</v>
      </c>
      <c r="B19" s="2" t="s">
        <v>17</v>
      </c>
      <c r="C19" s="3">
        <v>10621715</v>
      </c>
      <c r="D19" s="3">
        <v>10554119</v>
      </c>
      <c r="E19" s="2">
        <v>-0.64</v>
      </c>
      <c r="F19" s="3">
        <v>1788416</v>
      </c>
      <c r="G19" s="3">
        <v>1788416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1788416</v>
      </c>
      <c r="O19" s="3">
        <v>1788416</v>
      </c>
      <c r="P19" s="2">
        <v>0</v>
      </c>
      <c r="Q19" s="3">
        <v>0</v>
      </c>
      <c r="R19" s="3">
        <v>0</v>
      </c>
      <c r="S19" s="3">
        <v>1788416</v>
      </c>
      <c r="T19" s="3">
        <v>1788416</v>
      </c>
      <c r="U19" s="3">
        <v>1788416</v>
      </c>
      <c r="V19" s="3">
        <v>1788416</v>
      </c>
      <c r="W19" s="3">
        <v>0</v>
      </c>
      <c r="X19" s="3">
        <v>0</v>
      </c>
      <c r="Y19" s="2">
        <v>355</v>
      </c>
      <c r="Z19" s="2">
        <v>355</v>
      </c>
      <c r="AA19" s="2">
        <v>0</v>
      </c>
      <c r="AB19" s="3">
        <v>825000</v>
      </c>
      <c r="AC19" s="3">
        <v>795365</v>
      </c>
      <c r="AD19" s="3">
        <v>225000</v>
      </c>
      <c r="AE19" s="3">
        <v>350000</v>
      </c>
      <c r="AF19" s="3">
        <v>1086964</v>
      </c>
      <c r="AG19" s="3">
        <v>1216964</v>
      </c>
      <c r="AH19" s="2">
        <v>10.23</v>
      </c>
      <c r="AI19" s="5">
        <v>11.53</v>
      </c>
    </row>
    <row r="20" spans="1:35" x14ac:dyDescent="0.3">
      <c r="A20" s="4" t="str">
        <f>"022001"</f>
        <v>022001</v>
      </c>
      <c r="B20" s="2" t="s">
        <v>18</v>
      </c>
      <c r="C20" s="3">
        <v>16581782</v>
      </c>
      <c r="D20" s="3">
        <v>17124859</v>
      </c>
      <c r="E20" s="2">
        <v>3.28</v>
      </c>
      <c r="F20" s="3">
        <v>2579922</v>
      </c>
      <c r="G20" s="3">
        <v>2579922</v>
      </c>
      <c r="H20" s="3"/>
      <c r="I20" s="3"/>
      <c r="J20" s="3"/>
      <c r="K20" s="3"/>
      <c r="L20" s="3"/>
      <c r="M20" s="3"/>
      <c r="N20" s="3">
        <v>2579922</v>
      </c>
      <c r="O20" s="3">
        <v>2579922</v>
      </c>
      <c r="P20" s="2">
        <v>0</v>
      </c>
      <c r="Q20" s="3">
        <v>0</v>
      </c>
      <c r="R20" s="3">
        <v>0</v>
      </c>
      <c r="S20" s="3">
        <v>2628719</v>
      </c>
      <c r="T20" s="3">
        <v>2676481</v>
      </c>
      <c r="U20" s="3">
        <v>2579922</v>
      </c>
      <c r="V20" s="3">
        <v>2579922</v>
      </c>
      <c r="W20" s="3">
        <v>48797</v>
      </c>
      <c r="X20" s="3">
        <v>96559</v>
      </c>
      <c r="Y20" s="2">
        <v>664</v>
      </c>
      <c r="Z20" s="2">
        <v>627</v>
      </c>
      <c r="AA20" s="2">
        <v>-5.57</v>
      </c>
      <c r="AB20" s="3">
        <v>3503263</v>
      </c>
      <c r="AC20" s="3">
        <v>5834652</v>
      </c>
      <c r="AD20" s="3">
        <v>540702</v>
      </c>
      <c r="AE20" s="3">
        <v>658664</v>
      </c>
      <c r="AF20" s="3">
        <v>2265503</v>
      </c>
      <c r="AG20" s="3">
        <v>684994</v>
      </c>
      <c r="AH20" s="2">
        <v>13.66</v>
      </c>
      <c r="AI20" s="5">
        <v>4</v>
      </c>
    </row>
    <row r="21" spans="1:35" x14ac:dyDescent="0.3">
      <c r="A21" s="4" t="str">
        <f>"022101"</f>
        <v>022101</v>
      </c>
      <c r="B21" s="2" t="s">
        <v>19</v>
      </c>
      <c r="C21" s="3">
        <v>6669501</v>
      </c>
      <c r="D21" s="3">
        <v>6465705</v>
      </c>
      <c r="E21" s="2">
        <v>-3.06</v>
      </c>
      <c r="F21" s="3">
        <v>1332693</v>
      </c>
      <c r="G21" s="3">
        <v>1266058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1332693</v>
      </c>
      <c r="O21" s="3">
        <v>1266058</v>
      </c>
      <c r="P21" s="2">
        <v>-5</v>
      </c>
      <c r="Q21" s="3">
        <v>0</v>
      </c>
      <c r="R21" s="3">
        <v>0</v>
      </c>
      <c r="S21" s="3">
        <v>1381683</v>
      </c>
      <c r="T21" s="3">
        <v>1369810</v>
      </c>
      <c r="U21" s="3">
        <v>1332693</v>
      </c>
      <c r="V21" s="3">
        <v>1266058</v>
      </c>
      <c r="W21" s="3">
        <v>48990</v>
      </c>
      <c r="X21" s="3">
        <v>103752</v>
      </c>
      <c r="Y21" s="2">
        <v>169</v>
      </c>
      <c r="Z21" s="2">
        <v>166</v>
      </c>
      <c r="AA21" s="2">
        <v>-1.78</v>
      </c>
      <c r="AB21" s="3">
        <v>2273461</v>
      </c>
      <c r="AC21" s="3">
        <v>2241036</v>
      </c>
      <c r="AD21" s="3">
        <v>127288</v>
      </c>
      <c r="AE21" s="3">
        <v>29712</v>
      </c>
      <c r="AF21" s="3">
        <v>1640057</v>
      </c>
      <c r="AG21" s="3">
        <v>1580000</v>
      </c>
      <c r="AH21" s="2">
        <v>24.59</v>
      </c>
      <c r="AI21" s="5">
        <v>24.44</v>
      </c>
    </row>
    <row r="22" spans="1:35" x14ac:dyDescent="0.3">
      <c r="A22" s="4" t="str">
        <f>"022302"</f>
        <v>022302</v>
      </c>
      <c r="B22" s="2" t="s">
        <v>20</v>
      </c>
      <c r="C22" s="3">
        <v>22683242</v>
      </c>
      <c r="D22" s="3">
        <v>23980195</v>
      </c>
      <c r="E22" s="2">
        <v>5.72</v>
      </c>
      <c r="F22" s="3">
        <v>6127015</v>
      </c>
      <c r="G22" s="3">
        <v>6127015</v>
      </c>
      <c r="H22" s="3"/>
      <c r="I22" s="3"/>
      <c r="J22" s="3"/>
      <c r="K22" s="3"/>
      <c r="L22" s="3"/>
      <c r="M22" s="3"/>
      <c r="N22" s="3">
        <v>6127015</v>
      </c>
      <c r="O22" s="3">
        <v>6127015</v>
      </c>
      <c r="P22" s="2">
        <v>0</v>
      </c>
      <c r="Q22" s="3">
        <v>492786</v>
      </c>
      <c r="R22" s="3">
        <v>301843</v>
      </c>
      <c r="S22" s="3">
        <v>5636630</v>
      </c>
      <c r="T22" s="3">
        <v>5723385</v>
      </c>
      <c r="U22" s="3">
        <v>5634229</v>
      </c>
      <c r="V22" s="3">
        <v>5825172</v>
      </c>
      <c r="W22" s="3">
        <v>2401</v>
      </c>
      <c r="X22" s="3">
        <v>-101787</v>
      </c>
      <c r="Y22" s="2">
        <v>829</v>
      </c>
      <c r="Z22" s="2">
        <v>829</v>
      </c>
      <c r="AA22" s="2">
        <v>0</v>
      </c>
      <c r="AB22" s="3">
        <v>4237237</v>
      </c>
      <c r="AC22" s="3">
        <v>4688917</v>
      </c>
      <c r="AD22" s="3">
        <v>1496323</v>
      </c>
      <c r="AE22" s="3">
        <v>1944058</v>
      </c>
      <c r="AF22" s="3">
        <v>3934440</v>
      </c>
      <c r="AG22" s="3">
        <v>1990382</v>
      </c>
      <c r="AH22" s="2">
        <v>17.350000000000001</v>
      </c>
      <c r="AI22" s="5">
        <v>8.3000000000000007</v>
      </c>
    </row>
    <row r="23" spans="1:35" x14ac:dyDescent="0.3">
      <c r="A23" s="4" t="str">
        <f>"022401"</f>
        <v>022401</v>
      </c>
      <c r="B23" s="2" t="s">
        <v>21</v>
      </c>
      <c r="C23" s="3">
        <v>10995335</v>
      </c>
      <c r="D23" s="3">
        <v>10769401</v>
      </c>
      <c r="E23" s="2">
        <v>-2.0499999999999998</v>
      </c>
      <c r="F23" s="3">
        <v>2182454</v>
      </c>
      <c r="G23" s="3">
        <v>2182454</v>
      </c>
      <c r="H23" s="3"/>
      <c r="I23" s="3"/>
      <c r="J23" s="3"/>
      <c r="K23" s="3"/>
      <c r="L23" s="3"/>
      <c r="M23" s="3"/>
      <c r="N23" s="3">
        <v>2182454</v>
      </c>
      <c r="O23" s="3">
        <v>2182454</v>
      </c>
      <c r="P23" s="2">
        <v>0</v>
      </c>
      <c r="Q23" s="3">
        <v>96233</v>
      </c>
      <c r="R23" s="3">
        <v>108329</v>
      </c>
      <c r="S23" s="3">
        <v>2106803</v>
      </c>
      <c r="T23" s="3">
        <v>2116079</v>
      </c>
      <c r="U23" s="3">
        <v>2086221</v>
      </c>
      <c r="V23" s="3">
        <v>2074125</v>
      </c>
      <c r="W23" s="3">
        <v>20582</v>
      </c>
      <c r="X23" s="3">
        <v>41954</v>
      </c>
      <c r="Y23" s="2">
        <v>343</v>
      </c>
      <c r="Z23" s="2">
        <v>347</v>
      </c>
      <c r="AA23" s="2">
        <v>1.17</v>
      </c>
      <c r="AB23" s="3">
        <v>608794</v>
      </c>
      <c r="AC23" s="3">
        <v>608794</v>
      </c>
      <c r="AD23" s="3">
        <v>606054</v>
      </c>
      <c r="AE23" s="3">
        <v>640528</v>
      </c>
      <c r="AF23" s="3">
        <v>1052064</v>
      </c>
      <c r="AG23" s="3">
        <v>1017590</v>
      </c>
      <c r="AH23" s="2">
        <v>9.57</v>
      </c>
      <c r="AI23" s="5">
        <v>9.4499999999999993</v>
      </c>
    </row>
    <row r="24" spans="1:35" x14ac:dyDescent="0.3">
      <c r="A24" s="4" t="str">
        <f>"022601"</f>
        <v>022601</v>
      </c>
      <c r="B24" s="2" t="s">
        <v>22</v>
      </c>
      <c r="C24" s="3">
        <v>32213231</v>
      </c>
      <c r="D24" s="3">
        <v>31568830</v>
      </c>
      <c r="E24" s="2">
        <v>-2</v>
      </c>
      <c r="F24" s="3">
        <v>8222073</v>
      </c>
      <c r="G24" s="3">
        <v>8057632</v>
      </c>
      <c r="H24" s="3"/>
      <c r="I24" s="3"/>
      <c r="J24" s="3"/>
      <c r="K24" s="3"/>
      <c r="L24" s="3"/>
      <c r="M24" s="3"/>
      <c r="N24" s="3">
        <v>8222073</v>
      </c>
      <c r="O24" s="3">
        <v>8057632</v>
      </c>
      <c r="P24" s="2">
        <v>-2</v>
      </c>
      <c r="Q24" s="3">
        <v>181954</v>
      </c>
      <c r="R24" s="3">
        <v>195888</v>
      </c>
      <c r="S24" s="3">
        <v>8466143</v>
      </c>
      <c r="T24" s="3">
        <v>8292639</v>
      </c>
      <c r="U24" s="3">
        <v>8040119</v>
      </c>
      <c r="V24" s="3">
        <v>7861744</v>
      </c>
      <c r="W24" s="3">
        <v>426024</v>
      </c>
      <c r="X24" s="3">
        <v>430895</v>
      </c>
      <c r="Y24" s="2">
        <v>1125</v>
      </c>
      <c r="Z24" s="2">
        <v>1150</v>
      </c>
      <c r="AA24" s="2">
        <v>2.2200000000000002</v>
      </c>
      <c r="AB24" s="3">
        <v>2771768</v>
      </c>
      <c r="AC24" s="3">
        <v>2889000</v>
      </c>
      <c r="AD24" s="3">
        <v>1343435</v>
      </c>
      <c r="AE24" s="3">
        <v>8511</v>
      </c>
      <c r="AF24" s="3">
        <v>4326597</v>
      </c>
      <c r="AG24" s="3">
        <v>1262753</v>
      </c>
      <c r="AH24" s="2">
        <v>13.43</v>
      </c>
      <c r="AI24" s="5">
        <v>4</v>
      </c>
    </row>
    <row r="25" spans="1:35" x14ac:dyDescent="0.3">
      <c r="A25" s="4" t="str">
        <f>"022902"</f>
        <v>022902</v>
      </c>
      <c r="B25" s="2" t="s">
        <v>23</v>
      </c>
      <c r="C25" s="3">
        <v>20449919</v>
      </c>
      <c r="D25" s="3">
        <v>20481690</v>
      </c>
      <c r="E25" s="2">
        <v>0.16</v>
      </c>
      <c r="F25" s="3">
        <v>2714763</v>
      </c>
      <c r="G25" s="3">
        <v>2714763</v>
      </c>
      <c r="H25" s="3"/>
      <c r="I25" s="3"/>
      <c r="J25" s="3"/>
      <c r="K25" s="3"/>
      <c r="L25" s="3"/>
      <c r="M25" s="3"/>
      <c r="N25" s="3">
        <v>2714763</v>
      </c>
      <c r="O25" s="3">
        <v>2714763</v>
      </c>
      <c r="P25" s="2">
        <v>0</v>
      </c>
      <c r="Q25" s="3">
        <v>0</v>
      </c>
      <c r="R25" s="3">
        <v>0</v>
      </c>
      <c r="S25" s="3">
        <v>2769428</v>
      </c>
      <c r="T25" s="3">
        <v>2795467</v>
      </c>
      <c r="U25" s="3">
        <v>2714763</v>
      </c>
      <c r="V25" s="3">
        <v>2714763</v>
      </c>
      <c r="W25" s="3">
        <v>54665</v>
      </c>
      <c r="X25" s="3">
        <v>80704</v>
      </c>
      <c r="Y25" s="2">
        <v>775</v>
      </c>
      <c r="Z25" s="2">
        <v>734</v>
      </c>
      <c r="AA25" s="2">
        <v>-5.29</v>
      </c>
      <c r="AB25" s="3">
        <v>9103035</v>
      </c>
      <c r="AC25" s="3">
        <v>10313761</v>
      </c>
      <c r="AD25" s="3">
        <v>600000</v>
      </c>
      <c r="AE25" s="3">
        <v>600000</v>
      </c>
      <c r="AF25" s="3">
        <v>2722520</v>
      </c>
      <c r="AG25" s="3">
        <v>2811800</v>
      </c>
      <c r="AH25" s="2">
        <v>13.31</v>
      </c>
      <c r="AI25" s="5">
        <v>13.73</v>
      </c>
    </row>
    <row r="26" spans="1:35" x14ac:dyDescent="0.3">
      <c r="A26" s="4" t="str">
        <f>"030101"</f>
        <v>030101</v>
      </c>
      <c r="B26" s="2" t="s">
        <v>24</v>
      </c>
      <c r="C26" s="3">
        <v>34356239</v>
      </c>
      <c r="D26" s="3">
        <v>35254318</v>
      </c>
      <c r="E26" s="2">
        <v>2.61</v>
      </c>
      <c r="F26" s="3">
        <v>12293016</v>
      </c>
      <c r="G26" s="3">
        <v>12469363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12293016</v>
      </c>
      <c r="O26" s="3">
        <v>12469363</v>
      </c>
      <c r="P26" s="2">
        <v>1.43</v>
      </c>
      <c r="Q26" s="3">
        <v>647829</v>
      </c>
      <c r="R26" s="3">
        <v>647341</v>
      </c>
      <c r="S26" s="3">
        <v>11645187</v>
      </c>
      <c r="T26" s="3">
        <v>11822022</v>
      </c>
      <c r="U26" s="3">
        <v>11645187</v>
      </c>
      <c r="V26" s="3">
        <v>11822022</v>
      </c>
      <c r="W26" s="3">
        <v>0</v>
      </c>
      <c r="X26" s="3">
        <v>0</v>
      </c>
      <c r="Y26" s="2">
        <v>1329</v>
      </c>
      <c r="Z26" s="2">
        <v>1329</v>
      </c>
      <c r="AA26" s="2">
        <v>0</v>
      </c>
      <c r="AB26" s="3">
        <v>2816694</v>
      </c>
      <c r="AC26" s="3">
        <v>3907142</v>
      </c>
      <c r="AD26" s="3">
        <v>500000</v>
      </c>
      <c r="AE26" s="3">
        <v>500000</v>
      </c>
      <c r="AF26" s="3">
        <v>2087310</v>
      </c>
      <c r="AG26" s="3">
        <v>1329816</v>
      </c>
      <c r="AH26" s="2">
        <v>6.08</v>
      </c>
      <c r="AI26" s="5">
        <v>3.77</v>
      </c>
    </row>
    <row r="27" spans="1:35" x14ac:dyDescent="0.3">
      <c r="A27" s="4" t="str">
        <f>"030200"</f>
        <v>030200</v>
      </c>
      <c r="B27" s="2" t="s">
        <v>25</v>
      </c>
      <c r="C27" s="3">
        <v>123683883</v>
      </c>
      <c r="D27" s="3">
        <v>128786217</v>
      </c>
      <c r="E27" s="2">
        <v>4.13</v>
      </c>
      <c r="F27" s="3">
        <v>43666029</v>
      </c>
      <c r="G27" s="3">
        <v>43946926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43666029</v>
      </c>
      <c r="O27" s="3">
        <v>43946926</v>
      </c>
      <c r="P27" s="2">
        <v>0.64</v>
      </c>
      <c r="Q27" s="3">
        <v>1141280</v>
      </c>
      <c r="R27" s="3">
        <v>945770</v>
      </c>
      <c r="S27" s="3">
        <v>42524749</v>
      </c>
      <c r="T27" s="3">
        <v>43001156</v>
      </c>
      <c r="U27" s="3">
        <v>42524749</v>
      </c>
      <c r="V27" s="3">
        <v>43001156</v>
      </c>
      <c r="W27" s="3">
        <v>0</v>
      </c>
      <c r="X27" s="3">
        <v>0</v>
      </c>
      <c r="Y27" s="2">
        <v>4866</v>
      </c>
      <c r="Z27" s="2">
        <v>4866</v>
      </c>
      <c r="AA27" s="2">
        <v>0</v>
      </c>
      <c r="AB27" s="3">
        <v>11578143</v>
      </c>
      <c r="AC27" s="3">
        <v>17553689</v>
      </c>
      <c r="AD27" s="3">
        <v>2450000</v>
      </c>
      <c r="AE27" s="3">
        <v>2450000</v>
      </c>
      <c r="AF27" s="3">
        <v>4040677</v>
      </c>
      <c r="AG27" s="3">
        <v>4859076</v>
      </c>
      <c r="AH27" s="2">
        <v>3.27</v>
      </c>
      <c r="AI27" s="5">
        <v>3.77</v>
      </c>
    </row>
    <row r="28" spans="1:35" x14ac:dyDescent="0.3">
      <c r="A28" s="4" t="str">
        <f>"030501"</f>
        <v>030501</v>
      </c>
      <c r="B28" s="2" t="s">
        <v>26</v>
      </c>
      <c r="C28" s="3">
        <v>20490462</v>
      </c>
      <c r="D28" s="3">
        <v>21792421</v>
      </c>
      <c r="E28" s="2">
        <v>6.35</v>
      </c>
      <c r="F28" s="3">
        <v>4355877</v>
      </c>
      <c r="G28" s="3">
        <v>4480868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4355877</v>
      </c>
      <c r="O28" s="3">
        <v>4480868</v>
      </c>
      <c r="P28" s="2">
        <v>2.87</v>
      </c>
      <c r="Q28" s="3">
        <v>263534</v>
      </c>
      <c r="R28" s="3">
        <v>313449</v>
      </c>
      <c r="S28" s="3">
        <v>4092343</v>
      </c>
      <c r="T28" s="3">
        <v>4167419</v>
      </c>
      <c r="U28" s="3">
        <v>4092343</v>
      </c>
      <c r="V28" s="3">
        <v>4167419</v>
      </c>
      <c r="W28" s="3">
        <v>0</v>
      </c>
      <c r="X28" s="3">
        <v>0</v>
      </c>
      <c r="Y28" s="2">
        <v>641</v>
      </c>
      <c r="Z28" s="2">
        <v>641</v>
      </c>
      <c r="AA28" s="2">
        <v>0</v>
      </c>
      <c r="AB28" s="3">
        <v>3547170</v>
      </c>
      <c r="AC28" s="3">
        <v>4918805</v>
      </c>
      <c r="AD28" s="3">
        <v>593000</v>
      </c>
      <c r="AE28" s="3">
        <v>500000</v>
      </c>
      <c r="AF28" s="3">
        <v>1114086</v>
      </c>
      <c r="AG28" s="3">
        <v>817371</v>
      </c>
      <c r="AH28" s="2">
        <v>5.44</v>
      </c>
      <c r="AI28" s="5">
        <v>3.75</v>
      </c>
    </row>
    <row r="29" spans="1:35" x14ac:dyDescent="0.3">
      <c r="A29" s="4" t="str">
        <f>"030601"</f>
        <v>030601</v>
      </c>
      <c r="B29" s="2" t="s">
        <v>27</v>
      </c>
      <c r="C29" s="3">
        <v>39727126</v>
      </c>
      <c r="D29" s="3">
        <v>40782768</v>
      </c>
      <c r="E29" s="2">
        <v>2.66</v>
      </c>
      <c r="F29" s="3">
        <v>17377250</v>
      </c>
      <c r="G29" s="3">
        <v>17996503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17377250</v>
      </c>
      <c r="O29" s="3">
        <v>17996503</v>
      </c>
      <c r="P29" s="2">
        <v>3.56</v>
      </c>
      <c r="Q29" s="3">
        <v>476456</v>
      </c>
      <c r="R29" s="3">
        <v>371232</v>
      </c>
      <c r="S29" s="3">
        <v>16900794</v>
      </c>
      <c r="T29" s="3">
        <v>17650271</v>
      </c>
      <c r="U29" s="3">
        <v>16900794</v>
      </c>
      <c r="V29" s="3">
        <v>17625271</v>
      </c>
      <c r="W29" s="3">
        <v>0</v>
      </c>
      <c r="X29" s="3">
        <v>25000</v>
      </c>
      <c r="Y29" s="2">
        <v>1361</v>
      </c>
      <c r="Z29" s="2">
        <v>1361</v>
      </c>
      <c r="AA29" s="2">
        <v>0</v>
      </c>
      <c r="AB29" s="3">
        <v>7028561</v>
      </c>
      <c r="AC29" s="3">
        <v>8013127</v>
      </c>
      <c r="AD29" s="3">
        <v>500000</v>
      </c>
      <c r="AE29" s="3">
        <v>875000</v>
      </c>
      <c r="AF29" s="3">
        <v>2104485</v>
      </c>
      <c r="AG29" s="3">
        <v>1610087</v>
      </c>
      <c r="AH29" s="2">
        <v>5.3</v>
      </c>
      <c r="AI29" s="5">
        <v>3.95</v>
      </c>
    </row>
    <row r="30" spans="1:35" x14ac:dyDescent="0.3">
      <c r="A30" s="4" t="str">
        <f>"030701"</f>
        <v>030701</v>
      </c>
      <c r="B30" s="2" t="s">
        <v>28</v>
      </c>
      <c r="C30" s="3">
        <v>40897582</v>
      </c>
      <c r="D30" s="3">
        <v>42328929</v>
      </c>
      <c r="E30" s="2">
        <v>3.5</v>
      </c>
      <c r="F30" s="3">
        <v>20250342</v>
      </c>
      <c r="G30" s="3">
        <v>20521886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20250342</v>
      </c>
      <c r="O30" s="3">
        <v>20521886</v>
      </c>
      <c r="P30" s="2">
        <v>1.34</v>
      </c>
      <c r="Q30" s="3">
        <v>460151</v>
      </c>
      <c r="R30" s="3">
        <v>459532</v>
      </c>
      <c r="S30" s="3">
        <v>19790191</v>
      </c>
      <c r="T30" s="3">
        <v>20062354</v>
      </c>
      <c r="U30" s="3">
        <v>19790191</v>
      </c>
      <c r="V30" s="3">
        <v>20062354</v>
      </c>
      <c r="W30" s="3">
        <v>0</v>
      </c>
      <c r="X30" s="3">
        <v>0</v>
      </c>
      <c r="Y30" s="2">
        <v>1662</v>
      </c>
      <c r="Z30" s="2">
        <v>1662</v>
      </c>
      <c r="AA30" s="2">
        <v>0</v>
      </c>
      <c r="AB30" s="3">
        <v>5405943</v>
      </c>
      <c r="AC30" s="3">
        <v>6193772</v>
      </c>
      <c r="AD30" s="3">
        <v>250000</v>
      </c>
      <c r="AE30" s="3">
        <v>500000</v>
      </c>
      <c r="AF30" s="3">
        <v>1569120</v>
      </c>
      <c r="AG30" s="3">
        <v>1674340</v>
      </c>
      <c r="AH30" s="2">
        <v>3.84</v>
      </c>
      <c r="AI30" s="5">
        <v>3.96</v>
      </c>
    </row>
    <row r="31" spans="1:35" x14ac:dyDescent="0.3">
      <c r="A31" s="4" t="str">
        <f>"031101"</f>
        <v>031101</v>
      </c>
      <c r="B31" s="2" t="s">
        <v>29</v>
      </c>
      <c r="C31" s="3">
        <v>54190263</v>
      </c>
      <c r="D31" s="3">
        <v>57755236</v>
      </c>
      <c r="E31" s="2">
        <v>6.58</v>
      </c>
      <c r="F31" s="3">
        <v>24848513</v>
      </c>
      <c r="G31" s="3">
        <v>25233600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24848513</v>
      </c>
      <c r="O31" s="3">
        <v>25233600</v>
      </c>
      <c r="P31" s="2">
        <v>1.55</v>
      </c>
      <c r="Q31" s="3">
        <v>1234298</v>
      </c>
      <c r="R31" s="3">
        <v>1233795</v>
      </c>
      <c r="S31" s="3">
        <v>23614215</v>
      </c>
      <c r="T31" s="3">
        <v>23999805</v>
      </c>
      <c r="U31" s="3">
        <v>23614215</v>
      </c>
      <c r="V31" s="3">
        <v>23999805</v>
      </c>
      <c r="W31" s="3">
        <v>0</v>
      </c>
      <c r="X31" s="3">
        <v>0</v>
      </c>
      <c r="Y31" s="2">
        <v>2494</v>
      </c>
      <c r="Z31" s="2">
        <v>2494</v>
      </c>
      <c r="AA31" s="2">
        <v>0</v>
      </c>
      <c r="AB31" s="3">
        <v>4216895</v>
      </c>
      <c r="AC31" s="3">
        <v>4439335</v>
      </c>
      <c r="AD31" s="3">
        <v>250000</v>
      </c>
      <c r="AE31" s="3">
        <v>1546389</v>
      </c>
      <c r="AF31" s="3">
        <v>2447552</v>
      </c>
      <c r="AG31" s="3">
        <v>2260529</v>
      </c>
      <c r="AH31" s="2">
        <v>4.5199999999999996</v>
      </c>
      <c r="AI31" s="5">
        <v>3.91</v>
      </c>
    </row>
    <row r="32" spans="1:35" x14ac:dyDescent="0.3">
      <c r="A32" s="4" t="str">
        <f>"031301"</f>
        <v>031301</v>
      </c>
      <c r="B32" s="2" t="s">
        <v>30</v>
      </c>
      <c r="C32" s="3">
        <v>17197590</v>
      </c>
      <c r="D32" s="3">
        <v>17764432</v>
      </c>
      <c r="E32" s="2">
        <v>3.3</v>
      </c>
      <c r="F32" s="3">
        <v>8257912</v>
      </c>
      <c r="G32" s="3">
        <v>8370650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8257912</v>
      </c>
      <c r="O32" s="3">
        <v>8370650</v>
      </c>
      <c r="P32" s="2">
        <v>1.37</v>
      </c>
      <c r="Q32" s="3">
        <v>424761</v>
      </c>
      <c r="R32" s="3">
        <v>426074</v>
      </c>
      <c r="S32" s="3">
        <v>7856151</v>
      </c>
      <c r="T32" s="3">
        <v>7944576</v>
      </c>
      <c r="U32" s="3">
        <v>7833151</v>
      </c>
      <c r="V32" s="3">
        <v>7944576</v>
      </c>
      <c r="W32" s="3">
        <v>23000</v>
      </c>
      <c r="X32" s="3">
        <v>0</v>
      </c>
      <c r="Y32" s="2">
        <v>476</v>
      </c>
      <c r="Z32" s="2">
        <v>476</v>
      </c>
      <c r="AA32" s="2">
        <v>0</v>
      </c>
      <c r="AB32" s="3">
        <v>5229090</v>
      </c>
      <c r="AC32" s="3">
        <v>2484782</v>
      </c>
      <c r="AD32" s="3">
        <v>500000</v>
      </c>
      <c r="AE32" s="3">
        <v>500000</v>
      </c>
      <c r="AF32" s="3">
        <v>888705</v>
      </c>
      <c r="AG32" s="3">
        <v>702956</v>
      </c>
      <c r="AH32" s="2">
        <v>5.17</v>
      </c>
      <c r="AI32" s="5">
        <v>3.96</v>
      </c>
    </row>
    <row r="33" spans="1:35" x14ac:dyDescent="0.3">
      <c r="A33" s="4" t="str">
        <f>"031401"</f>
        <v>031401</v>
      </c>
      <c r="B33" s="2" t="s">
        <v>31</v>
      </c>
      <c r="C33" s="3">
        <v>38028778</v>
      </c>
      <c r="D33" s="3">
        <v>38072888</v>
      </c>
      <c r="E33" s="2">
        <v>0.12</v>
      </c>
      <c r="F33" s="3">
        <v>8449720</v>
      </c>
      <c r="G33" s="3">
        <v>8551853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8449720</v>
      </c>
      <c r="O33" s="3">
        <v>8551853</v>
      </c>
      <c r="P33" s="2">
        <v>1.21</v>
      </c>
      <c r="Q33" s="3">
        <v>353071</v>
      </c>
      <c r="R33" s="3">
        <v>336797</v>
      </c>
      <c r="S33" s="3">
        <v>8096649</v>
      </c>
      <c r="T33" s="3">
        <v>8215056</v>
      </c>
      <c r="U33" s="3">
        <v>8096649</v>
      </c>
      <c r="V33" s="3">
        <v>8215056</v>
      </c>
      <c r="W33" s="3">
        <v>0</v>
      </c>
      <c r="X33" s="3">
        <v>0</v>
      </c>
      <c r="Y33" s="2">
        <v>1393</v>
      </c>
      <c r="Z33" s="2">
        <v>1393</v>
      </c>
      <c r="AA33" s="2">
        <v>0</v>
      </c>
      <c r="AB33" s="3">
        <v>6078760</v>
      </c>
      <c r="AC33" s="3">
        <v>6522029</v>
      </c>
      <c r="AD33" s="3">
        <v>500000</v>
      </c>
      <c r="AE33" s="3">
        <v>500000</v>
      </c>
      <c r="AF33" s="3">
        <v>1449929</v>
      </c>
      <c r="AG33" s="3">
        <v>1495956</v>
      </c>
      <c r="AH33" s="2">
        <v>3.81</v>
      </c>
      <c r="AI33" s="5">
        <v>3.93</v>
      </c>
    </row>
    <row r="34" spans="1:35" x14ac:dyDescent="0.3">
      <c r="A34" s="4" t="str">
        <f>"031501"</f>
        <v>031501</v>
      </c>
      <c r="B34" s="2" t="s">
        <v>32</v>
      </c>
      <c r="C34" s="3">
        <v>87289972</v>
      </c>
      <c r="D34" s="3">
        <v>89573463</v>
      </c>
      <c r="E34" s="2">
        <v>2.62</v>
      </c>
      <c r="F34" s="3">
        <v>42825363</v>
      </c>
      <c r="G34" s="3">
        <v>43336806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42825363</v>
      </c>
      <c r="O34" s="3">
        <v>43336806</v>
      </c>
      <c r="P34" s="2">
        <v>1.19</v>
      </c>
      <c r="Q34" s="3">
        <v>654059</v>
      </c>
      <c r="R34" s="3">
        <v>651535</v>
      </c>
      <c r="S34" s="3">
        <v>42171304</v>
      </c>
      <c r="T34" s="3">
        <v>42685271</v>
      </c>
      <c r="U34" s="3">
        <v>42171304</v>
      </c>
      <c r="V34" s="3">
        <v>42685271</v>
      </c>
      <c r="W34" s="3">
        <v>0</v>
      </c>
      <c r="X34" s="3">
        <v>0</v>
      </c>
      <c r="Y34" s="2">
        <v>3594</v>
      </c>
      <c r="Z34" s="2">
        <v>3594</v>
      </c>
      <c r="AA34" s="2">
        <v>0</v>
      </c>
      <c r="AB34" s="3">
        <v>11977919</v>
      </c>
      <c r="AC34" s="3">
        <v>11659046</v>
      </c>
      <c r="AD34" s="3">
        <v>1500000</v>
      </c>
      <c r="AE34" s="3">
        <v>1500000</v>
      </c>
      <c r="AF34" s="3">
        <v>3358557</v>
      </c>
      <c r="AG34" s="3">
        <v>3522793</v>
      </c>
      <c r="AH34" s="2">
        <v>3.85</v>
      </c>
      <c r="AI34" s="5">
        <v>3.93</v>
      </c>
    </row>
    <row r="35" spans="1:35" x14ac:dyDescent="0.3">
      <c r="A35" s="4" t="str">
        <f>"031502"</f>
        <v>031502</v>
      </c>
      <c r="B35" s="2" t="s">
        <v>33</v>
      </c>
      <c r="C35" s="3">
        <v>56061756</v>
      </c>
      <c r="D35" s="3">
        <v>59473623</v>
      </c>
      <c r="E35" s="2">
        <v>6.09</v>
      </c>
      <c r="F35" s="3">
        <v>26970536</v>
      </c>
      <c r="G35" s="3">
        <v>27045514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26970536</v>
      </c>
      <c r="O35" s="3">
        <v>27045514</v>
      </c>
      <c r="P35" s="2">
        <v>0.28000000000000003</v>
      </c>
      <c r="Q35" s="3">
        <v>982937</v>
      </c>
      <c r="R35" s="3">
        <v>1055579</v>
      </c>
      <c r="S35" s="3">
        <v>25987599</v>
      </c>
      <c r="T35" s="3">
        <v>26442364</v>
      </c>
      <c r="U35" s="3">
        <v>25987599</v>
      </c>
      <c r="V35" s="3">
        <v>25989935</v>
      </c>
      <c r="W35" s="3">
        <v>0</v>
      </c>
      <c r="X35" s="3">
        <v>452429</v>
      </c>
      <c r="Y35" s="2">
        <v>2255</v>
      </c>
      <c r="Z35" s="2">
        <v>2255</v>
      </c>
      <c r="AA35" s="2">
        <v>0</v>
      </c>
      <c r="AB35" s="3">
        <v>7137026</v>
      </c>
      <c r="AC35" s="3">
        <v>8649175</v>
      </c>
      <c r="AD35" s="3">
        <v>750000</v>
      </c>
      <c r="AE35" s="3">
        <v>750000</v>
      </c>
      <c r="AF35" s="3">
        <v>1973543</v>
      </c>
      <c r="AG35" s="3">
        <v>2142603</v>
      </c>
      <c r="AH35" s="2">
        <v>3.52</v>
      </c>
      <c r="AI35" s="5">
        <v>3.6</v>
      </c>
    </row>
    <row r="36" spans="1:35" x14ac:dyDescent="0.3">
      <c r="A36" s="4" t="str">
        <f>"031601"</f>
        <v>031601</v>
      </c>
      <c r="B36" s="2" t="s">
        <v>34</v>
      </c>
      <c r="C36" s="3">
        <v>80582859</v>
      </c>
      <c r="D36" s="3">
        <v>82972893</v>
      </c>
      <c r="E36" s="2">
        <v>2.97</v>
      </c>
      <c r="F36" s="3">
        <v>48596537</v>
      </c>
      <c r="G36" s="3">
        <v>48596537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48596537</v>
      </c>
      <c r="O36" s="3">
        <v>48596537</v>
      </c>
      <c r="P36" s="2">
        <v>0</v>
      </c>
      <c r="Q36" s="3">
        <v>1709166</v>
      </c>
      <c r="R36" s="3">
        <v>1707514</v>
      </c>
      <c r="S36" s="3">
        <v>46887371</v>
      </c>
      <c r="T36" s="3">
        <v>47505263</v>
      </c>
      <c r="U36" s="3">
        <v>46887371</v>
      </c>
      <c r="V36" s="3">
        <v>46889023</v>
      </c>
      <c r="W36" s="3">
        <v>0</v>
      </c>
      <c r="X36" s="3">
        <v>616240</v>
      </c>
      <c r="Y36" s="2">
        <v>3275</v>
      </c>
      <c r="Z36" s="2">
        <v>3275</v>
      </c>
      <c r="AA36" s="2">
        <v>0</v>
      </c>
      <c r="AB36" s="3">
        <v>20541094</v>
      </c>
      <c r="AC36" s="3">
        <v>22578889</v>
      </c>
      <c r="AD36" s="3">
        <v>2051989</v>
      </c>
      <c r="AE36" s="3">
        <v>2200000</v>
      </c>
      <c r="AF36" s="3">
        <v>2981664</v>
      </c>
      <c r="AG36" s="3">
        <v>3300619</v>
      </c>
      <c r="AH36" s="2">
        <v>3.7</v>
      </c>
      <c r="AI36" s="5">
        <v>3.98</v>
      </c>
    </row>
    <row r="37" spans="1:35" x14ac:dyDescent="0.3">
      <c r="A37" s="4" t="str">
        <f>"031701"</f>
        <v>031701</v>
      </c>
      <c r="B37" s="2" t="s">
        <v>35</v>
      </c>
      <c r="C37" s="3">
        <v>41924762</v>
      </c>
      <c r="D37" s="3">
        <v>43137114</v>
      </c>
      <c r="E37" s="2">
        <v>2.89</v>
      </c>
      <c r="F37" s="3">
        <v>15719708</v>
      </c>
      <c r="G37" s="3">
        <v>16008579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15719708</v>
      </c>
      <c r="O37" s="3">
        <v>16008579</v>
      </c>
      <c r="P37" s="2">
        <v>1.84</v>
      </c>
      <c r="Q37" s="3">
        <v>507421</v>
      </c>
      <c r="R37" s="3">
        <v>507232</v>
      </c>
      <c r="S37" s="3">
        <v>15212287</v>
      </c>
      <c r="T37" s="3">
        <v>15501347</v>
      </c>
      <c r="U37" s="3">
        <v>15212287</v>
      </c>
      <c r="V37" s="3">
        <v>15501347</v>
      </c>
      <c r="W37" s="3">
        <v>0</v>
      </c>
      <c r="X37" s="3">
        <v>0</v>
      </c>
      <c r="Y37" s="2">
        <v>1521</v>
      </c>
      <c r="Z37" s="2">
        <v>1521</v>
      </c>
      <c r="AA37" s="2">
        <v>0</v>
      </c>
      <c r="AB37" s="3">
        <v>4346243</v>
      </c>
      <c r="AC37" s="3">
        <v>6432535</v>
      </c>
      <c r="AD37" s="3">
        <v>500000</v>
      </c>
      <c r="AE37" s="3">
        <v>500000</v>
      </c>
      <c r="AF37" s="3">
        <v>1754645</v>
      </c>
      <c r="AG37" s="3">
        <v>1697268</v>
      </c>
      <c r="AH37" s="2">
        <v>4.1900000000000004</v>
      </c>
      <c r="AI37" s="5">
        <v>3.93</v>
      </c>
    </row>
    <row r="38" spans="1:35" x14ac:dyDescent="0.3">
      <c r="A38" s="4" t="str">
        <f>"040204"</f>
        <v>040204</v>
      </c>
      <c r="B38" s="2" t="s">
        <v>36</v>
      </c>
      <c r="C38" s="3">
        <v>8696714</v>
      </c>
      <c r="D38" s="3">
        <v>9038905</v>
      </c>
      <c r="E38" s="2">
        <v>3.93</v>
      </c>
      <c r="F38" s="3">
        <v>2883716</v>
      </c>
      <c r="G38" s="3">
        <v>2883716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2883716</v>
      </c>
      <c r="O38" s="3">
        <v>2883716</v>
      </c>
      <c r="P38" s="2">
        <v>0</v>
      </c>
      <c r="Q38" s="3">
        <v>0</v>
      </c>
      <c r="R38" s="3">
        <v>0</v>
      </c>
      <c r="S38" s="3">
        <v>3042075</v>
      </c>
      <c r="T38" s="3">
        <v>2947435</v>
      </c>
      <c r="U38" s="3">
        <v>2883716</v>
      </c>
      <c r="V38" s="3">
        <v>2883716</v>
      </c>
      <c r="W38" s="3">
        <v>158359</v>
      </c>
      <c r="X38" s="3">
        <v>63719</v>
      </c>
      <c r="Y38" s="2">
        <v>207</v>
      </c>
      <c r="Z38" s="2">
        <v>192</v>
      </c>
      <c r="AA38" s="2">
        <v>-7.25</v>
      </c>
      <c r="AB38" s="3">
        <v>2592740</v>
      </c>
      <c r="AC38" s="3">
        <v>2648740</v>
      </c>
      <c r="AD38" s="3">
        <v>804777</v>
      </c>
      <c r="AE38" s="3">
        <v>804777</v>
      </c>
      <c r="AF38" s="3">
        <v>1237088</v>
      </c>
      <c r="AG38" s="3">
        <v>1237088</v>
      </c>
      <c r="AH38" s="2">
        <v>14.22</v>
      </c>
      <c r="AI38" s="5">
        <v>13.69</v>
      </c>
    </row>
    <row r="39" spans="1:35" x14ac:dyDescent="0.3">
      <c r="A39" s="4" t="str">
        <f>"040302"</f>
        <v>040302</v>
      </c>
      <c r="B39" s="2" t="s">
        <v>37</v>
      </c>
      <c r="C39" s="3">
        <v>24395475</v>
      </c>
      <c r="D39" s="3">
        <v>24518929</v>
      </c>
      <c r="E39" s="2">
        <v>0.51</v>
      </c>
      <c r="F39" s="3">
        <v>7155796</v>
      </c>
      <c r="G39" s="3">
        <v>7155796</v>
      </c>
      <c r="H39" s="3"/>
      <c r="I39" s="3"/>
      <c r="J39" s="3"/>
      <c r="K39" s="3"/>
      <c r="L39" s="3"/>
      <c r="M39" s="3"/>
      <c r="N39" s="3">
        <v>7155796</v>
      </c>
      <c r="O39" s="3">
        <v>7155796</v>
      </c>
      <c r="P39" s="2">
        <v>0</v>
      </c>
      <c r="Q39" s="3">
        <v>0</v>
      </c>
      <c r="R39" s="3">
        <v>0</v>
      </c>
      <c r="S39" s="3">
        <v>7390175</v>
      </c>
      <c r="T39" s="3">
        <v>7545087</v>
      </c>
      <c r="U39" s="3">
        <v>7155796</v>
      </c>
      <c r="V39" s="3">
        <v>7155796</v>
      </c>
      <c r="W39" s="3">
        <v>234379</v>
      </c>
      <c r="X39" s="3">
        <v>389291</v>
      </c>
      <c r="Y39" s="2">
        <v>1156</v>
      </c>
      <c r="Z39" s="2">
        <v>1066</v>
      </c>
      <c r="AA39" s="2">
        <v>-7.79</v>
      </c>
      <c r="AB39" s="3">
        <v>2468478</v>
      </c>
      <c r="AC39" s="3">
        <v>2468478</v>
      </c>
      <c r="AD39" s="3">
        <v>428236</v>
      </c>
      <c r="AE39" s="3">
        <v>331770</v>
      </c>
      <c r="AF39" s="3">
        <v>2122665</v>
      </c>
      <c r="AG39" s="3">
        <v>1991868</v>
      </c>
      <c r="AH39" s="2">
        <v>8.6999999999999993</v>
      </c>
      <c r="AI39" s="5">
        <v>8.1199999999999992</v>
      </c>
    </row>
    <row r="40" spans="1:35" x14ac:dyDescent="0.3">
      <c r="A40" s="4" t="str">
        <f>"040901"</f>
        <v>040901</v>
      </c>
      <c r="B40" s="2" t="s">
        <v>38</v>
      </c>
      <c r="C40" s="3">
        <v>13216872</v>
      </c>
      <c r="D40" s="3">
        <v>13458285</v>
      </c>
      <c r="E40" s="2">
        <v>1.83</v>
      </c>
      <c r="F40" s="3">
        <v>7972963</v>
      </c>
      <c r="G40" s="3">
        <v>8156960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7972963</v>
      </c>
      <c r="O40" s="3">
        <v>8156960</v>
      </c>
      <c r="P40" s="2">
        <v>2.31</v>
      </c>
      <c r="Q40" s="3">
        <v>834191</v>
      </c>
      <c r="R40" s="3">
        <v>839119</v>
      </c>
      <c r="S40" s="3">
        <v>7138772</v>
      </c>
      <c r="T40" s="3">
        <v>7317841</v>
      </c>
      <c r="U40" s="3">
        <v>7138772</v>
      </c>
      <c r="V40" s="3">
        <v>7317841</v>
      </c>
      <c r="W40" s="3">
        <v>0</v>
      </c>
      <c r="X40" s="3">
        <v>0</v>
      </c>
      <c r="Y40" s="2">
        <v>611</v>
      </c>
      <c r="Z40" s="2">
        <v>623</v>
      </c>
      <c r="AA40" s="2">
        <v>1.96</v>
      </c>
      <c r="AB40" s="3">
        <v>628501</v>
      </c>
      <c r="AC40" s="3">
        <v>956320</v>
      </c>
      <c r="AD40" s="3">
        <v>576516</v>
      </c>
      <c r="AE40" s="3">
        <v>527729</v>
      </c>
      <c r="AF40" s="3">
        <v>1068024</v>
      </c>
      <c r="AG40" s="3">
        <v>740205</v>
      </c>
      <c r="AH40" s="2">
        <v>8.08</v>
      </c>
      <c r="AI40" s="5">
        <v>5.5</v>
      </c>
    </row>
    <row r="41" spans="1:35" x14ac:dyDescent="0.3">
      <c r="A41" s="4" t="str">
        <f>"041101"</f>
        <v>041101</v>
      </c>
      <c r="B41" s="2" t="s">
        <v>39</v>
      </c>
      <c r="C41" s="3">
        <v>19689962</v>
      </c>
      <c r="D41" s="3">
        <v>19909861</v>
      </c>
      <c r="E41" s="2">
        <v>1.1200000000000001</v>
      </c>
      <c r="F41" s="3">
        <v>4300000</v>
      </c>
      <c r="G41" s="3">
        <v>4300000</v>
      </c>
      <c r="H41" s="3"/>
      <c r="I41" s="3"/>
      <c r="J41" s="3"/>
      <c r="K41" s="3"/>
      <c r="L41" s="3"/>
      <c r="M41" s="3"/>
      <c r="N41" s="3">
        <v>4300000</v>
      </c>
      <c r="O41" s="3">
        <v>4300000</v>
      </c>
      <c r="P41" s="2">
        <v>0</v>
      </c>
      <c r="Q41" s="3">
        <v>0</v>
      </c>
      <c r="R41" s="3">
        <v>0</v>
      </c>
      <c r="S41" s="3">
        <v>4451097</v>
      </c>
      <c r="T41" s="3">
        <v>4444467</v>
      </c>
      <c r="U41" s="3">
        <v>4300000</v>
      </c>
      <c r="V41" s="3">
        <v>4300000</v>
      </c>
      <c r="W41" s="3">
        <v>151097</v>
      </c>
      <c r="X41" s="3">
        <v>144467</v>
      </c>
      <c r="Y41" s="2">
        <v>690</v>
      </c>
      <c r="Z41" s="2">
        <v>690</v>
      </c>
      <c r="AA41" s="2">
        <v>0</v>
      </c>
      <c r="AB41" s="3">
        <v>3310203</v>
      </c>
      <c r="AC41" s="3">
        <v>3925203</v>
      </c>
      <c r="AD41" s="3">
        <v>545212</v>
      </c>
      <c r="AE41" s="3">
        <v>350259</v>
      </c>
      <c r="AF41" s="3">
        <v>3007886</v>
      </c>
      <c r="AG41" s="3">
        <v>2595084</v>
      </c>
      <c r="AH41" s="2">
        <v>15.28</v>
      </c>
      <c r="AI41" s="5">
        <v>13.03</v>
      </c>
    </row>
    <row r="42" spans="1:35" x14ac:dyDescent="0.3">
      <c r="A42" s="4" t="str">
        <f>"041401"</f>
        <v>041401</v>
      </c>
      <c r="B42" s="2" t="s">
        <v>40</v>
      </c>
      <c r="C42" s="3">
        <v>10780500</v>
      </c>
      <c r="D42" s="3">
        <v>10957600</v>
      </c>
      <c r="E42" s="2">
        <v>1.64</v>
      </c>
      <c r="F42" s="3">
        <v>2092371</v>
      </c>
      <c r="G42" s="3">
        <v>2134769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2092371</v>
      </c>
      <c r="O42" s="3">
        <v>2134769</v>
      </c>
      <c r="P42" s="2">
        <v>2.0299999999999998</v>
      </c>
      <c r="Q42" s="3">
        <v>12618</v>
      </c>
      <c r="R42" s="3">
        <v>54487</v>
      </c>
      <c r="S42" s="3">
        <v>2079753</v>
      </c>
      <c r="T42" s="3">
        <v>2080282</v>
      </c>
      <c r="U42" s="3">
        <v>2079753</v>
      </c>
      <c r="V42" s="3">
        <v>2080282</v>
      </c>
      <c r="W42" s="3">
        <v>0</v>
      </c>
      <c r="X42" s="3">
        <v>0</v>
      </c>
      <c r="Y42" s="2">
        <v>412</v>
      </c>
      <c r="Z42" s="2">
        <v>391</v>
      </c>
      <c r="AA42" s="2">
        <v>-5.0999999999999996</v>
      </c>
      <c r="AB42" s="3">
        <v>1702748</v>
      </c>
      <c r="AC42" s="3">
        <v>1514248</v>
      </c>
      <c r="AD42" s="3">
        <v>587200</v>
      </c>
      <c r="AE42" s="3">
        <v>500000</v>
      </c>
      <c r="AF42" s="3">
        <v>1644333</v>
      </c>
      <c r="AG42" s="3">
        <v>1079611</v>
      </c>
      <c r="AH42" s="2">
        <v>15.25</v>
      </c>
      <c r="AI42" s="5">
        <v>9.85</v>
      </c>
    </row>
    <row r="43" spans="1:35" x14ac:dyDescent="0.3">
      <c r="A43" s="4" t="str">
        <f>"042302"</f>
        <v>042302</v>
      </c>
      <c r="B43" s="2" t="s">
        <v>41</v>
      </c>
      <c r="C43" s="3">
        <v>26569055</v>
      </c>
      <c r="D43" s="3">
        <v>27433088</v>
      </c>
      <c r="E43" s="2">
        <v>3.25</v>
      </c>
      <c r="F43" s="3">
        <v>4858330</v>
      </c>
      <c r="G43" s="3">
        <v>4858330</v>
      </c>
      <c r="H43" s="3">
        <v>130000</v>
      </c>
      <c r="I43" s="3">
        <v>130000</v>
      </c>
      <c r="J43" s="3"/>
      <c r="K43" s="3"/>
      <c r="L43" s="3"/>
      <c r="M43" s="3"/>
      <c r="N43" s="3">
        <v>4988330</v>
      </c>
      <c r="O43" s="3">
        <v>4988330</v>
      </c>
      <c r="P43" s="2">
        <v>0</v>
      </c>
      <c r="Q43" s="3">
        <v>90448</v>
      </c>
      <c r="R43" s="3">
        <v>188188</v>
      </c>
      <c r="S43" s="3">
        <v>4850052</v>
      </c>
      <c r="T43" s="3">
        <v>4845216</v>
      </c>
      <c r="U43" s="3">
        <v>4767882</v>
      </c>
      <c r="V43" s="3">
        <v>4670142</v>
      </c>
      <c r="W43" s="3">
        <v>82170</v>
      </c>
      <c r="X43" s="3">
        <v>175074</v>
      </c>
      <c r="Y43" s="2">
        <v>918</v>
      </c>
      <c r="Z43" s="2">
        <v>918</v>
      </c>
      <c r="AA43" s="2">
        <v>0</v>
      </c>
      <c r="AB43" s="3">
        <v>1870730</v>
      </c>
      <c r="AC43" s="3">
        <v>1620030</v>
      </c>
      <c r="AD43" s="3">
        <v>929768</v>
      </c>
      <c r="AE43" s="3">
        <v>882649</v>
      </c>
      <c r="AF43" s="3">
        <v>7801774</v>
      </c>
      <c r="AG43" s="3">
        <v>8749192</v>
      </c>
      <c r="AH43" s="2">
        <v>29.36</v>
      </c>
      <c r="AI43" s="5">
        <v>31.89</v>
      </c>
    </row>
    <row r="44" spans="1:35" x14ac:dyDescent="0.3">
      <c r="A44" s="4" t="str">
        <f>"042400"</f>
        <v>042400</v>
      </c>
      <c r="B44" s="2" t="s">
        <v>42</v>
      </c>
      <c r="C44" s="3">
        <v>43185450</v>
      </c>
      <c r="D44" s="3">
        <v>43684152</v>
      </c>
      <c r="E44" s="2">
        <v>1.1499999999999999</v>
      </c>
      <c r="F44" s="3">
        <v>13888098</v>
      </c>
      <c r="G44" s="3">
        <v>13888098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13888098</v>
      </c>
      <c r="O44" s="3">
        <v>13888098</v>
      </c>
      <c r="P44" s="2">
        <v>0</v>
      </c>
      <c r="Q44" s="3">
        <v>182760</v>
      </c>
      <c r="R44" s="3">
        <v>156331</v>
      </c>
      <c r="S44" s="3">
        <v>13773816</v>
      </c>
      <c r="T44" s="3">
        <v>13871525</v>
      </c>
      <c r="U44" s="3">
        <v>13705338</v>
      </c>
      <c r="V44" s="3">
        <v>13731767</v>
      </c>
      <c r="W44" s="3">
        <v>68478</v>
      </c>
      <c r="X44" s="3">
        <v>139758</v>
      </c>
      <c r="Y44" s="2">
        <v>2111</v>
      </c>
      <c r="Z44" s="2">
        <v>2057</v>
      </c>
      <c r="AA44" s="2">
        <v>-2.56</v>
      </c>
      <c r="AB44" s="3">
        <v>8696197</v>
      </c>
      <c r="AC44" s="3">
        <v>9078692</v>
      </c>
      <c r="AD44" s="3">
        <v>600000</v>
      </c>
      <c r="AE44" s="3">
        <v>600000</v>
      </c>
      <c r="AF44" s="3">
        <v>1747366</v>
      </c>
      <c r="AG44" s="3">
        <v>1791050</v>
      </c>
      <c r="AH44" s="2">
        <v>4.05</v>
      </c>
      <c r="AI44" s="5">
        <v>4.0999999999999996</v>
      </c>
    </row>
    <row r="45" spans="1:35" x14ac:dyDescent="0.3">
      <c r="A45" s="4" t="str">
        <f>"042801"</f>
        <v>042801</v>
      </c>
      <c r="B45" s="2" t="s">
        <v>43</v>
      </c>
      <c r="C45" s="3">
        <v>34298981</v>
      </c>
      <c r="D45" s="3">
        <v>34098646</v>
      </c>
      <c r="E45" s="2">
        <v>-0.57999999999999996</v>
      </c>
      <c r="F45" s="3">
        <v>5096220</v>
      </c>
      <c r="G45" s="3">
        <v>5157994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5096220</v>
      </c>
      <c r="O45" s="3">
        <v>5157994</v>
      </c>
      <c r="P45" s="2">
        <v>1.21</v>
      </c>
      <c r="Q45" s="3">
        <v>0</v>
      </c>
      <c r="R45" s="3">
        <v>0</v>
      </c>
      <c r="S45" s="3">
        <v>5248891</v>
      </c>
      <c r="T45" s="3">
        <v>5236728</v>
      </c>
      <c r="U45" s="3">
        <v>5096220</v>
      </c>
      <c r="V45" s="3">
        <v>5157994</v>
      </c>
      <c r="W45" s="3">
        <v>152671</v>
      </c>
      <c r="X45" s="3">
        <v>78734</v>
      </c>
      <c r="Y45" s="2">
        <v>1150</v>
      </c>
      <c r="Z45" s="2">
        <v>1103</v>
      </c>
      <c r="AA45" s="2">
        <v>-4.09</v>
      </c>
      <c r="AB45" s="3">
        <v>4862706</v>
      </c>
      <c r="AC45" s="3">
        <v>6807806</v>
      </c>
      <c r="AD45" s="3">
        <v>1877103</v>
      </c>
      <c r="AE45" s="3">
        <v>2511898</v>
      </c>
      <c r="AF45" s="3">
        <v>5548599</v>
      </c>
      <c r="AG45" s="3">
        <v>6742297</v>
      </c>
      <c r="AH45" s="2">
        <v>16.18</v>
      </c>
      <c r="AI45" s="5">
        <v>19.77</v>
      </c>
    </row>
    <row r="46" spans="1:35" x14ac:dyDescent="0.3">
      <c r="A46" s="4" t="str">
        <f>"042901"</f>
        <v>042901</v>
      </c>
      <c r="B46" s="2" t="s">
        <v>44</v>
      </c>
      <c r="C46" s="3">
        <v>19046090</v>
      </c>
      <c r="D46" s="3">
        <v>21044197</v>
      </c>
      <c r="E46" s="2">
        <v>10.49</v>
      </c>
      <c r="F46" s="3">
        <v>4871122</v>
      </c>
      <c r="G46" s="3">
        <v>4871122</v>
      </c>
      <c r="H46" s="3"/>
      <c r="I46" s="3"/>
      <c r="J46" s="3"/>
      <c r="K46" s="3"/>
      <c r="L46" s="3"/>
      <c r="M46" s="3"/>
      <c r="N46" s="3">
        <v>4871122</v>
      </c>
      <c r="O46" s="3">
        <v>4871122</v>
      </c>
      <c r="P46" s="2">
        <v>0</v>
      </c>
      <c r="Q46" s="3">
        <v>132751</v>
      </c>
      <c r="R46" s="3">
        <v>132751</v>
      </c>
      <c r="S46" s="3">
        <v>4756929</v>
      </c>
      <c r="T46" s="3">
        <v>4809474</v>
      </c>
      <c r="U46" s="3">
        <v>4738371</v>
      </c>
      <c r="V46" s="3">
        <v>4738371</v>
      </c>
      <c r="W46" s="3">
        <v>18558</v>
      </c>
      <c r="X46" s="3">
        <v>71103</v>
      </c>
      <c r="Y46" s="2">
        <v>931</v>
      </c>
      <c r="Z46" s="2">
        <v>1005</v>
      </c>
      <c r="AA46" s="2">
        <v>7.95</v>
      </c>
      <c r="AB46" s="3">
        <v>2699608</v>
      </c>
      <c r="AC46" s="3">
        <v>3049608</v>
      </c>
      <c r="AD46" s="3">
        <v>836858</v>
      </c>
      <c r="AE46" s="3">
        <v>757324</v>
      </c>
      <c r="AF46" s="3">
        <v>1062386</v>
      </c>
      <c r="AG46" s="3">
        <v>1002307</v>
      </c>
      <c r="AH46" s="2">
        <v>5.58</v>
      </c>
      <c r="AI46" s="5">
        <v>4.76</v>
      </c>
    </row>
    <row r="47" spans="1:35" x14ac:dyDescent="0.3">
      <c r="A47" s="4" t="str">
        <f>"043001"</f>
        <v>043001</v>
      </c>
      <c r="B47" s="2" t="s">
        <v>45</v>
      </c>
      <c r="C47" s="3">
        <v>20192110</v>
      </c>
      <c r="D47" s="3">
        <v>20477498</v>
      </c>
      <c r="E47" s="2">
        <v>1.41</v>
      </c>
      <c r="F47" s="3">
        <v>4610514</v>
      </c>
      <c r="G47" s="3">
        <v>4675060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4610514</v>
      </c>
      <c r="O47" s="3">
        <v>4675060</v>
      </c>
      <c r="P47" s="2">
        <v>1.4</v>
      </c>
      <c r="Q47" s="3">
        <v>0</v>
      </c>
      <c r="R47" s="3">
        <v>0</v>
      </c>
      <c r="S47" s="3">
        <v>4795621</v>
      </c>
      <c r="T47" s="3">
        <v>4792123</v>
      </c>
      <c r="U47" s="3">
        <v>4610514</v>
      </c>
      <c r="V47" s="3">
        <v>4675060</v>
      </c>
      <c r="W47" s="3">
        <v>185107</v>
      </c>
      <c r="X47" s="3">
        <v>117063</v>
      </c>
      <c r="Y47" s="2">
        <v>951</v>
      </c>
      <c r="Z47" s="2">
        <v>891</v>
      </c>
      <c r="AA47" s="2">
        <v>-6.31</v>
      </c>
      <c r="AB47" s="3">
        <v>2771113</v>
      </c>
      <c r="AC47" s="3">
        <v>4071113</v>
      </c>
      <c r="AD47" s="3">
        <v>1301441</v>
      </c>
      <c r="AE47" s="3">
        <v>1455722</v>
      </c>
      <c r="AF47" s="3">
        <v>4008868</v>
      </c>
      <c r="AG47" s="3">
        <v>2554587</v>
      </c>
      <c r="AH47" s="2">
        <v>19.850000000000001</v>
      </c>
      <c r="AI47" s="5">
        <v>12.48</v>
      </c>
    </row>
    <row r="48" spans="1:35" x14ac:dyDescent="0.3">
      <c r="A48" s="4" t="str">
        <f>"043200"</f>
        <v>043200</v>
      </c>
      <c r="B48" s="2" t="s">
        <v>46</v>
      </c>
      <c r="C48" s="3">
        <v>43537292</v>
      </c>
      <c r="D48" s="3">
        <v>47718272</v>
      </c>
      <c r="E48" s="2">
        <v>9.6</v>
      </c>
      <c r="F48" s="3">
        <v>250000</v>
      </c>
      <c r="G48" s="3">
        <v>250000</v>
      </c>
      <c r="H48" s="3"/>
      <c r="I48" s="3"/>
      <c r="J48" s="3"/>
      <c r="K48" s="3"/>
      <c r="L48" s="3"/>
      <c r="M48" s="3"/>
      <c r="N48" s="3">
        <v>250000</v>
      </c>
      <c r="O48" s="3">
        <v>250000</v>
      </c>
      <c r="P48" s="2">
        <v>0</v>
      </c>
      <c r="Q48" s="3">
        <v>454845</v>
      </c>
      <c r="R48" s="3">
        <v>1005143</v>
      </c>
      <c r="S48" s="3">
        <v>-87495</v>
      </c>
      <c r="T48" s="3">
        <v>-207364</v>
      </c>
      <c r="U48" s="3">
        <v>-204845</v>
      </c>
      <c r="V48" s="3">
        <v>-755143</v>
      </c>
      <c r="W48" s="3">
        <v>117350</v>
      </c>
      <c r="X48" s="3">
        <v>547779</v>
      </c>
      <c r="Y48" s="2">
        <v>1396</v>
      </c>
      <c r="Z48" s="2">
        <v>1401</v>
      </c>
      <c r="AA48" s="2">
        <v>0.36</v>
      </c>
      <c r="AB48" s="3">
        <v>5092747</v>
      </c>
      <c r="AC48" s="3">
        <v>5385696</v>
      </c>
      <c r="AD48" s="3">
        <v>3365896</v>
      </c>
      <c r="AE48" s="3">
        <v>3250000</v>
      </c>
      <c r="AF48" s="3">
        <v>12465298</v>
      </c>
      <c r="AG48" s="3">
        <v>15741693</v>
      </c>
      <c r="AH48" s="2">
        <v>28.63</v>
      </c>
      <c r="AI48" s="5">
        <v>32.99</v>
      </c>
    </row>
    <row r="49" spans="1:35" x14ac:dyDescent="0.3">
      <c r="A49" s="4" t="str">
        <f>"043501"</f>
        <v>043501</v>
      </c>
      <c r="B49" s="2" t="s">
        <v>47</v>
      </c>
      <c r="C49" s="3">
        <v>58613144</v>
      </c>
      <c r="D49" s="3">
        <v>59421266</v>
      </c>
      <c r="E49" s="2">
        <v>1.38</v>
      </c>
      <c r="F49" s="3">
        <v>13255227</v>
      </c>
      <c r="G49" s="3">
        <v>13430208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13255227</v>
      </c>
      <c r="O49" s="3">
        <v>13430208</v>
      </c>
      <c r="P49" s="2">
        <v>1.32</v>
      </c>
      <c r="Q49" s="3">
        <v>133165</v>
      </c>
      <c r="R49" s="3">
        <v>33458</v>
      </c>
      <c r="S49" s="3">
        <v>13122062</v>
      </c>
      <c r="T49" s="3">
        <v>13396750</v>
      </c>
      <c r="U49" s="3">
        <v>13122062</v>
      </c>
      <c r="V49" s="3">
        <v>13396750</v>
      </c>
      <c r="W49" s="3">
        <v>0</v>
      </c>
      <c r="X49" s="3">
        <v>0</v>
      </c>
      <c r="Y49" s="2">
        <v>2161</v>
      </c>
      <c r="Z49" s="2">
        <v>2160</v>
      </c>
      <c r="AA49" s="2">
        <v>-0.05</v>
      </c>
      <c r="AB49" s="3">
        <v>2640636</v>
      </c>
      <c r="AC49" s="3">
        <v>3140636</v>
      </c>
      <c r="AD49" s="3">
        <v>3632476</v>
      </c>
      <c r="AE49" s="3">
        <v>3250000</v>
      </c>
      <c r="AF49" s="3">
        <v>7665229</v>
      </c>
      <c r="AG49" s="3">
        <v>7650000</v>
      </c>
      <c r="AH49" s="2">
        <v>13.08</v>
      </c>
      <c r="AI49" s="5">
        <v>12.87</v>
      </c>
    </row>
    <row r="50" spans="1:35" x14ac:dyDescent="0.3">
      <c r="A50" s="4" t="str">
        <f>"050100"</f>
        <v>050100</v>
      </c>
      <c r="B50" s="2" t="s">
        <v>48</v>
      </c>
      <c r="C50" s="3">
        <v>80725559</v>
      </c>
      <c r="D50" s="3">
        <v>83961951</v>
      </c>
      <c r="E50" s="2">
        <v>4.01</v>
      </c>
      <c r="F50" s="3">
        <v>32506722</v>
      </c>
      <c r="G50" s="3">
        <v>33431783</v>
      </c>
      <c r="H50" s="3"/>
      <c r="I50" s="3"/>
      <c r="J50" s="3"/>
      <c r="K50" s="3"/>
      <c r="L50" s="3"/>
      <c r="M50" s="3"/>
      <c r="N50" s="3">
        <v>32506722</v>
      </c>
      <c r="O50" s="3">
        <v>33431783</v>
      </c>
      <c r="P50" s="2">
        <v>2.85</v>
      </c>
      <c r="Q50" s="3">
        <v>665071</v>
      </c>
      <c r="R50" s="3">
        <v>1082529</v>
      </c>
      <c r="S50" s="3">
        <v>31841651</v>
      </c>
      <c r="T50" s="3">
        <v>32349254</v>
      </c>
      <c r="U50" s="3">
        <v>31841651</v>
      </c>
      <c r="V50" s="3">
        <v>32349254</v>
      </c>
      <c r="W50" s="3">
        <v>0</v>
      </c>
      <c r="X50" s="3">
        <v>0</v>
      </c>
      <c r="Y50" s="2">
        <v>4119</v>
      </c>
      <c r="Z50" s="2">
        <v>3958</v>
      </c>
      <c r="AA50" s="2">
        <v>-3.91</v>
      </c>
      <c r="AB50" s="3">
        <v>5832581</v>
      </c>
      <c r="AC50" s="3">
        <v>5839000</v>
      </c>
      <c r="AD50" s="3">
        <v>1403328</v>
      </c>
      <c r="AE50" s="3">
        <v>1347897</v>
      </c>
      <c r="AF50" s="3">
        <v>8953238</v>
      </c>
      <c r="AG50" s="3">
        <v>7905341</v>
      </c>
      <c r="AH50" s="2">
        <v>11.09</v>
      </c>
      <c r="AI50" s="5">
        <v>9.42</v>
      </c>
    </row>
    <row r="51" spans="1:35" x14ac:dyDescent="0.3">
      <c r="A51" s="4" t="str">
        <f>"050301"</f>
        <v>050301</v>
      </c>
      <c r="B51" s="2" t="s">
        <v>49</v>
      </c>
      <c r="C51" s="3">
        <v>20295324</v>
      </c>
      <c r="D51" s="3">
        <v>20423622</v>
      </c>
      <c r="E51" s="2">
        <v>0.63</v>
      </c>
      <c r="F51" s="3">
        <v>8178021</v>
      </c>
      <c r="G51" s="3">
        <v>8178021</v>
      </c>
      <c r="H51" s="3"/>
      <c r="I51" s="3"/>
      <c r="J51" s="3"/>
      <c r="K51" s="3"/>
      <c r="L51" s="3"/>
      <c r="M51" s="3"/>
      <c r="N51" s="3">
        <v>8178021</v>
      </c>
      <c r="O51" s="3">
        <v>8178021</v>
      </c>
      <c r="P51" s="2">
        <v>0</v>
      </c>
      <c r="Q51" s="3">
        <v>0</v>
      </c>
      <c r="R51" s="3">
        <v>0</v>
      </c>
      <c r="S51" s="3">
        <v>8224037</v>
      </c>
      <c r="T51" s="3">
        <v>8371335</v>
      </c>
      <c r="U51" s="3">
        <v>8178021</v>
      </c>
      <c r="V51" s="3">
        <v>8178021</v>
      </c>
      <c r="W51" s="3">
        <v>46016</v>
      </c>
      <c r="X51" s="3">
        <v>193314</v>
      </c>
      <c r="Y51" s="2">
        <v>711</v>
      </c>
      <c r="Z51" s="2">
        <v>692</v>
      </c>
      <c r="AA51" s="2">
        <v>-2.67</v>
      </c>
      <c r="AB51" s="3">
        <v>831535</v>
      </c>
      <c r="AC51" s="3">
        <v>831535</v>
      </c>
      <c r="AD51" s="3">
        <v>564500</v>
      </c>
      <c r="AE51" s="3">
        <v>564500</v>
      </c>
      <c r="AF51" s="3">
        <v>310818</v>
      </c>
      <c r="AG51" s="3">
        <v>310818</v>
      </c>
      <c r="AH51" s="2">
        <v>1.53</v>
      </c>
      <c r="AI51" s="5">
        <v>1.52</v>
      </c>
    </row>
    <row r="52" spans="1:35" x14ac:dyDescent="0.3">
      <c r="A52" s="4" t="str">
        <f>"050401"</f>
        <v>050401</v>
      </c>
      <c r="B52" s="2" t="s">
        <v>50</v>
      </c>
      <c r="C52" s="3">
        <v>20893690</v>
      </c>
      <c r="D52" s="3">
        <v>22459281</v>
      </c>
      <c r="E52" s="2">
        <v>7.49</v>
      </c>
      <c r="F52" s="3">
        <v>6128352</v>
      </c>
      <c r="G52" s="3">
        <v>6128352</v>
      </c>
      <c r="H52" s="3">
        <v>75000</v>
      </c>
      <c r="I52" s="3">
        <v>75000</v>
      </c>
      <c r="J52" s="3">
        <v>0</v>
      </c>
      <c r="K52" s="3">
        <v>0</v>
      </c>
      <c r="L52" s="3">
        <v>0</v>
      </c>
      <c r="M52" s="3">
        <v>0</v>
      </c>
      <c r="N52" s="3">
        <v>6203352</v>
      </c>
      <c r="O52" s="3">
        <v>6203352</v>
      </c>
      <c r="P52" s="2">
        <v>0</v>
      </c>
      <c r="Q52" s="3">
        <v>496606</v>
      </c>
      <c r="R52" s="3">
        <v>400587</v>
      </c>
      <c r="S52" s="3">
        <v>5802201</v>
      </c>
      <c r="T52" s="3">
        <v>5731334</v>
      </c>
      <c r="U52" s="3">
        <v>5631746</v>
      </c>
      <c r="V52" s="3">
        <v>5727765</v>
      </c>
      <c r="W52" s="3">
        <v>170455</v>
      </c>
      <c r="X52" s="3">
        <v>3569</v>
      </c>
      <c r="Y52" s="2">
        <v>920</v>
      </c>
      <c r="Z52" s="2">
        <v>880</v>
      </c>
      <c r="AA52" s="2">
        <v>-4.3499999999999996</v>
      </c>
      <c r="AB52" s="3">
        <v>3427418</v>
      </c>
      <c r="AC52" s="3">
        <v>4427418</v>
      </c>
      <c r="AD52" s="3">
        <v>300000</v>
      </c>
      <c r="AE52" s="3">
        <v>300000</v>
      </c>
      <c r="AF52" s="3">
        <v>835748</v>
      </c>
      <c r="AG52" s="3">
        <v>835748</v>
      </c>
      <c r="AH52" s="2">
        <v>4</v>
      </c>
      <c r="AI52" s="5">
        <v>3.72</v>
      </c>
    </row>
    <row r="53" spans="1:35" x14ac:dyDescent="0.3">
      <c r="A53" s="4" t="str">
        <f>"050701"</f>
        <v>050701</v>
      </c>
      <c r="B53" s="2" t="s">
        <v>51</v>
      </c>
      <c r="C53" s="3">
        <v>18061671</v>
      </c>
      <c r="D53" s="3">
        <v>18378276</v>
      </c>
      <c r="E53" s="2">
        <v>1.75</v>
      </c>
      <c r="F53" s="3">
        <v>8153284</v>
      </c>
      <c r="G53" s="3">
        <v>8153284</v>
      </c>
      <c r="H53" s="3"/>
      <c r="I53" s="3"/>
      <c r="J53" s="3"/>
      <c r="K53" s="3"/>
      <c r="L53" s="3"/>
      <c r="M53" s="3"/>
      <c r="N53" s="3">
        <v>8153284</v>
      </c>
      <c r="O53" s="3">
        <v>8153284</v>
      </c>
      <c r="P53" s="2">
        <v>0</v>
      </c>
      <c r="Q53" s="3">
        <v>471486</v>
      </c>
      <c r="R53" s="3">
        <v>460148</v>
      </c>
      <c r="S53" s="3">
        <v>7803022</v>
      </c>
      <c r="T53" s="3">
        <v>7793080</v>
      </c>
      <c r="U53" s="3">
        <v>7681798</v>
      </c>
      <c r="V53" s="3">
        <v>7693136</v>
      </c>
      <c r="W53" s="3">
        <v>121224</v>
      </c>
      <c r="X53" s="3">
        <v>99944</v>
      </c>
      <c r="Y53" s="2">
        <v>705</v>
      </c>
      <c r="Z53" s="2">
        <v>705</v>
      </c>
      <c r="AA53" s="2">
        <v>0</v>
      </c>
      <c r="AB53" s="3">
        <v>4824959</v>
      </c>
      <c r="AC53" s="3">
        <v>4825100</v>
      </c>
      <c r="AD53" s="3">
        <v>597848</v>
      </c>
      <c r="AE53" s="3">
        <v>597848</v>
      </c>
      <c r="AF53" s="3">
        <v>2578708</v>
      </c>
      <c r="AG53" s="3">
        <v>2578708</v>
      </c>
      <c r="AH53" s="2">
        <v>14.28</v>
      </c>
      <c r="AI53" s="5">
        <v>14.03</v>
      </c>
    </row>
    <row r="54" spans="1:35" x14ac:dyDescent="0.3">
      <c r="A54" s="4" t="str">
        <f>"051101"</f>
        <v>051101</v>
      </c>
      <c r="B54" s="2" t="s">
        <v>52</v>
      </c>
      <c r="C54" s="3">
        <v>22284645</v>
      </c>
      <c r="D54" s="3">
        <v>22720686</v>
      </c>
      <c r="E54" s="2">
        <v>1.96</v>
      </c>
      <c r="F54" s="3">
        <v>6345748</v>
      </c>
      <c r="G54" s="3">
        <v>6345748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6345748</v>
      </c>
      <c r="O54" s="3">
        <v>6345748</v>
      </c>
      <c r="P54" s="2">
        <v>0</v>
      </c>
      <c r="Q54" s="3">
        <v>90532</v>
      </c>
      <c r="R54" s="3">
        <v>92307</v>
      </c>
      <c r="S54" s="3">
        <v>6457975</v>
      </c>
      <c r="T54" s="3">
        <v>6550012</v>
      </c>
      <c r="U54" s="3">
        <v>6255216</v>
      </c>
      <c r="V54" s="3">
        <v>6253441</v>
      </c>
      <c r="W54" s="3">
        <v>202759</v>
      </c>
      <c r="X54" s="3">
        <v>296571</v>
      </c>
      <c r="Y54" s="2">
        <v>894</v>
      </c>
      <c r="Z54" s="2">
        <v>801</v>
      </c>
      <c r="AA54" s="2">
        <v>-10.4</v>
      </c>
      <c r="AB54" s="3">
        <v>3784890</v>
      </c>
      <c r="AC54" s="3">
        <v>4770029</v>
      </c>
      <c r="AD54" s="3">
        <v>350000</v>
      </c>
      <c r="AE54" s="3">
        <v>350000</v>
      </c>
      <c r="AF54" s="3">
        <v>891386</v>
      </c>
      <c r="AG54" s="3">
        <v>908827</v>
      </c>
      <c r="AH54" s="2">
        <v>4</v>
      </c>
      <c r="AI54" s="5">
        <v>4</v>
      </c>
    </row>
    <row r="55" spans="1:35" x14ac:dyDescent="0.3">
      <c r="A55" s="4" t="str">
        <f>"051301"</f>
        <v>051301</v>
      </c>
      <c r="B55" s="2" t="s">
        <v>53</v>
      </c>
      <c r="C55" s="3">
        <v>24238869</v>
      </c>
      <c r="D55" s="3">
        <v>25143256</v>
      </c>
      <c r="E55" s="2">
        <v>3.73</v>
      </c>
      <c r="F55" s="3">
        <v>8482676</v>
      </c>
      <c r="G55" s="3">
        <v>8690352</v>
      </c>
      <c r="H55" s="3"/>
      <c r="I55" s="3"/>
      <c r="J55" s="3"/>
      <c r="K55" s="3"/>
      <c r="L55" s="3"/>
      <c r="M55" s="3"/>
      <c r="N55" s="3">
        <v>8482676</v>
      </c>
      <c r="O55" s="3">
        <v>8690352</v>
      </c>
      <c r="P55" s="2">
        <v>2.4500000000000002</v>
      </c>
      <c r="Q55" s="3">
        <v>545423</v>
      </c>
      <c r="R55" s="3">
        <v>625417</v>
      </c>
      <c r="S55" s="3">
        <v>7937253</v>
      </c>
      <c r="T55" s="3">
        <v>8064935</v>
      </c>
      <c r="U55" s="3">
        <v>7937253</v>
      </c>
      <c r="V55" s="3">
        <v>8064935</v>
      </c>
      <c r="W55" s="3">
        <v>0</v>
      </c>
      <c r="X55" s="3">
        <v>0</v>
      </c>
      <c r="Y55" s="2">
        <v>998</v>
      </c>
      <c r="Z55" s="2">
        <v>959</v>
      </c>
      <c r="AA55" s="2">
        <v>-3.91</v>
      </c>
      <c r="AB55" s="3">
        <v>5451903</v>
      </c>
      <c r="AC55" s="3">
        <v>6448422</v>
      </c>
      <c r="AD55" s="3">
        <v>525000</v>
      </c>
      <c r="AE55" s="3">
        <v>525000</v>
      </c>
      <c r="AF55" s="3">
        <v>969555</v>
      </c>
      <c r="AG55" s="3">
        <v>1003216</v>
      </c>
      <c r="AH55" s="2">
        <v>4</v>
      </c>
      <c r="AI55" s="5">
        <v>3.99</v>
      </c>
    </row>
    <row r="56" spans="1:35" x14ac:dyDescent="0.3">
      <c r="A56" s="4" t="str">
        <f>"051901"</f>
        <v>051901</v>
      </c>
      <c r="B56" s="2" t="s">
        <v>54</v>
      </c>
      <c r="C56" s="3">
        <v>18334610</v>
      </c>
      <c r="D56" s="3">
        <v>19393804</v>
      </c>
      <c r="E56" s="2">
        <v>5.78</v>
      </c>
      <c r="F56" s="3">
        <v>7678225</v>
      </c>
      <c r="G56" s="3">
        <v>7678225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7678225</v>
      </c>
      <c r="O56" s="3">
        <v>7678225</v>
      </c>
      <c r="P56" s="2">
        <v>0</v>
      </c>
      <c r="Q56" s="3">
        <v>0</v>
      </c>
      <c r="R56" s="3">
        <v>0</v>
      </c>
      <c r="S56" s="3">
        <v>7761338</v>
      </c>
      <c r="T56" s="3">
        <v>7782583</v>
      </c>
      <c r="U56" s="3">
        <v>7678225</v>
      </c>
      <c r="V56" s="3">
        <v>7678225</v>
      </c>
      <c r="W56" s="3">
        <v>83113</v>
      </c>
      <c r="X56" s="3">
        <v>104358</v>
      </c>
      <c r="Y56" s="2">
        <v>775</v>
      </c>
      <c r="Z56" s="2">
        <v>793</v>
      </c>
      <c r="AA56" s="2">
        <v>2.3199999999999998</v>
      </c>
      <c r="AB56" s="3">
        <v>1479358</v>
      </c>
      <c r="AC56" s="3">
        <v>1182568</v>
      </c>
      <c r="AD56" s="3">
        <v>100000</v>
      </c>
      <c r="AE56" s="3">
        <v>350000</v>
      </c>
      <c r="AF56" s="3">
        <v>663850</v>
      </c>
      <c r="AG56" s="3">
        <v>771874</v>
      </c>
      <c r="AH56" s="2">
        <v>3.62</v>
      </c>
      <c r="AI56" s="5">
        <v>3.98</v>
      </c>
    </row>
    <row r="57" spans="1:35" x14ac:dyDescent="0.3">
      <c r="A57" s="4" t="str">
        <f>"060201"</f>
        <v>060201</v>
      </c>
      <c r="B57" s="2" t="s">
        <v>55</v>
      </c>
      <c r="C57" s="3">
        <v>30028273</v>
      </c>
      <c r="D57" s="3">
        <v>31651060</v>
      </c>
      <c r="E57" s="2">
        <v>5.4</v>
      </c>
      <c r="F57" s="3">
        <v>13352550</v>
      </c>
      <c r="G57" s="3">
        <v>13519457</v>
      </c>
      <c r="H57" s="3"/>
      <c r="I57" s="3"/>
      <c r="J57" s="3"/>
      <c r="K57" s="3"/>
      <c r="L57" s="3"/>
      <c r="M57" s="3"/>
      <c r="N57" s="3">
        <v>13352550</v>
      </c>
      <c r="O57" s="3">
        <v>13519457</v>
      </c>
      <c r="P57" s="2">
        <v>1.25</v>
      </c>
      <c r="Q57" s="3">
        <v>414277</v>
      </c>
      <c r="R57" s="3">
        <v>794162</v>
      </c>
      <c r="S57" s="3">
        <v>13010872</v>
      </c>
      <c r="T57" s="3">
        <v>13225041</v>
      </c>
      <c r="U57" s="3">
        <v>12938273</v>
      </c>
      <c r="V57" s="3">
        <v>12725295</v>
      </c>
      <c r="W57" s="3">
        <v>72599</v>
      </c>
      <c r="X57" s="3">
        <v>499746</v>
      </c>
      <c r="Y57" s="2">
        <v>1328</v>
      </c>
      <c r="Z57" s="2">
        <v>1312</v>
      </c>
      <c r="AA57" s="2">
        <v>-1.2</v>
      </c>
      <c r="AB57" s="3">
        <v>1383237</v>
      </c>
      <c r="AC57" s="3">
        <v>1669712</v>
      </c>
      <c r="AD57" s="3">
        <v>859307</v>
      </c>
      <c r="AE57" s="3">
        <v>775000</v>
      </c>
      <c r="AF57" s="3">
        <v>1783559</v>
      </c>
      <c r="AG57" s="3">
        <v>1379704</v>
      </c>
      <c r="AH57" s="2">
        <v>5.94</v>
      </c>
      <c r="AI57" s="5">
        <v>4.3600000000000003</v>
      </c>
    </row>
    <row r="58" spans="1:35" x14ac:dyDescent="0.3">
      <c r="A58" s="4" t="str">
        <f>"060301"</f>
        <v>060301</v>
      </c>
      <c r="B58" s="2" t="s">
        <v>56</v>
      </c>
      <c r="C58" s="3">
        <v>18062844</v>
      </c>
      <c r="D58" s="3">
        <v>18985983</v>
      </c>
      <c r="E58" s="2">
        <v>5.1100000000000003</v>
      </c>
      <c r="F58" s="3">
        <v>5697303</v>
      </c>
      <c r="G58" s="3">
        <v>5794487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5697303</v>
      </c>
      <c r="O58" s="3">
        <v>5794487</v>
      </c>
      <c r="P58" s="2">
        <v>1.71</v>
      </c>
      <c r="Q58" s="3">
        <v>0</v>
      </c>
      <c r="R58" s="3">
        <v>52410</v>
      </c>
      <c r="S58" s="3">
        <v>5697303</v>
      </c>
      <c r="T58" s="3">
        <v>5794487</v>
      </c>
      <c r="U58" s="3">
        <v>5697303</v>
      </c>
      <c r="V58" s="3">
        <v>5742077</v>
      </c>
      <c r="W58" s="3">
        <v>0</v>
      </c>
      <c r="X58" s="3">
        <v>52410</v>
      </c>
      <c r="Y58" s="2">
        <v>760</v>
      </c>
      <c r="Z58" s="2">
        <v>758</v>
      </c>
      <c r="AA58" s="2">
        <v>-0.26</v>
      </c>
      <c r="AB58" s="3">
        <v>2910465</v>
      </c>
      <c r="AC58" s="3">
        <v>2700633</v>
      </c>
      <c r="AD58" s="3">
        <v>600000</v>
      </c>
      <c r="AE58" s="3">
        <v>600000</v>
      </c>
      <c r="AF58" s="3">
        <v>2468720</v>
      </c>
      <c r="AG58" s="3">
        <v>1491681</v>
      </c>
      <c r="AH58" s="2">
        <v>13.67</v>
      </c>
      <c r="AI58" s="5">
        <v>7.86</v>
      </c>
    </row>
    <row r="59" spans="1:35" x14ac:dyDescent="0.3">
      <c r="A59" s="4" t="str">
        <f>"060401"</f>
        <v>060401</v>
      </c>
      <c r="B59" s="2" t="s">
        <v>57</v>
      </c>
      <c r="C59" s="3">
        <v>23943897</v>
      </c>
      <c r="D59" s="3">
        <v>24713411</v>
      </c>
      <c r="E59" s="2">
        <v>3.21</v>
      </c>
      <c r="F59" s="3">
        <v>5323787</v>
      </c>
      <c r="G59" s="3">
        <v>5456713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5323787</v>
      </c>
      <c r="O59" s="3">
        <v>5456713</v>
      </c>
      <c r="P59" s="2">
        <v>2.5</v>
      </c>
      <c r="Q59" s="3">
        <v>27397</v>
      </c>
      <c r="R59" s="3">
        <v>52411</v>
      </c>
      <c r="S59" s="3">
        <v>5296390</v>
      </c>
      <c r="T59" s="3">
        <v>5404302</v>
      </c>
      <c r="U59" s="3">
        <v>5296390</v>
      </c>
      <c r="V59" s="3">
        <v>5404302</v>
      </c>
      <c r="W59" s="3">
        <v>0</v>
      </c>
      <c r="X59" s="3">
        <v>0</v>
      </c>
      <c r="Y59" s="2">
        <v>794</v>
      </c>
      <c r="Z59" s="2">
        <v>781</v>
      </c>
      <c r="AA59" s="2">
        <v>-1.64</v>
      </c>
      <c r="AB59" s="3">
        <v>3599656</v>
      </c>
      <c r="AC59" s="3">
        <v>4149237</v>
      </c>
      <c r="AD59" s="3">
        <v>1081100</v>
      </c>
      <c r="AE59" s="3">
        <v>900000</v>
      </c>
      <c r="AF59" s="3">
        <v>1007206</v>
      </c>
      <c r="AG59" s="3">
        <v>981583</v>
      </c>
      <c r="AH59" s="2">
        <v>4.21</v>
      </c>
      <c r="AI59" s="5">
        <v>3.97</v>
      </c>
    </row>
    <row r="60" spans="1:35" x14ac:dyDescent="0.3">
      <c r="A60" s="4" t="str">
        <f>"060503"</f>
        <v>060503</v>
      </c>
      <c r="B60" s="2" t="s">
        <v>58</v>
      </c>
      <c r="C60" s="3">
        <v>23202347</v>
      </c>
      <c r="D60" s="3">
        <v>23600585</v>
      </c>
      <c r="E60" s="2">
        <v>1.72</v>
      </c>
      <c r="F60" s="3">
        <v>12316388</v>
      </c>
      <c r="G60" s="3">
        <v>12493744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12316388</v>
      </c>
      <c r="O60" s="3">
        <v>12493744</v>
      </c>
      <c r="P60" s="2">
        <v>1.44</v>
      </c>
      <c r="Q60" s="3">
        <v>271240</v>
      </c>
      <c r="R60" s="3">
        <v>215779</v>
      </c>
      <c r="S60" s="3">
        <v>12064356</v>
      </c>
      <c r="T60" s="3">
        <v>12286834</v>
      </c>
      <c r="U60" s="3">
        <v>12045148</v>
      </c>
      <c r="V60" s="3">
        <v>12277965</v>
      </c>
      <c r="W60" s="3">
        <v>19208</v>
      </c>
      <c r="X60" s="3">
        <v>8869</v>
      </c>
      <c r="Y60" s="2">
        <v>853</v>
      </c>
      <c r="Z60" s="2">
        <v>845</v>
      </c>
      <c r="AA60" s="2">
        <v>-0.94</v>
      </c>
      <c r="AB60" s="3">
        <v>4725625</v>
      </c>
      <c r="AC60" s="3">
        <v>3155639</v>
      </c>
      <c r="AD60" s="3">
        <v>1050000</v>
      </c>
      <c r="AE60" s="3">
        <v>1050000</v>
      </c>
      <c r="AF60" s="3">
        <v>2150849</v>
      </c>
      <c r="AG60" s="3">
        <v>1928094</v>
      </c>
      <c r="AH60" s="2">
        <v>9.27</v>
      </c>
      <c r="AI60" s="5">
        <v>8.17</v>
      </c>
    </row>
    <row r="61" spans="1:35" x14ac:dyDescent="0.3">
      <c r="A61" s="4" t="str">
        <f>"060601"</f>
        <v>060601</v>
      </c>
      <c r="B61" s="2" t="s">
        <v>59</v>
      </c>
      <c r="C61" s="3">
        <v>15763271</v>
      </c>
      <c r="D61" s="3">
        <v>16437677</v>
      </c>
      <c r="E61" s="2">
        <v>4.28</v>
      </c>
      <c r="F61" s="3">
        <v>3376578</v>
      </c>
      <c r="G61" s="3">
        <v>3410344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3376578</v>
      </c>
      <c r="O61" s="3">
        <v>3410344</v>
      </c>
      <c r="P61" s="2">
        <v>1</v>
      </c>
      <c r="Q61" s="3">
        <v>175447</v>
      </c>
      <c r="R61" s="3">
        <v>207922</v>
      </c>
      <c r="S61" s="3">
        <v>3211251</v>
      </c>
      <c r="T61" s="3">
        <v>3280662</v>
      </c>
      <c r="U61" s="3">
        <v>3201131</v>
      </c>
      <c r="V61" s="3">
        <v>3202422</v>
      </c>
      <c r="W61" s="3">
        <v>10120</v>
      </c>
      <c r="X61" s="3">
        <v>78240</v>
      </c>
      <c r="Y61" s="2">
        <v>553</v>
      </c>
      <c r="Z61" s="2">
        <v>544</v>
      </c>
      <c r="AA61" s="2">
        <v>-1.63</v>
      </c>
      <c r="AB61" s="3">
        <v>2224687</v>
      </c>
      <c r="AC61" s="3">
        <v>3209457</v>
      </c>
      <c r="AD61" s="3">
        <v>132780</v>
      </c>
      <c r="AE61" s="3">
        <v>446764</v>
      </c>
      <c r="AF61" s="3">
        <v>2791596</v>
      </c>
      <c r="AG61" s="3">
        <v>3557477</v>
      </c>
      <c r="AH61" s="2">
        <v>17.71</v>
      </c>
      <c r="AI61" s="5">
        <v>21.64</v>
      </c>
    </row>
    <row r="62" spans="1:35" x14ac:dyDescent="0.3">
      <c r="A62" s="4" t="str">
        <f>"060701"</f>
        <v>060701</v>
      </c>
      <c r="B62" s="2" t="s">
        <v>60</v>
      </c>
      <c r="C62" s="3">
        <v>11361141</v>
      </c>
      <c r="D62" s="3">
        <v>11492368</v>
      </c>
      <c r="E62" s="2">
        <v>1.1599999999999999</v>
      </c>
      <c r="F62" s="3">
        <v>4694231</v>
      </c>
      <c r="G62" s="3">
        <v>4787950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4694231</v>
      </c>
      <c r="O62" s="3">
        <v>4787950</v>
      </c>
      <c r="P62" s="2">
        <v>2</v>
      </c>
      <c r="Q62" s="3">
        <v>209182</v>
      </c>
      <c r="R62" s="3">
        <v>209066</v>
      </c>
      <c r="S62" s="3">
        <v>4485049</v>
      </c>
      <c r="T62" s="3">
        <v>4578884</v>
      </c>
      <c r="U62" s="3">
        <v>4485049</v>
      </c>
      <c r="V62" s="3">
        <v>4578884</v>
      </c>
      <c r="W62" s="3">
        <v>0</v>
      </c>
      <c r="X62" s="3">
        <v>0</v>
      </c>
      <c r="Y62" s="2">
        <v>379</v>
      </c>
      <c r="Z62" s="2">
        <v>384</v>
      </c>
      <c r="AA62" s="2">
        <v>1.32</v>
      </c>
      <c r="AB62" s="3">
        <v>841131</v>
      </c>
      <c r="AC62" s="3">
        <v>1138248</v>
      </c>
      <c r="AD62" s="3">
        <v>580448</v>
      </c>
      <c r="AE62" s="3">
        <v>184480</v>
      </c>
      <c r="AF62" s="3">
        <v>459695</v>
      </c>
      <c r="AG62" s="3">
        <v>473862</v>
      </c>
      <c r="AH62" s="2">
        <v>4.05</v>
      </c>
      <c r="AI62" s="5">
        <v>4.12</v>
      </c>
    </row>
    <row r="63" spans="1:35" x14ac:dyDescent="0.3">
      <c r="A63" s="4" t="str">
        <f>"060800"</f>
        <v>060800</v>
      </c>
      <c r="B63" s="2" t="s">
        <v>61</v>
      </c>
      <c r="C63" s="3">
        <v>49758733</v>
      </c>
      <c r="D63" s="3">
        <v>51413792</v>
      </c>
      <c r="E63" s="2">
        <v>3.33</v>
      </c>
      <c r="F63" s="3">
        <v>9966642</v>
      </c>
      <c r="G63" s="3">
        <v>10165975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9966642</v>
      </c>
      <c r="O63" s="3">
        <v>10165975</v>
      </c>
      <c r="P63" s="2">
        <v>2</v>
      </c>
      <c r="Q63" s="3">
        <v>23075</v>
      </c>
      <c r="R63" s="3">
        <v>25479</v>
      </c>
      <c r="S63" s="3">
        <v>10254457</v>
      </c>
      <c r="T63" s="3">
        <v>10259241</v>
      </c>
      <c r="U63" s="3">
        <v>9943567</v>
      </c>
      <c r="V63" s="3">
        <v>10140496</v>
      </c>
      <c r="W63" s="3">
        <v>310890</v>
      </c>
      <c r="X63" s="3">
        <v>118745</v>
      </c>
      <c r="Y63" s="2">
        <v>1931</v>
      </c>
      <c r="Z63" s="2">
        <v>1963</v>
      </c>
      <c r="AA63" s="2">
        <v>1.66</v>
      </c>
      <c r="AB63" s="3">
        <v>16631211</v>
      </c>
      <c r="AC63" s="3">
        <v>17448504</v>
      </c>
      <c r="AD63" s="3">
        <v>7029560</v>
      </c>
      <c r="AE63" s="3">
        <v>5572190</v>
      </c>
      <c r="AF63" s="3">
        <v>1487180</v>
      </c>
      <c r="AG63" s="3">
        <v>2056552</v>
      </c>
      <c r="AH63" s="2">
        <v>2.99</v>
      </c>
      <c r="AI63" s="5">
        <v>4</v>
      </c>
    </row>
    <row r="64" spans="1:35" x14ac:dyDescent="0.3">
      <c r="A64" s="4" t="str">
        <f>"061001"</f>
        <v>061001</v>
      </c>
      <c r="B64" s="2" t="s">
        <v>62</v>
      </c>
      <c r="C64" s="3">
        <v>15440364</v>
      </c>
      <c r="D64" s="3">
        <v>15588352</v>
      </c>
      <c r="E64" s="2">
        <v>0.96</v>
      </c>
      <c r="F64" s="3">
        <v>8957295</v>
      </c>
      <c r="G64" s="3">
        <v>9054864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8957295</v>
      </c>
      <c r="O64" s="3">
        <v>9054864</v>
      </c>
      <c r="P64" s="2">
        <v>1.0900000000000001</v>
      </c>
      <c r="Q64" s="3">
        <v>706903</v>
      </c>
      <c r="R64" s="3">
        <v>659468</v>
      </c>
      <c r="S64" s="3">
        <v>8291605</v>
      </c>
      <c r="T64" s="3">
        <v>8395396</v>
      </c>
      <c r="U64" s="3">
        <v>8250392</v>
      </c>
      <c r="V64" s="3">
        <v>8395396</v>
      </c>
      <c r="W64" s="3">
        <v>41213</v>
      </c>
      <c r="X64" s="3">
        <v>0</v>
      </c>
      <c r="Y64" s="2">
        <v>677</v>
      </c>
      <c r="Z64" s="2">
        <v>667</v>
      </c>
      <c r="AA64" s="2">
        <v>-1.48</v>
      </c>
      <c r="AB64" s="3">
        <v>1266699</v>
      </c>
      <c r="AC64" s="3">
        <v>1269020</v>
      </c>
      <c r="AD64" s="3">
        <v>400000</v>
      </c>
      <c r="AE64" s="3">
        <v>400000</v>
      </c>
      <c r="AF64" s="3">
        <v>996746</v>
      </c>
      <c r="AG64" s="3">
        <v>625000</v>
      </c>
      <c r="AH64" s="2">
        <v>6.46</v>
      </c>
      <c r="AI64" s="5">
        <v>4.01</v>
      </c>
    </row>
    <row r="65" spans="1:35" x14ac:dyDescent="0.3">
      <c r="A65" s="4" t="str">
        <f>"061101"</f>
        <v>061101</v>
      </c>
      <c r="B65" s="2" t="s">
        <v>63</v>
      </c>
      <c r="C65" s="3">
        <v>23094699</v>
      </c>
      <c r="D65" s="3">
        <v>25285440</v>
      </c>
      <c r="E65" s="2">
        <v>9.49</v>
      </c>
      <c r="F65" s="3">
        <v>7133890</v>
      </c>
      <c r="G65" s="3">
        <v>7133890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7133890</v>
      </c>
      <c r="O65" s="3">
        <v>7133890</v>
      </c>
      <c r="P65" s="2">
        <v>0</v>
      </c>
      <c r="Q65" s="3">
        <v>22503</v>
      </c>
      <c r="R65" s="3">
        <v>0</v>
      </c>
      <c r="S65" s="3">
        <v>7321027</v>
      </c>
      <c r="T65" s="3">
        <v>7318959</v>
      </c>
      <c r="U65" s="3">
        <v>7111387</v>
      </c>
      <c r="V65" s="3">
        <v>7133890</v>
      </c>
      <c r="W65" s="3">
        <v>209640</v>
      </c>
      <c r="X65" s="3">
        <v>185069</v>
      </c>
      <c r="Y65" s="2">
        <v>1113</v>
      </c>
      <c r="Z65" s="2">
        <v>1117</v>
      </c>
      <c r="AA65" s="2">
        <v>0.36</v>
      </c>
      <c r="AB65" s="3">
        <v>8044391</v>
      </c>
      <c r="AC65" s="3">
        <v>7978763</v>
      </c>
      <c r="AD65" s="3">
        <v>1500000</v>
      </c>
      <c r="AE65" s="3">
        <v>1500000</v>
      </c>
      <c r="AF65" s="3">
        <v>4907229</v>
      </c>
      <c r="AG65" s="3">
        <v>5175822</v>
      </c>
      <c r="AH65" s="2">
        <v>21.25</v>
      </c>
      <c r="AI65" s="5">
        <v>20.47</v>
      </c>
    </row>
    <row r="66" spans="1:35" x14ac:dyDescent="0.3">
      <c r="A66" s="4" t="str">
        <f>"061501"</f>
        <v>061501</v>
      </c>
      <c r="B66" s="2" t="s">
        <v>64</v>
      </c>
      <c r="C66" s="3">
        <v>25723081</v>
      </c>
      <c r="D66" s="3">
        <v>25928433</v>
      </c>
      <c r="E66" s="2">
        <v>0.8</v>
      </c>
      <c r="F66" s="3">
        <v>6432602</v>
      </c>
      <c r="G66" s="3">
        <v>6223262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6432602</v>
      </c>
      <c r="O66" s="3">
        <v>6223262</v>
      </c>
      <c r="P66" s="2">
        <v>-3.25</v>
      </c>
      <c r="Q66" s="3">
        <v>297975</v>
      </c>
      <c r="R66" s="3">
        <v>0</v>
      </c>
      <c r="S66" s="3">
        <v>6445761</v>
      </c>
      <c r="T66" s="3">
        <v>6223262</v>
      </c>
      <c r="U66" s="3">
        <v>6134627</v>
      </c>
      <c r="V66" s="3">
        <v>6223262</v>
      </c>
      <c r="W66" s="3">
        <v>311134</v>
      </c>
      <c r="X66" s="3">
        <v>0</v>
      </c>
      <c r="Y66" s="2">
        <v>1116</v>
      </c>
      <c r="Z66" s="2">
        <v>1116</v>
      </c>
      <c r="AA66" s="2">
        <v>0</v>
      </c>
      <c r="AB66" s="3">
        <v>7108238</v>
      </c>
      <c r="AC66" s="3">
        <v>4879938</v>
      </c>
      <c r="AD66" s="3">
        <v>2346217</v>
      </c>
      <c r="AE66" s="3">
        <v>412469</v>
      </c>
      <c r="AF66" s="3">
        <v>2888990</v>
      </c>
      <c r="AG66" s="3">
        <v>4467469</v>
      </c>
      <c r="AH66" s="2">
        <v>11.23</v>
      </c>
      <c r="AI66" s="5">
        <v>17.23</v>
      </c>
    </row>
    <row r="67" spans="1:35" x14ac:dyDescent="0.3">
      <c r="A67" s="4" t="str">
        <f>"061503"</f>
        <v>061503</v>
      </c>
      <c r="B67" s="2" t="s">
        <v>65</v>
      </c>
      <c r="C67" s="3">
        <v>12872494</v>
      </c>
      <c r="D67" s="3">
        <v>13028780</v>
      </c>
      <c r="E67" s="2">
        <v>1.21</v>
      </c>
      <c r="F67" s="3">
        <v>4037224</v>
      </c>
      <c r="G67" s="3">
        <v>4089237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4037224</v>
      </c>
      <c r="O67" s="3">
        <v>4089237</v>
      </c>
      <c r="P67" s="2">
        <v>1.29</v>
      </c>
      <c r="Q67" s="3">
        <v>0</v>
      </c>
      <c r="R67" s="3">
        <v>10302</v>
      </c>
      <c r="S67" s="3">
        <v>4037224</v>
      </c>
      <c r="T67" s="3">
        <v>4078935</v>
      </c>
      <c r="U67" s="3">
        <v>4037224</v>
      </c>
      <c r="V67" s="3">
        <v>4078935</v>
      </c>
      <c r="W67" s="3">
        <v>0</v>
      </c>
      <c r="X67" s="3">
        <v>0</v>
      </c>
      <c r="Y67" s="2">
        <v>419</v>
      </c>
      <c r="Z67" s="2">
        <v>425</v>
      </c>
      <c r="AA67" s="2">
        <v>1.43</v>
      </c>
      <c r="AB67" s="3">
        <v>1242795</v>
      </c>
      <c r="AC67" s="3">
        <v>1244553</v>
      </c>
      <c r="AD67" s="3">
        <v>1092908</v>
      </c>
      <c r="AE67" s="3">
        <v>301724</v>
      </c>
      <c r="AF67" s="3">
        <v>374863</v>
      </c>
      <c r="AG67" s="3">
        <v>520000</v>
      </c>
      <c r="AH67" s="2">
        <v>2.91</v>
      </c>
      <c r="AI67" s="5">
        <v>3.99</v>
      </c>
    </row>
    <row r="68" spans="1:35" x14ac:dyDescent="0.3">
      <c r="A68" s="4" t="str">
        <f>"061601"</f>
        <v>061601</v>
      </c>
      <c r="B68" s="2" t="s">
        <v>66</v>
      </c>
      <c r="C68" s="3">
        <v>12904396</v>
      </c>
      <c r="D68" s="3">
        <v>12933775</v>
      </c>
      <c r="E68" s="2">
        <v>0.23</v>
      </c>
      <c r="F68" s="3">
        <v>3464980</v>
      </c>
      <c r="G68" s="3">
        <v>3464980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3464980</v>
      </c>
      <c r="O68" s="3">
        <v>3464980</v>
      </c>
      <c r="P68" s="2">
        <v>0</v>
      </c>
      <c r="Q68" s="3">
        <v>148621</v>
      </c>
      <c r="R68" s="3">
        <v>271943</v>
      </c>
      <c r="S68" s="3">
        <v>3500499</v>
      </c>
      <c r="T68" s="3">
        <v>3281293</v>
      </c>
      <c r="U68" s="3">
        <v>3316359</v>
      </c>
      <c r="V68" s="3">
        <v>3193037</v>
      </c>
      <c r="W68" s="3">
        <v>184140</v>
      </c>
      <c r="X68" s="3">
        <v>88256</v>
      </c>
      <c r="Y68" s="2">
        <v>439</v>
      </c>
      <c r="Z68" s="2">
        <v>433</v>
      </c>
      <c r="AA68" s="2">
        <v>-1.37</v>
      </c>
      <c r="AB68" s="3">
        <v>3799142</v>
      </c>
      <c r="AC68" s="3">
        <v>3735280</v>
      </c>
      <c r="AD68" s="3">
        <v>794000</v>
      </c>
      <c r="AE68" s="3">
        <v>694000</v>
      </c>
      <c r="AF68" s="3">
        <v>2586254</v>
      </c>
      <c r="AG68" s="3">
        <v>2322392</v>
      </c>
      <c r="AH68" s="2">
        <v>20.04</v>
      </c>
      <c r="AI68" s="5">
        <v>17.96</v>
      </c>
    </row>
    <row r="69" spans="1:35" x14ac:dyDescent="0.3">
      <c r="A69" s="4" t="str">
        <f>"061700"</f>
        <v>061700</v>
      </c>
      <c r="B69" s="2" t="s">
        <v>67</v>
      </c>
      <c r="C69" s="3">
        <v>88313671</v>
      </c>
      <c r="D69" s="3">
        <v>89879178</v>
      </c>
      <c r="E69" s="2">
        <v>1.77</v>
      </c>
      <c r="F69" s="3">
        <v>14641567</v>
      </c>
      <c r="G69" s="3">
        <v>14641567</v>
      </c>
      <c r="H69" s="3">
        <v>350000</v>
      </c>
      <c r="I69" s="3">
        <v>350000</v>
      </c>
      <c r="J69" s="3">
        <v>0</v>
      </c>
      <c r="K69" s="3">
        <v>0</v>
      </c>
      <c r="L69" s="3">
        <v>0</v>
      </c>
      <c r="M69" s="3">
        <v>0</v>
      </c>
      <c r="N69" s="3">
        <v>14991567</v>
      </c>
      <c r="O69" s="3">
        <v>14991567</v>
      </c>
      <c r="P69" s="2">
        <v>0</v>
      </c>
      <c r="Q69" s="3">
        <v>617013</v>
      </c>
      <c r="R69" s="3">
        <v>918091</v>
      </c>
      <c r="S69" s="3">
        <v>14675537</v>
      </c>
      <c r="T69" s="3">
        <v>15285712</v>
      </c>
      <c r="U69" s="3">
        <v>14024554</v>
      </c>
      <c r="V69" s="3">
        <v>13723476</v>
      </c>
      <c r="W69" s="3">
        <v>650983</v>
      </c>
      <c r="X69" s="3">
        <v>1562236</v>
      </c>
      <c r="Y69" s="2">
        <v>4513</v>
      </c>
      <c r="Z69" s="2">
        <v>4550</v>
      </c>
      <c r="AA69" s="2">
        <v>0.82</v>
      </c>
      <c r="AB69" s="3">
        <v>7507802</v>
      </c>
      <c r="AC69" s="3">
        <v>11703759</v>
      </c>
      <c r="AD69" s="3">
        <v>2000000</v>
      </c>
      <c r="AE69" s="3">
        <v>2000000</v>
      </c>
      <c r="AF69" s="3">
        <v>4825300</v>
      </c>
      <c r="AG69" s="3">
        <v>3532547</v>
      </c>
      <c r="AH69" s="2">
        <v>5.46</v>
      </c>
      <c r="AI69" s="5">
        <v>3.93</v>
      </c>
    </row>
    <row r="70" spans="1:35" x14ac:dyDescent="0.3">
      <c r="A70" s="4" t="str">
        <f>"062201"</f>
        <v>062201</v>
      </c>
      <c r="B70" s="2" t="s">
        <v>68</v>
      </c>
      <c r="C70" s="3">
        <v>30666526</v>
      </c>
      <c r="D70" s="3">
        <v>31295067</v>
      </c>
      <c r="E70" s="2">
        <v>2.0499999999999998</v>
      </c>
      <c r="F70" s="3">
        <v>16219949</v>
      </c>
      <c r="G70" s="3">
        <v>16219949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16219949</v>
      </c>
      <c r="O70" s="3">
        <v>16219949</v>
      </c>
      <c r="P70" s="2">
        <v>0</v>
      </c>
      <c r="Q70" s="3">
        <v>0</v>
      </c>
      <c r="R70" s="3">
        <v>0</v>
      </c>
      <c r="S70" s="3">
        <v>16662929</v>
      </c>
      <c r="T70" s="3">
        <v>16382148</v>
      </c>
      <c r="U70" s="3">
        <v>16219949</v>
      </c>
      <c r="V70" s="3">
        <v>16219949</v>
      </c>
      <c r="W70" s="3">
        <v>442980</v>
      </c>
      <c r="X70" s="3">
        <v>162199</v>
      </c>
      <c r="Y70" s="2">
        <v>1509</v>
      </c>
      <c r="Z70" s="2">
        <v>1352</v>
      </c>
      <c r="AA70" s="2">
        <v>-10.4</v>
      </c>
      <c r="AB70" s="3">
        <v>1592063</v>
      </c>
      <c r="AC70" s="3">
        <v>1242063</v>
      </c>
      <c r="AD70" s="3">
        <v>1292590</v>
      </c>
      <c r="AE70" s="3">
        <v>1136625</v>
      </c>
      <c r="AF70" s="3">
        <v>3674519</v>
      </c>
      <c r="AG70" s="3">
        <v>3000000</v>
      </c>
      <c r="AH70" s="2">
        <v>11.98</v>
      </c>
      <c r="AI70" s="5">
        <v>9.59</v>
      </c>
    </row>
    <row r="71" spans="1:35" x14ac:dyDescent="0.3">
      <c r="A71" s="4" t="str">
        <f>"062301"</f>
        <v>062301</v>
      </c>
      <c r="B71" s="2" t="s">
        <v>69</v>
      </c>
      <c r="C71" s="3">
        <v>16956437</v>
      </c>
      <c r="D71" s="3">
        <v>17837480</v>
      </c>
      <c r="E71" s="2">
        <v>5.2</v>
      </c>
      <c r="F71" s="3">
        <v>4829947</v>
      </c>
      <c r="G71" s="3">
        <v>5061707</v>
      </c>
      <c r="H71" s="3"/>
      <c r="I71" s="3"/>
      <c r="J71" s="3"/>
      <c r="K71" s="3"/>
      <c r="L71" s="3"/>
      <c r="M71" s="3"/>
      <c r="N71" s="3">
        <v>4829947</v>
      </c>
      <c r="O71" s="3">
        <v>5061707</v>
      </c>
      <c r="P71" s="2">
        <v>4.8</v>
      </c>
      <c r="Q71" s="3">
        <v>258458</v>
      </c>
      <c r="R71" s="3">
        <v>204282</v>
      </c>
      <c r="S71" s="3">
        <v>4571489</v>
      </c>
      <c r="T71" s="3">
        <v>4857425</v>
      </c>
      <c r="U71" s="3">
        <v>4571489</v>
      </c>
      <c r="V71" s="3">
        <v>4857425</v>
      </c>
      <c r="W71" s="3">
        <v>0</v>
      </c>
      <c r="X71" s="3">
        <v>0</v>
      </c>
      <c r="Y71" s="2">
        <v>583</v>
      </c>
      <c r="Z71" s="2">
        <v>579</v>
      </c>
      <c r="AA71" s="2">
        <v>-0.69</v>
      </c>
      <c r="AB71" s="3">
        <v>2171771</v>
      </c>
      <c r="AC71" s="3">
        <v>2251771</v>
      </c>
      <c r="AD71" s="3">
        <v>590962</v>
      </c>
      <c r="AE71" s="3">
        <v>1000000</v>
      </c>
      <c r="AF71" s="3">
        <v>800000</v>
      </c>
      <c r="AG71" s="3">
        <v>700000</v>
      </c>
      <c r="AH71" s="2">
        <v>4.72</v>
      </c>
      <c r="AI71" s="5">
        <v>3.92</v>
      </c>
    </row>
    <row r="72" spans="1:35" x14ac:dyDescent="0.3">
      <c r="A72" s="4" t="str">
        <f>"062401"</f>
        <v>062401</v>
      </c>
      <c r="B72" s="2" t="s">
        <v>70</v>
      </c>
      <c r="C72" s="3">
        <v>9467366</v>
      </c>
      <c r="D72" s="3">
        <v>9746366</v>
      </c>
      <c r="E72" s="2">
        <v>2.95</v>
      </c>
      <c r="F72" s="3">
        <v>1862975</v>
      </c>
      <c r="G72" s="3">
        <v>1862971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1862975</v>
      </c>
      <c r="O72" s="3">
        <v>1862971</v>
      </c>
      <c r="P72" s="2">
        <v>0</v>
      </c>
      <c r="Q72" s="3">
        <v>52731</v>
      </c>
      <c r="R72" s="3">
        <v>134103</v>
      </c>
      <c r="S72" s="3">
        <v>1867321</v>
      </c>
      <c r="T72" s="3">
        <v>1867278</v>
      </c>
      <c r="U72" s="3">
        <v>1810244</v>
      </c>
      <c r="V72" s="3">
        <v>1728868</v>
      </c>
      <c r="W72" s="3">
        <v>57077</v>
      </c>
      <c r="X72" s="3">
        <v>138410</v>
      </c>
      <c r="Y72" s="2">
        <v>236</v>
      </c>
      <c r="Z72" s="2">
        <v>246</v>
      </c>
      <c r="AA72" s="2">
        <v>4.24</v>
      </c>
      <c r="AB72" s="3">
        <v>1318487</v>
      </c>
      <c r="AC72" s="3">
        <v>1949354</v>
      </c>
      <c r="AD72" s="3">
        <v>264000</v>
      </c>
      <c r="AE72" s="3">
        <v>250000</v>
      </c>
      <c r="AF72" s="3">
        <v>1457565</v>
      </c>
      <c r="AG72" s="3">
        <v>1531330</v>
      </c>
      <c r="AH72" s="2">
        <v>15.4</v>
      </c>
      <c r="AI72" s="5">
        <v>15.71</v>
      </c>
    </row>
    <row r="73" spans="1:35" x14ac:dyDescent="0.3">
      <c r="A73" s="4" t="str">
        <f>"062601"</f>
        <v>062601</v>
      </c>
      <c r="B73" s="2" t="s">
        <v>71</v>
      </c>
      <c r="C73" s="3">
        <v>10280334</v>
      </c>
      <c r="D73" s="3">
        <v>10638560</v>
      </c>
      <c r="E73" s="2">
        <v>3.48</v>
      </c>
      <c r="F73" s="3">
        <v>2721344</v>
      </c>
      <c r="G73" s="3">
        <v>2804823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2721344</v>
      </c>
      <c r="O73" s="3">
        <v>2804823</v>
      </c>
      <c r="P73" s="2">
        <v>3.07</v>
      </c>
      <c r="Q73" s="3">
        <v>191941</v>
      </c>
      <c r="R73" s="3">
        <v>189259</v>
      </c>
      <c r="S73" s="3">
        <v>2529403</v>
      </c>
      <c r="T73" s="3">
        <v>2615564</v>
      </c>
      <c r="U73" s="3">
        <v>2529403</v>
      </c>
      <c r="V73" s="3">
        <v>2615564</v>
      </c>
      <c r="W73" s="3">
        <v>0</v>
      </c>
      <c r="X73" s="3">
        <v>0</v>
      </c>
      <c r="Y73" s="2">
        <v>424</v>
      </c>
      <c r="Z73" s="2">
        <v>420</v>
      </c>
      <c r="AA73" s="2">
        <v>-0.94</v>
      </c>
      <c r="AB73" s="3">
        <v>501016</v>
      </c>
      <c r="AC73" s="3">
        <v>511754</v>
      </c>
      <c r="AD73" s="3">
        <v>377528</v>
      </c>
      <c r="AE73" s="3">
        <v>452748</v>
      </c>
      <c r="AF73" s="3">
        <v>1031352</v>
      </c>
      <c r="AG73" s="3">
        <v>974584</v>
      </c>
      <c r="AH73" s="2">
        <v>10.029999999999999</v>
      </c>
      <c r="AI73" s="5">
        <v>9.16</v>
      </c>
    </row>
    <row r="74" spans="1:35" x14ac:dyDescent="0.3">
      <c r="A74" s="4" t="str">
        <f>"062901"</f>
        <v>062901</v>
      </c>
      <c r="B74" s="2" t="s">
        <v>72</v>
      </c>
      <c r="C74" s="3">
        <v>16528339</v>
      </c>
      <c r="D74" s="3">
        <v>16956770</v>
      </c>
      <c r="E74" s="2">
        <v>2.59</v>
      </c>
      <c r="F74" s="3">
        <v>6105926</v>
      </c>
      <c r="G74" s="3">
        <v>6175602</v>
      </c>
      <c r="H74" s="3"/>
      <c r="I74" s="3"/>
      <c r="J74" s="3"/>
      <c r="K74" s="3"/>
      <c r="L74" s="3"/>
      <c r="M74" s="3"/>
      <c r="N74" s="3">
        <v>6105926</v>
      </c>
      <c r="O74" s="3">
        <v>6175602</v>
      </c>
      <c r="P74" s="2">
        <v>1.1399999999999999</v>
      </c>
      <c r="Q74" s="3">
        <v>0</v>
      </c>
      <c r="R74" s="3">
        <v>0</v>
      </c>
      <c r="S74" s="3">
        <v>6105926</v>
      </c>
      <c r="T74" s="3">
        <v>6175602</v>
      </c>
      <c r="U74" s="3">
        <v>6105926</v>
      </c>
      <c r="V74" s="3">
        <v>6175602</v>
      </c>
      <c r="W74" s="3">
        <v>0</v>
      </c>
      <c r="X74" s="3">
        <v>0</v>
      </c>
      <c r="Y74" s="2">
        <v>670</v>
      </c>
      <c r="Z74" s="2">
        <v>650</v>
      </c>
      <c r="AA74" s="2">
        <v>-2.99</v>
      </c>
      <c r="AB74" s="3">
        <v>2784351</v>
      </c>
      <c r="AC74" s="3">
        <v>2984477</v>
      </c>
      <c r="AD74" s="3">
        <v>45000</v>
      </c>
      <c r="AE74" s="3">
        <v>45000</v>
      </c>
      <c r="AF74" s="3">
        <v>1685000</v>
      </c>
      <c r="AG74" s="3">
        <v>1640000</v>
      </c>
      <c r="AH74" s="2">
        <v>10.19</v>
      </c>
      <c r="AI74" s="5">
        <v>9.67</v>
      </c>
    </row>
    <row r="75" spans="1:35" x14ac:dyDescent="0.3">
      <c r="A75" s="4" t="str">
        <f>"070600"</f>
        <v>070600</v>
      </c>
      <c r="B75" s="2" t="s">
        <v>73</v>
      </c>
      <c r="C75" s="3">
        <v>133322023</v>
      </c>
      <c r="D75" s="3">
        <v>134480427</v>
      </c>
      <c r="E75" s="2">
        <v>0.87</v>
      </c>
      <c r="F75" s="3">
        <v>34849948</v>
      </c>
      <c r="G75" s="3">
        <v>34849948</v>
      </c>
      <c r="H75" s="3"/>
      <c r="I75" s="3"/>
      <c r="J75" s="3"/>
      <c r="K75" s="3"/>
      <c r="L75" s="3"/>
      <c r="M75" s="3"/>
      <c r="N75" s="3">
        <v>34849948</v>
      </c>
      <c r="O75" s="3">
        <v>34849948</v>
      </c>
      <c r="P75" s="2">
        <v>0</v>
      </c>
      <c r="Q75" s="3">
        <v>1170730</v>
      </c>
      <c r="R75" s="3">
        <v>1351112</v>
      </c>
      <c r="S75" s="3">
        <v>33684948</v>
      </c>
      <c r="T75" s="3">
        <v>34198144</v>
      </c>
      <c r="U75" s="3">
        <v>33679218</v>
      </c>
      <c r="V75" s="3">
        <v>33498836</v>
      </c>
      <c r="W75" s="3">
        <v>5730</v>
      </c>
      <c r="X75" s="3">
        <v>699308</v>
      </c>
      <c r="Y75" s="2">
        <v>6861</v>
      </c>
      <c r="Z75" s="2">
        <v>6549</v>
      </c>
      <c r="AA75" s="2">
        <v>-4.55</v>
      </c>
      <c r="AB75" s="3">
        <v>19637500</v>
      </c>
      <c r="AC75" s="3">
        <v>24944700</v>
      </c>
      <c r="AD75" s="3">
        <v>500000</v>
      </c>
      <c r="AE75" s="3">
        <v>5819122</v>
      </c>
      <c r="AF75" s="3">
        <v>5332881</v>
      </c>
      <c r="AG75" s="3">
        <v>5379217</v>
      </c>
      <c r="AH75" s="2">
        <v>4</v>
      </c>
      <c r="AI75" s="5">
        <v>4</v>
      </c>
    </row>
    <row r="76" spans="1:35" x14ac:dyDescent="0.3">
      <c r="A76" s="4" t="str">
        <f>"070901"</f>
        <v>070901</v>
      </c>
      <c r="B76" s="2" t="s">
        <v>74</v>
      </c>
      <c r="C76" s="3">
        <v>82129851</v>
      </c>
      <c r="D76" s="3">
        <v>85642743</v>
      </c>
      <c r="E76" s="2">
        <v>4.28</v>
      </c>
      <c r="F76" s="3">
        <v>40792807</v>
      </c>
      <c r="G76" s="3">
        <v>40576771</v>
      </c>
      <c r="H76" s="3"/>
      <c r="I76" s="3"/>
      <c r="J76" s="3"/>
      <c r="K76" s="3"/>
      <c r="L76" s="3"/>
      <c r="M76" s="3"/>
      <c r="N76" s="3">
        <v>40792807</v>
      </c>
      <c r="O76" s="3">
        <v>40576771</v>
      </c>
      <c r="P76" s="2">
        <v>-0.53</v>
      </c>
      <c r="Q76" s="3">
        <v>1423554</v>
      </c>
      <c r="R76" s="3">
        <v>0</v>
      </c>
      <c r="S76" s="3">
        <v>39369253</v>
      </c>
      <c r="T76" s="3">
        <v>40576771</v>
      </c>
      <c r="U76" s="3">
        <v>39369253</v>
      </c>
      <c r="V76" s="3">
        <v>40576771</v>
      </c>
      <c r="W76" s="3">
        <v>0</v>
      </c>
      <c r="X76" s="3">
        <v>0</v>
      </c>
      <c r="Y76" s="2">
        <v>3670</v>
      </c>
      <c r="Z76" s="2">
        <v>3585</v>
      </c>
      <c r="AA76" s="2">
        <v>-2.3199999999999998</v>
      </c>
      <c r="AB76" s="3">
        <v>11756079</v>
      </c>
      <c r="AC76" s="3">
        <v>13157009</v>
      </c>
      <c r="AD76" s="3">
        <v>2000000</v>
      </c>
      <c r="AE76" s="3">
        <v>1500000</v>
      </c>
      <c r="AF76" s="3">
        <v>3285194</v>
      </c>
      <c r="AG76" s="3">
        <v>3425710</v>
      </c>
      <c r="AH76" s="2">
        <v>4</v>
      </c>
      <c r="AI76" s="5">
        <v>4</v>
      </c>
    </row>
    <row r="77" spans="1:35" x14ac:dyDescent="0.3">
      <c r="A77" s="4" t="str">
        <f>"070902"</f>
        <v>070902</v>
      </c>
      <c r="B77" s="2" t="s">
        <v>75</v>
      </c>
      <c r="C77" s="3">
        <v>22838270</v>
      </c>
      <c r="D77" s="3">
        <v>23771485</v>
      </c>
      <c r="E77" s="2">
        <v>4.09</v>
      </c>
      <c r="F77" s="3">
        <v>8124805</v>
      </c>
      <c r="G77" s="3">
        <v>8124805</v>
      </c>
      <c r="H77" s="3"/>
      <c r="I77" s="3"/>
      <c r="J77" s="3"/>
      <c r="K77" s="3"/>
      <c r="L77" s="3"/>
      <c r="M77" s="3"/>
      <c r="N77" s="3">
        <v>8124805</v>
      </c>
      <c r="O77" s="3">
        <v>8124805</v>
      </c>
      <c r="P77" s="2">
        <v>0</v>
      </c>
      <c r="Q77" s="3">
        <v>327946</v>
      </c>
      <c r="R77" s="3">
        <v>360884</v>
      </c>
      <c r="S77" s="3">
        <v>7796859</v>
      </c>
      <c r="T77" s="3">
        <v>7905736</v>
      </c>
      <c r="U77" s="3">
        <v>7796859</v>
      </c>
      <c r="V77" s="3">
        <v>7763921</v>
      </c>
      <c r="W77" s="3">
        <v>0</v>
      </c>
      <c r="X77" s="3">
        <v>141815</v>
      </c>
      <c r="Y77" s="2">
        <v>1058</v>
      </c>
      <c r="Z77" s="2">
        <v>1076</v>
      </c>
      <c r="AA77" s="2">
        <v>1.7</v>
      </c>
      <c r="AB77" s="3">
        <v>4076857</v>
      </c>
      <c r="AC77" s="3">
        <v>4282399</v>
      </c>
      <c r="AD77" s="3">
        <v>800000</v>
      </c>
      <c r="AE77" s="3">
        <v>800000</v>
      </c>
      <c r="AF77" s="3">
        <v>1481144</v>
      </c>
      <c r="AG77" s="3">
        <v>952033</v>
      </c>
      <c r="AH77" s="2">
        <v>6.49</v>
      </c>
      <c r="AI77" s="5">
        <v>4</v>
      </c>
    </row>
    <row r="78" spans="1:35" x14ac:dyDescent="0.3">
      <c r="A78" s="4" t="str">
        <f>"080101"</f>
        <v>080101</v>
      </c>
      <c r="B78" s="2" t="s">
        <v>76</v>
      </c>
      <c r="C78" s="3">
        <v>16474757</v>
      </c>
      <c r="D78" s="3">
        <v>16568022</v>
      </c>
      <c r="E78" s="2">
        <v>0.56999999999999995</v>
      </c>
      <c r="F78" s="3">
        <v>4714941</v>
      </c>
      <c r="G78" s="3">
        <v>4758486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4714941</v>
      </c>
      <c r="O78" s="3">
        <v>4758486</v>
      </c>
      <c r="P78" s="2">
        <v>0.92</v>
      </c>
      <c r="Q78" s="3">
        <v>0</v>
      </c>
      <c r="R78" s="3">
        <v>0</v>
      </c>
      <c r="S78" s="3">
        <v>4714941</v>
      </c>
      <c r="T78" s="3">
        <v>4758486</v>
      </c>
      <c r="U78" s="3">
        <v>4714941</v>
      </c>
      <c r="V78" s="3">
        <v>4758486</v>
      </c>
      <c r="W78" s="3">
        <v>0</v>
      </c>
      <c r="X78" s="3">
        <v>0</v>
      </c>
      <c r="Y78" s="2">
        <v>526</v>
      </c>
      <c r="Z78" s="2">
        <v>482</v>
      </c>
      <c r="AA78" s="2">
        <v>-8.3699999999999992</v>
      </c>
      <c r="AB78" s="3">
        <v>2210840</v>
      </c>
      <c r="AC78" s="3">
        <v>2766840</v>
      </c>
      <c r="AD78" s="3">
        <v>476101</v>
      </c>
      <c r="AE78" s="3">
        <v>201166</v>
      </c>
      <c r="AF78" s="3">
        <v>3578825</v>
      </c>
      <c r="AG78" s="3">
        <v>3022825</v>
      </c>
      <c r="AH78" s="2">
        <v>21.72</v>
      </c>
      <c r="AI78" s="5">
        <v>18.239999999999998</v>
      </c>
    </row>
    <row r="79" spans="1:35" x14ac:dyDescent="0.3">
      <c r="A79" s="4" t="str">
        <f>"080201"</f>
        <v>080201</v>
      </c>
      <c r="B79" s="2" t="s">
        <v>77</v>
      </c>
      <c r="C79" s="3">
        <v>20167516</v>
      </c>
      <c r="D79" s="3">
        <v>20735382</v>
      </c>
      <c r="E79" s="2">
        <v>2.82</v>
      </c>
      <c r="F79" s="3">
        <v>6706790</v>
      </c>
      <c r="G79" s="3">
        <v>6789108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6706790</v>
      </c>
      <c r="O79" s="3">
        <v>6789108</v>
      </c>
      <c r="P79" s="2">
        <v>1.23</v>
      </c>
      <c r="Q79" s="3">
        <v>183933</v>
      </c>
      <c r="R79" s="3">
        <v>249374</v>
      </c>
      <c r="S79" s="3">
        <v>6522857</v>
      </c>
      <c r="T79" s="3">
        <v>6539734</v>
      </c>
      <c r="U79" s="3">
        <v>6522857</v>
      </c>
      <c r="V79" s="3">
        <v>6539734</v>
      </c>
      <c r="W79" s="3">
        <v>0</v>
      </c>
      <c r="X79" s="3">
        <v>0</v>
      </c>
      <c r="Y79" s="2">
        <v>760</v>
      </c>
      <c r="Z79" s="2">
        <v>731</v>
      </c>
      <c r="AA79" s="2">
        <v>-3.82</v>
      </c>
      <c r="AB79" s="3">
        <v>5344742</v>
      </c>
      <c r="AC79" s="3">
        <v>5597588</v>
      </c>
      <c r="AD79" s="3">
        <v>525000</v>
      </c>
      <c r="AE79" s="3">
        <v>750000</v>
      </c>
      <c r="AF79" s="3">
        <v>1821849</v>
      </c>
      <c r="AG79" s="3">
        <v>1658830</v>
      </c>
      <c r="AH79" s="2">
        <v>9.0299999999999994</v>
      </c>
      <c r="AI79" s="5">
        <v>8</v>
      </c>
    </row>
    <row r="80" spans="1:35" x14ac:dyDescent="0.3">
      <c r="A80" s="4" t="str">
        <f>"080601"</f>
        <v>080601</v>
      </c>
      <c r="B80" s="2" t="s">
        <v>78</v>
      </c>
      <c r="C80" s="3">
        <v>27769013</v>
      </c>
      <c r="D80" s="3">
        <v>28671998</v>
      </c>
      <c r="E80" s="2">
        <v>3.25</v>
      </c>
      <c r="F80" s="3">
        <v>7180795</v>
      </c>
      <c r="G80" s="3">
        <v>7282753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7180795</v>
      </c>
      <c r="O80" s="3">
        <v>7282753</v>
      </c>
      <c r="P80" s="2">
        <v>1.42</v>
      </c>
      <c r="Q80" s="3">
        <v>642152</v>
      </c>
      <c r="R80" s="3">
        <v>663622</v>
      </c>
      <c r="S80" s="3">
        <v>6538643</v>
      </c>
      <c r="T80" s="3">
        <v>6619131</v>
      </c>
      <c r="U80" s="3">
        <v>6538643</v>
      </c>
      <c r="V80" s="3">
        <v>6619131</v>
      </c>
      <c r="W80" s="3">
        <v>0</v>
      </c>
      <c r="X80" s="3">
        <v>0</v>
      </c>
      <c r="Y80" s="2">
        <v>963</v>
      </c>
      <c r="Z80" s="2">
        <v>980</v>
      </c>
      <c r="AA80" s="2">
        <v>1.77</v>
      </c>
      <c r="AB80" s="3">
        <v>4826284</v>
      </c>
      <c r="AC80" s="3">
        <v>5146803</v>
      </c>
      <c r="AD80" s="3">
        <v>513200</v>
      </c>
      <c r="AE80" s="3">
        <v>513200</v>
      </c>
      <c r="AF80" s="3">
        <v>1110781</v>
      </c>
      <c r="AG80" s="3">
        <v>1146880</v>
      </c>
      <c r="AH80" s="2">
        <v>4</v>
      </c>
      <c r="AI80" s="5">
        <v>4</v>
      </c>
    </row>
    <row r="81" spans="1:35" x14ac:dyDescent="0.3">
      <c r="A81" s="4" t="str">
        <f>"081003"</f>
        <v>081003</v>
      </c>
      <c r="B81" s="2" t="s">
        <v>79</v>
      </c>
      <c r="C81" s="3">
        <v>22187569</v>
      </c>
      <c r="D81" s="3">
        <v>23446865</v>
      </c>
      <c r="E81" s="2">
        <v>5.68</v>
      </c>
      <c r="F81" s="3">
        <v>4469490</v>
      </c>
      <c r="G81" s="3">
        <v>4569743</v>
      </c>
      <c r="H81" s="3"/>
      <c r="I81" s="3"/>
      <c r="J81" s="3"/>
      <c r="K81" s="3"/>
      <c r="L81" s="3"/>
      <c r="M81" s="3"/>
      <c r="N81" s="3">
        <v>4469490</v>
      </c>
      <c r="O81" s="3">
        <v>4569743</v>
      </c>
      <c r="P81" s="2">
        <v>2.2400000000000002</v>
      </c>
      <c r="Q81" s="3">
        <v>338216</v>
      </c>
      <c r="R81" s="3">
        <v>404754</v>
      </c>
      <c r="S81" s="3">
        <v>4432941</v>
      </c>
      <c r="T81" s="3">
        <v>4164989</v>
      </c>
      <c r="U81" s="3">
        <v>4131274</v>
      </c>
      <c r="V81" s="3">
        <v>4164989</v>
      </c>
      <c r="W81" s="3">
        <v>301667</v>
      </c>
      <c r="X81" s="3">
        <v>0</v>
      </c>
      <c r="Y81" s="2">
        <v>806</v>
      </c>
      <c r="Z81" s="2">
        <v>820</v>
      </c>
      <c r="AA81" s="2">
        <v>1.74</v>
      </c>
      <c r="AB81" s="3">
        <v>6586022</v>
      </c>
      <c r="AC81" s="3">
        <v>7125399</v>
      </c>
      <c r="AD81" s="3">
        <v>500000</v>
      </c>
      <c r="AE81" s="3">
        <v>450000</v>
      </c>
      <c r="AF81" s="3">
        <v>1875749</v>
      </c>
      <c r="AG81" s="3">
        <v>1600749</v>
      </c>
      <c r="AH81" s="2">
        <v>8.4499999999999993</v>
      </c>
      <c r="AI81" s="5">
        <v>6.83</v>
      </c>
    </row>
    <row r="82" spans="1:35" x14ac:dyDescent="0.3">
      <c r="A82" s="4" t="str">
        <f>"081200"</f>
        <v>081200</v>
      </c>
      <c r="B82" s="2" t="s">
        <v>80</v>
      </c>
      <c r="C82" s="3">
        <v>41951497</v>
      </c>
      <c r="D82" s="3">
        <v>42726627</v>
      </c>
      <c r="E82" s="2">
        <v>1.85</v>
      </c>
      <c r="F82" s="3">
        <v>12059933</v>
      </c>
      <c r="G82" s="3">
        <v>12071311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12059933</v>
      </c>
      <c r="O82" s="3">
        <v>12071311</v>
      </c>
      <c r="P82" s="2">
        <v>0.09</v>
      </c>
      <c r="Q82" s="3">
        <v>744599</v>
      </c>
      <c r="R82" s="3">
        <v>633028</v>
      </c>
      <c r="S82" s="3">
        <v>11315334</v>
      </c>
      <c r="T82" s="3">
        <v>11438283</v>
      </c>
      <c r="U82" s="3">
        <v>11315334</v>
      </c>
      <c r="V82" s="3">
        <v>11438283</v>
      </c>
      <c r="W82" s="3">
        <v>0</v>
      </c>
      <c r="X82" s="3">
        <v>0</v>
      </c>
      <c r="Y82" s="2">
        <v>1631</v>
      </c>
      <c r="Z82" s="2">
        <v>1633</v>
      </c>
      <c r="AA82" s="2">
        <v>0.12</v>
      </c>
      <c r="AB82" s="3">
        <v>2153384</v>
      </c>
      <c r="AC82" s="3">
        <v>5702498</v>
      </c>
      <c r="AD82" s="3">
        <v>688248</v>
      </c>
      <c r="AE82" s="3">
        <v>583563</v>
      </c>
      <c r="AF82" s="3">
        <v>1329216</v>
      </c>
      <c r="AG82" s="3">
        <v>1709065</v>
      </c>
      <c r="AH82" s="2">
        <v>3.17</v>
      </c>
      <c r="AI82" s="5">
        <v>4</v>
      </c>
    </row>
    <row r="83" spans="1:35" x14ac:dyDescent="0.3">
      <c r="A83" s="4" t="str">
        <f>"081401"</f>
        <v>081401</v>
      </c>
      <c r="B83" s="2" t="s">
        <v>81</v>
      </c>
      <c r="C83" s="3">
        <v>11783428</v>
      </c>
      <c r="D83" s="3">
        <v>11912611</v>
      </c>
      <c r="E83" s="2">
        <v>1.1000000000000001</v>
      </c>
      <c r="F83" s="3">
        <v>3251500</v>
      </c>
      <c r="G83" s="3">
        <v>3284015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3251500</v>
      </c>
      <c r="O83" s="3">
        <v>3284015</v>
      </c>
      <c r="P83" s="2">
        <v>1</v>
      </c>
      <c r="Q83" s="3">
        <v>0</v>
      </c>
      <c r="R83" s="3">
        <v>0</v>
      </c>
      <c r="S83" s="3">
        <v>3261818</v>
      </c>
      <c r="T83" s="3">
        <v>3308724</v>
      </c>
      <c r="U83" s="3">
        <v>3251500</v>
      </c>
      <c r="V83" s="3">
        <v>3284015</v>
      </c>
      <c r="W83" s="3">
        <v>10318</v>
      </c>
      <c r="X83" s="3">
        <v>24709</v>
      </c>
      <c r="Y83" s="2">
        <v>300</v>
      </c>
      <c r="Z83" s="2">
        <v>292</v>
      </c>
      <c r="AA83" s="2">
        <v>-2.67</v>
      </c>
      <c r="AB83" s="3">
        <v>3241994</v>
      </c>
      <c r="AC83" s="3">
        <v>3251994</v>
      </c>
      <c r="AD83" s="3">
        <v>492382</v>
      </c>
      <c r="AE83" s="3">
        <v>0</v>
      </c>
      <c r="AF83" s="3">
        <v>471337</v>
      </c>
      <c r="AG83" s="3">
        <v>963819</v>
      </c>
      <c r="AH83" s="2">
        <v>4</v>
      </c>
      <c r="AI83" s="5">
        <v>8.09</v>
      </c>
    </row>
    <row r="84" spans="1:35" x14ac:dyDescent="0.3">
      <c r="A84" s="4" t="str">
        <f>"081501"</f>
        <v>081501</v>
      </c>
      <c r="B84" s="2" t="s">
        <v>82</v>
      </c>
      <c r="C84" s="3">
        <v>18510542</v>
      </c>
      <c r="D84" s="3">
        <v>19475132</v>
      </c>
      <c r="E84" s="2">
        <v>5.21</v>
      </c>
      <c r="F84" s="3">
        <v>5108486</v>
      </c>
      <c r="G84" s="3">
        <v>5091160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5108486</v>
      </c>
      <c r="O84" s="3">
        <v>5091160</v>
      </c>
      <c r="P84" s="2">
        <v>-0.34</v>
      </c>
      <c r="Q84" s="3">
        <v>207118</v>
      </c>
      <c r="R84" s="3">
        <v>132505</v>
      </c>
      <c r="S84" s="3">
        <v>4901368</v>
      </c>
      <c r="T84" s="3">
        <v>4958655</v>
      </c>
      <c r="U84" s="3">
        <v>4901368</v>
      </c>
      <c r="V84" s="3">
        <v>4958655</v>
      </c>
      <c r="W84" s="3">
        <v>0</v>
      </c>
      <c r="X84" s="3">
        <v>0</v>
      </c>
      <c r="Y84" s="2">
        <v>688</v>
      </c>
      <c r="Z84" s="2">
        <v>690</v>
      </c>
      <c r="AA84" s="2">
        <v>0.28999999999999998</v>
      </c>
      <c r="AB84" s="3">
        <v>1729193</v>
      </c>
      <c r="AC84" s="3">
        <v>1729193</v>
      </c>
      <c r="AD84" s="3">
        <v>85962</v>
      </c>
      <c r="AE84" s="3">
        <v>85962</v>
      </c>
      <c r="AF84" s="3">
        <v>573085</v>
      </c>
      <c r="AG84" s="3">
        <v>773000</v>
      </c>
      <c r="AH84" s="2">
        <v>3.1</v>
      </c>
      <c r="AI84" s="5">
        <v>3.97</v>
      </c>
    </row>
    <row r="85" spans="1:35" x14ac:dyDescent="0.3">
      <c r="A85" s="4" t="str">
        <f>"082001"</f>
        <v>082001</v>
      </c>
      <c r="B85" s="2" t="s">
        <v>83</v>
      </c>
      <c r="C85" s="3">
        <v>35059626</v>
      </c>
      <c r="D85" s="3">
        <v>36579794</v>
      </c>
      <c r="E85" s="2">
        <v>4.34</v>
      </c>
      <c r="F85" s="3">
        <v>6468280</v>
      </c>
      <c r="G85" s="3">
        <v>6546993</v>
      </c>
      <c r="H85" s="3"/>
      <c r="I85" s="3"/>
      <c r="J85" s="3"/>
      <c r="K85" s="3"/>
      <c r="L85" s="3"/>
      <c r="M85" s="3"/>
      <c r="N85" s="3">
        <v>6468280</v>
      </c>
      <c r="O85" s="3">
        <v>6546993</v>
      </c>
      <c r="P85" s="2">
        <v>1.22</v>
      </c>
      <c r="Q85" s="3">
        <v>60994</v>
      </c>
      <c r="R85" s="3">
        <v>15073</v>
      </c>
      <c r="S85" s="3">
        <v>5758996</v>
      </c>
      <c r="T85" s="3">
        <v>6531920</v>
      </c>
      <c r="U85" s="3">
        <v>6407286</v>
      </c>
      <c r="V85" s="3">
        <v>6531920</v>
      </c>
      <c r="W85" s="3">
        <v>-648290</v>
      </c>
      <c r="X85" s="3">
        <v>0</v>
      </c>
      <c r="Y85" s="2">
        <v>1276</v>
      </c>
      <c r="Z85" s="2">
        <v>1235</v>
      </c>
      <c r="AA85" s="2">
        <v>-3.21</v>
      </c>
      <c r="AB85" s="3">
        <v>2084718</v>
      </c>
      <c r="AC85" s="3">
        <v>2084718</v>
      </c>
      <c r="AD85" s="3">
        <v>966214</v>
      </c>
      <c r="AE85" s="3">
        <v>750000</v>
      </c>
      <c r="AF85" s="3">
        <v>1816287</v>
      </c>
      <c r="AG85" s="3">
        <v>2929504</v>
      </c>
      <c r="AH85" s="2">
        <v>5.18</v>
      </c>
      <c r="AI85" s="5">
        <v>8.01</v>
      </c>
    </row>
    <row r="86" spans="1:35" x14ac:dyDescent="0.3">
      <c r="A86" s="4" t="str">
        <f>"090201"</f>
        <v>090201</v>
      </c>
      <c r="B86" s="2" t="s">
        <v>84</v>
      </c>
      <c r="C86" s="3">
        <v>34210242</v>
      </c>
      <c r="D86" s="3">
        <v>34738668</v>
      </c>
      <c r="E86" s="2">
        <v>1.54</v>
      </c>
      <c r="F86" s="3">
        <v>14573500</v>
      </c>
      <c r="G86" s="3">
        <v>14803500</v>
      </c>
      <c r="H86" s="3"/>
      <c r="I86" s="3"/>
      <c r="J86" s="3"/>
      <c r="K86" s="3"/>
      <c r="L86" s="3"/>
      <c r="M86" s="3"/>
      <c r="N86" s="3">
        <v>14573500</v>
      </c>
      <c r="O86" s="3">
        <v>14803500</v>
      </c>
      <c r="P86" s="2">
        <v>1.58</v>
      </c>
      <c r="Q86" s="3">
        <v>280509</v>
      </c>
      <c r="R86" s="3">
        <v>288176</v>
      </c>
      <c r="S86" s="3">
        <v>14296410</v>
      </c>
      <c r="T86" s="3">
        <v>14518954</v>
      </c>
      <c r="U86" s="3">
        <v>14292991</v>
      </c>
      <c r="V86" s="3">
        <v>14515324</v>
      </c>
      <c r="W86" s="3">
        <v>3419</v>
      </c>
      <c r="X86" s="3">
        <v>3630</v>
      </c>
      <c r="Y86" s="2">
        <v>1170</v>
      </c>
      <c r="Z86" s="2">
        <v>1140</v>
      </c>
      <c r="AA86" s="2">
        <v>-2.56</v>
      </c>
      <c r="AB86" s="3">
        <v>225000</v>
      </c>
      <c r="AC86" s="3">
        <v>22500</v>
      </c>
      <c r="AD86" s="3">
        <v>875000</v>
      </c>
      <c r="AE86" s="3">
        <v>895000</v>
      </c>
      <c r="AF86" s="3">
        <v>1665972</v>
      </c>
      <c r="AG86" s="3">
        <v>1385972</v>
      </c>
      <c r="AH86" s="2">
        <v>4.87</v>
      </c>
      <c r="AI86" s="5">
        <v>3.99</v>
      </c>
    </row>
    <row r="87" spans="1:35" x14ac:dyDescent="0.3">
      <c r="A87" s="4" t="str">
        <f>"090301"</f>
        <v>090301</v>
      </c>
      <c r="B87" s="2" t="s">
        <v>85</v>
      </c>
      <c r="C87" s="3">
        <v>44594793</v>
      </c>
      <c r="D87" s="3">
        <v>46064390</v>
      </c>
      <c r="E87" s="2">
        <v>3.3</v>
      </c>
      <c r="F87" s="3">
        <v>21863639</v>
      </c>
      <c r="G87" s="3">
        <v>22449618</v>
      </c>
      <c r="H87" s="3"/>
      <c r="I87" s="3"/>
      <c r="J87" s="3"/>
      <c r="K87" s="3"/>
      <c r="L87" s="3"/>
      <c r="M87" s="3"/>
      <c r="N87" s="3">
        <v>21863639</v>
      </c>
      <c r="O87" s="3">
        <v>22449618</v>
      </c>
      <c r="P87" s="2">
        <v>2.68</v>
      </c>
      <c r="Q87" s="3">
        <v>398340</v>
      </c>
      <c r="R87" s="3">
        <v>183990</v>
      </c>
      <c r="S87" s="3">
        <v>21465299</v>
      </c>
      <c r="T87" s="3">
        <v>22265628</v>
      </c>
      <c r="U87" s="3">
        <v>21465299</v>
      </c>
      <c r="V87" s="3">
        <v>22265628</v>
      </c>
      <c r="W87" s="3">
        <v>0</v>
      </c>
      <c r="X87" s="3">
        <v>0</v>
      </c>
      <c r="Y87" s="2">
        <v>1920</v>
      </c>
      <c r="Z87" s="2">
        <v>1925</v>
      </c>
      <c r="AA87" s="2">
        <v>0.26</v>
      </c>
      <c r="AB87" s="3">
        <v>5982538</v>
      </c>
      <c r="AC87" s="3">
        <v>6285214</v>
      </c>
      <c r="AD87" s="3">
        <v>1600000</v>
      </c>
      <c r="AE87" s="3">
        <v>1600000</v>
      </c>
      <c r="AF87" s="3">
        <v>4382538</v>
      </c>
      <c r="AG87" s="3">
        <v>4685214</v>
      </c>
      <c r="AH87" s="2">
        <v>9.83</v>
      </c>
      <c r="AI87" s="5">
        <v>10.17</v>
      </c>
    </row>
    <row r="88" spans="1:35" x14ac:dyDescent="0.3">
      <c r="A88" s="4" t="str">
        <f>"090501"</f>
        <v>090501</v>
      </c>
      <c r="B88" s="2" t="s">
        <v>86</v>
      </c>
      <c r="C88" s="3">
        <v>31726037</v>
      </c>
      <c r="D88" s="3">
        <v>30905787</v>
      </c>
      <c r="E88" s="2">
        <v>-2.59</v>
      </c>
      <c r="F88" s="3">
        <v>11436760</v>
      </c>
      <c r="G88" s="3">
        <v>11582249</v>
      </c>
      <c r="H88" s="3"/>
      <c r="I88" s="3"/>
      <c r="J88" s="3"/>
      <c r="K88" s="3"/>
      <c r="L88" s="3"/>
      <c r="M88" s="3"/>
      <c r="N88" s="3">
        <v>11436760</v>
      </c>
      <c r="O88" s="3">
        <v>11582249</v>
      </c>
      <c r="P88" s="2">
        <v>1.27</v>
      </c>
      <c r="Q88" s="3">
        <v>325150</v>
      </c>
      <c r="R88" s="3">
        <v>331106</v>
      </c>
      <c r="S88" s="3">
        <v>11190034</v>
      </c>
      <c r="T88" s="3">
        <v>11251143</v>
      </c>
      <c r="U88" s="3">
        <v>11111610</v>
      </c>
      <c r="V88" s="3">
        <v>11251143</v>
      </c>
      <c r="W88" s="3">
        <v>78424</v>
      </c>
      <c r="X88" s="3">
        <v>0</v>
      </c>
      <c r="Y88" s="2">
        <v>1320</v>
      </c>
      <c r="Z88" s="2">
        <v>1300</v>
      </c>
      <c r="AA88" s="2">
        <v>-1.52</v>
      </c>
      <c r="AB88" s="3">
        <v>3608112</v>
      </c>
      <c r="AC88" s="3">
        <v>3500000</v>
      </c>
      <c r="AD88" s="3">
        <v>1456434</v>
      </c>
      <c r="AE88" s="3">
        <v>775000</v>
      </c>
      <c r="AF88" s="3">
        <v>1663015</v>
      </c>
      <c r="AG88" s="3">
        <v>2000000</v>
      </c>
      <c r="AH88" s="2">
        <v>5.24</v>
      </c>
      <c r="AI88" s="5">
        <v>6.47</v>
      </c>
    </row>
    <row r="89" spans="1:35" x14ac:dyDescent="0.3">
      <c r="A89" s="4" t="str">
        <f>"090601"</f>
        <v>090601</v>
      </c>
      <c r="B89" s="2" t="s">
        <v>87</v>
      </c>
      <c r="C89" s="3">
        <v>11648647</v>
      </c>
      <c r="D89" s="3">
        <v>11996817</v>
      </c>
      <c r="E89" s="2">
        <v>2.99</v>
      </c>
      <c r="F89" s="3">
        <v>5304006</v>
      </c>
      <c r="G89" s="3">
        <v>5294575</v>
      </c>
      <c r="H89" s="3">
        <v>37500</v>
      </c>
      <c r="I89" s="3">
        <v>38000</v>
      </c>
      <c r="J89" s="3"/>
      <c r="K89" s="3"/>
      <c r="L89" s="3"/>
      <c r="M89" s="3"/>
      <c r="N89" s="3">
        <v>5341506</v>
      </c>
      <c r="O89" s="3">
        <v>5332575</v>
      </c>
      <c r="P89" s="2">
        <v>-0.17</v>
      </c>
      <c r="Q89" s="3">
        <v>291996</v>
      </c>
      <c r="R89" s="3">
        <v>192733</v>
      </c>
      <c r="S89" s="3">
        <v>5012010</v>
      </c>
      <c r="T89" s="3">
        <v>5101842</v>
      </c>
      <c r="U89" s="3">
        <v>5012010</v>
      </c>
      <c r="V89" s="3">
        <v>5101842</v>
      </c>
      <c r="W89" s="3">
        <v>0</v>
      </c>
      <c r="X89" s="3">
        <v>0</v>
      </c>
      <c r="Y89" s="2">
        <v>455</v>
      </c>
      <c r="Z89" s="2">
        <v>440</v>
      </c>
      <c r="AA89" s="2">
        <v>-3.3</v>
      </c>
      <c r="AB89" s="3">
        <v>714036</v>
      </c>
      <c r="AC89" s="3">
        <v>824841</v>
      </c>
      <c r="AD89" s="3">
        <v>933798</v>
      </c>
      <c r="AE89" s="3">
        <v>996066</v>
      </c>
      <c r="AF89" s="3">
        <v>1209956</v>
      </c>
      <c r="AG89" s="3">
        <v>928251</v>
      </c>
      <c r="AH89" s="2">
        <v>10.39</v>
      </c>
      <c r="AI89" s="5">
        <v>7.74</v>
      </c>
    </row>
    <row r="90" spans="1:35" x14ac:dyDescent="0.3">
      <c r="A90" s="4" t="str">
        <f>"090901"</f>
        <v>090901</v>
      </c>
      <c r="B90" s="2" t="s">
        <v>88</v>
      </c>
      <c r="C90" s="3">
        <v>23758650</v>
      </c>
      <c r="D90" s="3">
        <v>24737225</v>
      </c>
      <c r="E90" s="2">
        <v>4.12</v>
      </c>
      <c r="F90" s="3">
        <v>7300000</v>
      </c>
      <c r="G90" s="3">
        <v>7700000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7300000</v>
      </c>
      <c r="O90" s="3">
        <v>7700000</v>
      </c>
      <c r="P90" s="2">
        <v>5.48</v>
      </c>
      <c r="Q90" s="3">
        <v>778558</v>
      </c>
      <c r="R90" s="3">
        <v>1072724</v>
      </c>
      <c r="S90" s="3">
        <v>4287992</v>
      </c>
      <c r="T90" s="3">
        <v>6640127</v>
      </c>
      <c r="U90" s="3">
        <v>6521442</v>
      </c>
      <c r="V90" s="3">
        <v>6627276</v>
      </c>
      <c r="W90" s="3">
        <v>-2233450</v>
      </c>
      <c r="X90" s="3">
        <v>12851</v>
      </c>
      <c r="Y90" s="2">
        <v>825</v>
      </c>
      <c r="Z90" s="2">
        <v>825</v>
      </c>
      <c r="AA90" s="2">
        <v>0</v>
      </c>
      <c r="AB90" s="3">
        <v>241101</v>
      </c>
      <c r="AC90" s="3">
        <v>241101</v>
      </c>
      <c r="AD90" s="3">
        <v>79887</v>
      </c>
      <c r="AE90" s="3">
        <v>40000</v>
      </c>
      <c r="AF90" s="3">
        <v>301567</v>
      </c>
      <c r="AG90" s="3">
        <v>741454</v>
      </c>
      <c r="AH90" s="2">
        <v>1.27</v>
      </c>
      <c r="AI90" s="5">
        <v>3</v>
      </c>
    </row>
    <row r="91" spans="1:35" x14ac:dyDescent="0.3">
      <c r="A91" s="4" t="str">
        <f>"091101"</f>
        <v>091101</v>
      </c>
      <c r="B91" s="2" t="s">
        <v>89</v>
      </c>
      <c r="C91" s="3">
        <v>48880908</v>
      </c>
      <c r="D91" s="3">
        <v>49982897</v>
      </c>
      <c r="E91" s="2">
        <v>2.25</v>
      </c>
      <c r="F91" s="3">
        <v>18142246</v>
      </c>
      <c r="G91" s="3">
        <v>18457313</v>
      </c>
      <c r="H91" s="3"/>
      <c r="I91" s="3"/>
      <c r="J91" s="3"/>
      <c r="K91" s="3"/>
      <c r="L91" s="3"/>
      <c r="M91" s="3"/>
      <c r="N91" s="3">
        <v>18142246</v>
      </c>
      <c r="O91" s="3">
        <v>18457313</v>
      </c>
      <c r="P91" s="2">
        <v>1.74</v>
      </c>
      <c r="Q91" s="3">
        <v>73935</v>
      </c>
      <c r="R91" s="3">
        <v>44461</v>
      </c>
      <c r="S91" s="3">
        <v>18068311</v>
      </c>
      <c r="T91" s="3">
        <v>18412852</v>
      </c>
      <c r="U91" s="3">
        <v>18068311</v>
      </c>
      <c r="V91" s="3">
        <v>18412852</v>
      </c>
      <c r="W91" s="3">
        <v>0</v>
      </c>
      <c r="X91" s="3">
        <v>0</v>
      </c>
      <c r="Y91" s="2">
        <v>1784</v>
      </c>
      <c r="Z91" s="2">
        <v>1779</v>
      </c>
      <c r="AA91" s="2">
        <v>-0.28000000000000003</v>
      </c>
      <c r="AB91" s="3">
        <v>2433792</v>
      </c>
      <c r="AC91" s="3">
        <v>2466942</v>
      </c>
      <c r="AD91" s="3">
        <v>2801520</v>
      </c>
      <c r="AE91" s="3">
        <v>2801520</v>
      </c>
      <c r="AF91" s="3">
        <v>3616422</v>
      </c>
      <c r="AG91" s="3">
        <v>3900000</v>
      </c>
      <c r="AH91" s="2">
        <v>7.4</v>
      </c>
      <c r="AI91" s="5">
        <v>7.8</v>
      </c>
    </row>
    <row r="92" spans="1:35" x14ac:dyDescent="0.3">
      <c r="A92" s="4" t="str">
        <f>"091200"</f>
        <v>091200</v>
      </c>
      <c r="B92" s="2" t="s">
        <v>90</v>
      </c>
      <c r="C92" s="3">
        <v>45476805</v>
      </c>
      <c r="D92" s="3">
        <v>46413990</v>
      </c>
      <c r="E92" s="2">
        <v>2.06</v>
      </c>
      <c r="F92" s="3">
        <v>23567410</v>
      </c>
      <c r="G92" s="3">
        <v>24045198</v>
      </c>
      <c r="H92" s="3"/>
      <c r="I92" s="3"/>
      <c r="J92" s="3"/>
      <c r="K92" s="3"/>
      <c r="L92" s="3"/>
      <c r="M92" s="3"/>
      <c r="N92" s="3">
        <v>23567410</v>
      </c>
      <c r="O92" s="3">
        <v>24045198</v>
      </c>
      <c r="P92" s="2">
        <v>2.0299999999999998</v>
      </c>
      <c r="Q92" s="3">
        <v>385353</v>
      </c>
      <c r="R92" s="3">
        <v>385353</v>
      </c>
      <c r="S92" s="3">
        <v>23182057</v>
      </c>
      <c r="T92" s="3">
        <v>23659845</v>
      </c>
      <c r="U92" s="3">
        <v>23182057</v>
      </c>
      <c r="V92" s="3">
        <v>23659845</v>
      </c>
      <c r="W92" s="3">
        <v>0</v>
      </c>
      <c r="X92" s="3">
        <v>0</v>
      </c>
      <c r="Y92" s="2">
        <v>1830</v>
      </c>
      <c r="Z92" s="2">
        <v>1781</v>
      </c>
      <c r="AA92" s="2">
        <v>-2.68</v>
      </c>
      <c r="AB92" s="3">
        <v>2926176</v>
      </c>
      <c r="AC92" s="3">
        <v>2000000</v>
      </c>
      <c r="AD92" s="3">
        <v>1300000</v>
      </c>
      <c r="AE92" s="3">
        <v>1500000</v>
      </c>
      <c r="AF92" s="3">
        <v>2173000</v>
      </c>
      <c r="AG92" s="3">
        <v>2500000</v>
      </c>
      <c r="AH92" s="2">
        <v>4.78</v>
      </c>
      <c r="AI92" s="5">
        <v>5.39</v>
      </c>
    </row>
    <row r="93" spans="1:35" x14ac:dyDescent="0.3">
      <c r="A93" s="4" t="str">
        <f>"091402"</f>
        <v>091402</v>
      </c>
      <c r="B93" s="2" t="s">
        <v>91</v>
      </c>
      <c r="C93" s="3">
        <v>34329522</v>
      </c>
      <c r="D93" s="3">
        <v>37280686</v>
      </c>
      <c r="E93" s="2">
        <v>8.6</v>
      </c>
      <c r="F93" s="3">
        <v>13895568</v>
      </c>
      <c r="G93" s="3">
        <v>14142442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13895568</v>
      </c>
      <c r="O93" s="3">
        <v>14142442</v>
      </c>
      <c r="P93" s="2">
        <v>1.78</v>
      </c>
      <c r="Q93" s="3">
        <v>0</v>
      </c>
      <c r="R93" s="3">
        <v>0</v>
      </c>
      <c r="S93" s="3">
        <v>13895568</v>
      </c>
      <c r="T93" s="3">
        <v>14142442</v>
      </c>
      <c r="U93" s="3">
        <v>13895568</v>
      </c>
      <c r="V93" s="3">
        <v>14142442</v>
      </c>
      <c r="W93" s="3">
        <v>0</v>
      </c>
      <c r="X93" s="3">
        <v>0</v>
      </c>
      <c r="Y93" s="2">
        <v>1481</v>
      </c>
      <c r="Z93" s="2">
        <v>1500</v>
      </c>
      <c r="AA93" s="2">
        <v>1.28</v>
      </c>
      <c r="AB93" s="3">
        <v>2369460</v>
      </c>
      <c r="AC93" s="3">
        <v>2777900</v>
      </c>
      <c r="AD93" s="3">
        <v>1024874</v>
      </c>
      <c r="AE93" s="3">
        <v>1264400</v>
      </c>
      <c r="AF93" s="3">
        <v>5764170</v>
      </c>
      <c r="AG93" s="3">
        <v>6410135</v>
      </c>
      <c r="AH93" s="2">
        <v>16.79</v>
      </c>
      <c r="AI93" s="5">
        <v>17.190000000000001</v>
      </c>
    </row>
    <row r="94" spans="1:35" x14ac:dyDescent="0.3">
      <c r="A94" s="4" t="str">
        <f>"100501"</f>
        <v>100501</v>
      </c>
      <c r="B94" s="2" t="s">
        <v>92</v>
      </c>
      <c r="C94" s="3">
        <v>38112800</v>
      </c>
      <c r="D94" s="3">
        <v>38956006</v>
      </c>
      <c r="E94" s="2">
        <v>2.21</v>
      </c>
      <c r="F94" s="3">
        <v>25197610</v>
      </c>
      <c r="G94" s="3">
        <v>25197610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25197610</v>
      </c>
      <c r="O94" s="3">
        <v>25197610</v>
      </c>
      <c r="P94" s="2">
        <v>0</v>
      </c>
      <c r="Q94" s="3">
        <v>146281</v>
      </c>
      <c r="R94" s="3">
        <v>81864</v>
      </c>
      <c r="S94" s="3">
        <v>25279189</v>
      </c>
      <c r="T94" s="3">
        <v>25599186</v>
      </c>
      <c r="U94" s="3">
        <v>25051329</v>
      </c>
      <c r="V94" s="3">
        <v>25115746</v>
      </c>
      <c r="W94" s="3">
        <v>227860</v>
      </c>
      <c r="X94" s="3">
        <v>483440</v>
      </c>
      <c r="Y94" s="2">
        <v>1227</v>
      </c>
      <c r="Z94" s="2">
        <v>1214</v>
      </c>
      <c r="AA94" s="2">
        <v>-1.06</v>
      </c>
      <c r="AB94" s="3">
        <v>4595463</v>
      </c>
      <c r="AC94" s="3">
        <v>4706064</v>
      </c>
      <c r="AD94" s="3">
        <v>254793</v>
      </c>
      <c r="AE94" s="3">
        <v>592911</v>
      </c>
      <c r="AF94" s="3">
        <v>13077672</v>
      </c>
      <c r="AG94" s="3">
        <v>7484761</v>
      </c>
      <c r="AH94" s="2">
        <v>34.31</v>
      </c>
      <c r="AI94" s="5">
        <v>19.21</v>
      </c>
    </row>
    <row r="95" spans="1:35" x14ac:dyDescent="0.3">
      <c r="A95" s="4" t="str">
        <f>"100902"</f>
        <v>100902</v>
      </c>
      <c r="B95" s="2" t="s">
        <v>93</v>
      </c>
      <c r="C95" s="3">
        <v>15792913</v>
      </c>
      <c r="D95" s="3">
        <v>16331182</v>
      </c>
      <c r="E95" s="2">
        <v>3.41</v>
      </c>
      <c r="F95" s="3">
        <v>9652267</v>
      </c>
      <c r="G95" s="3">
        <v>9731282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9652267</v>
      </c>
      <c r="O95" s="3">
        <v>9731282</v>
      </c>
      <c r="P95" s="2">
        <v>0.82</v>
      </c>
      <c r="Q95" s="3">
        <v>596052</v>
      </c>
      <c r="R95" s="3">
        <v>555600</v>
      </c>
      <c r="S95" s="3">
        <v>9056215</v>
      </c>
      <c r="T95" s="3">
        <v>9175682</v>
      </c>
      <c r="U95" s="3">
        <v>9056215</v>
      </c>
      <c r="V95" s="3">
        <v>9175682</v>
      </c>
      <c r="W95" s="3">
        <v>0</v>
      </c>
      <c r="X95" s="3">
        <v>0</v>
      </c>
      <c r="Y95" s="2">
        <v>498</v>
      </c>
      <c r="Z95" s="2">
        <v>503</v>
      </c>
      <c r="AA95" s="2">
        <v>1</v>
      </c>
      <c r="AB95" s="3">
        <v>4112739</v>
      </c>
      <c r="AC95" s="3">
        <v>4176622</v>
      </c>
      <c r="AD95" s="3">
        <v>939238</v>
      </c>
      <c r="AE95" s="3">
        <v>1245028</v>
      </c>
      <c r="AF95" s="3">
        <v>987629</v>
      </c>
      <c r="AG95" s="3">
        <v>653247</v>
      </c>
      <c r="AH95" s="2">
        <v>6.25</v>
      </c>
      <c r="AI95" s="5">
        <v>4</v>
      </c>
    </row>
    <row r="96" spans="1:35" x14ac:dyDescent="0.3">
      <c r="A96" s="4" t="str">
        <f>"101001"</f>
        <v>101001</v>
      </c>
      <c r="B96" s="2" t="s">
        <v>94</v>
      </c>
      <c r="C96" s="3">
        <v>32356855</v>
      </c>
      <c r="D96" s="3">
        <v>33050383</v>
      </c>
      <c r="E96" s="2">
        <v>2.14</v>
      </c>
      <c r="F96" s="3">
        <v>22843208</v>
      </c>
      <c r="G96" s="3">
        <v>23245248</v>
      </c>
      <c r="H96" s="3"/>
      <c r="I96" s="3"/>
      <c r="J96" s="3"/>
      <c r="K96" s="3"/>
      <c r="L96" s="3"/>
      <c r="M96" s="3"/>
      <c r="N96" s="3">
        <v>22843208</v>
      </c>
      <c r="O96" s="3">
        <v>23245248</v>
      </c>
      <c r="P96" s="2">
        <v>1.76</v>
      </c>
      <c r="Q96" s="3">
        <v>405364</v>
      </c>
      <c r="R96" s="3">
        <v>474512</v>
      </c>
      <c r="S96" s="3">
        <v>22447997</v>
      </c>
      <c r="T96" s="3">
        <v>22783034</v>
      </c>
      <c r="U96" s="3">
        <v>22437844</v>
      </c>
      <c r="V96" s="3">
        <v>22770736</v>
      </c>
      <c r="W96" s="3">
        <v>10153</v>
      </c>
      <c r="X96" s="3">
        <v>12298</v>
      </c>
      <c r="Y96" s="2">
        <v>924</v>
      </c>
      <c r="Z96" s="2">
        <v>921</v>
      </c>
      <c r="AA96" s="2">
        <v>-0.32</v>
      </c>
      <c r="AB96" s="3">
        <v>10797929</v>
      </c>
      <c r="AC96" s="3">
        <v>11497929</v>
      </c>
      <c r="AD96" s="3">
        <v>1479273</v>
      </c>
      <c r="AE96" s="3">
        <v>1479273</v>
      </c>
      <c r="AF96" s="3">
        <v>1294278</v>
      </c>
      <c r="AG96" s="3">
        <v>1322015</v>
      </c>
      <c r="AH96" s="2">
        <v>4</v>
      </c>
      <c r="AI96" s="5">
        <v>4</v>
      </c>
    </row>
    <row r="97" spans="1:35" x14ac:dyDescent="0.3">
      <c r="A97" s="4" t="str">
        <f>"101300"</f>
        <v>101300</v>
      </c>
      <c r="B97" s="2" t="s">
        <v>95</v>
      </c>
      <c r="C97" s="3">
        <v>50684738</v>
      </c>
      <c r="D97" s="3">
        <v>52244404</v>
      </c>
      <c r="E97" s="2">
        <v>3.08</v>
      </c>
      <c r="F97" s="3">
        <v>24143525</v>
      </c>
      <c r="G97" s="3">
        <v>24469462</v>
      </c>
      <c r="H97" s="3"/>
      <c r="I97" s="3"/>
      <c r="J97" s="3"/>
      <c r="K97" s="3"/>
      <c r="L97" s="3"/>
      <c r="M97" s="3"/>
      <c r="N97" s="3">
        <v>24143525</v>
      </c>
      <c r="O97" s="3">
        <v>24469462</v>
      </c>
      <c r="P97" s="2">
        <v>1.35</v>
      </c>
      <c r="Q97" s="3">
        <v>598513</v>
      </c>
      <c r="R97" s="3">
        <v>547961</v>
      </c>
      <c r="S97" s="3">
        <v>23649264</v>
      </c>
      <c r="T97" s="3">
        <v>23972202</v>
      </c>
      <c r="U97" s="3">
        <v>23545012</v>
      </c>
      <c r="V97" s="3">
        <v>23921501</v>
      </c>
      <c r="W97" s="3">
        <v>104252</v>
      </c>
      <c r="X97" s="3">
        <v>50701</v>
      </c>
      <c r="Y97" s="2">
        <v>1700</v>
      </c>
      <c r="Z97" s="2">
        <v>1670</v>
      </c>
      <c r="AA97" s="2">
        <v>-1.76</v>
      </c>
      <c r="AB97" s="3">
        <v>3892946</v>
      </c>
      <c r="AC97" s="3">
        <v>3068585</v>
      </c>
      <c r="AD97" s="3">
        <v>1500000</v>
      </c>
      <c r="AE97" s="3">
        <v>1000000</v>
      </c>
      <c r="AF97" s="3">
        <v>2027392</v>
      </c>
      <c r="AG97" s="3">
        <v>2089776</v>
      </c>
      <c r="AH97" s="2">
        <v>4</v>
      </c>
      <c r="AI97" s="5">
        <v>4</v>
      </c>
    </row>
    <row r="98" spans="1:35" x14ac:dyDescent="0.3">
      <c r="A98" s="4" t="str">
        <f>"101401"</f>
        <v>101401</v>
      </c>
      <c r="B98" s="2" t="s">
        <v>96</v>
      </c>
      <c r="C98" s="3">
        <v>42382980</v>
      </c>
      <c r="D98" s="3">
        <v>43878924</v>
      </c>
      <c r="E98" s="2">
        <v>3.53</v>
      </c>
      <c r="F98" s="3">
        <v>24618359</v>
      </c>
      <c r="G98" s="3">
        <v>25344601</v>
      </c>
      <c r="H98" s="3"/>
      <c r="I98" s="3"/>
      <c r="J98" s="3"/>
      <c r="K98" s="3"/>
      <c r="L98" s="3"/>
      <c r="M98" s="3"/>
      <c r="N98" s="3">
        <v>24618359</v>
      </c>
      <c r="O98" s="3">
        <v>25344601</v>
      </c>
      <c r="P98" s="2">
        <v>2.95</v>
      </c>
      <c r="Q98" s="3">
        <v>523115</v>
      </c>
      <c r="R98" s="3">
        <v>877998</v>
      </c>
      <c r="S98" s="3">
        <v>24095244</v>
      </c>
      <c r="T98" s="3">
        <v>24466603</v>
      </c>
      <c r="U98" s="3">
        <v>24095244</v>
      </c>
      <c r="V98" s="3">
        <v>24466603</v>
      </c>
      <c r="W98" s="3">
        <v>0</v>
      </c>
      <c r="X98" s="3">
        <v>0</v>
      </c>
      <c r="Y98" s="2">
        <v>1723</v>
      </c>
      <c r="Z98" s="2">
        <v>1715</v>
      </c>
      <c r="AA98" s="2">
        <v>-0.46</v>
      </c>
      <c r="AB98" s="3">
        <v>2633499</v>
      </c>
      <c r="AC98" s="3">
        <v>2055082</v>
      </c>
      <c r="AD98" s="3">
        <v>500000</v>
      </c>
      <c r="AE98" s="3">
        <v>500000</v>
      </c>
      <c r="AF98" s="3">
        <v>1695319</v>
      </c>
      <c r="AG98" s="3">
        <v>1755156</v>
      </c>
      <c r="AH98" s="2">
        <v>4</v>
      </c>
      <c r="AI98" s="5">
        <v>4</v>
      </c>
    </row>
    <row r="99" spans="1:35" x14ac:dyDescent="0.3">
      <c r="A99" s="4" t="str">
        <f>"101601"</f>
        <v>101601</v>
      </c>
      <c r="B99" s="2" t="s">
        <v>97</v>
      </c>
      <c r="C99" s="3">
        <v>12764051</v>
      </c>
      <c r="D99" s="3">
        <v>12122588</v>
      </c>
      <c r="E99" s="2">
        <v>-5.03</v>
      </c>
      <c r="F99" s="3">
        <v>8110335</v>
      </c>
      <c r="G99" s="3">
        <v>8596955</v>
      </c>
      <c r="H99" s="3"/>
      <c r="I99" s="3"/>
      <c r="J99" s="3"/>
      <c r="K99" s="3"/>
      <c r="L99" s="3"/>
      <c r="M99" s="3" t="s">
        <v>98</v>
      </c>
      <c r="N99" s="3">
        <v>8110335</v>
      </c>
      <c r="O99" s="3">
        <v>8596955</v>
      </c>
      <c r="P99" s="2">
        <v>6</v>
      </c>
      <c r="Q99" s="3">
        <v>484280</v>
      </c>
      <c r="R99" s="3">
        <v>387181</v>
      </c>
      <c r="S99" s="3">
        <v>7999688</v>
      </c>
      <c r="T99" s="3">
        <v>7762548</v>
      </c>
      <c r="U99" s="3">
        <v>7626055</v>
      </c>
      <c r="V99" s="3">
        <v>8209774</v>
      </c>
      <c r="W99" s="3">
        <v>373633</v>
      </c>
      <c r="X99" s="3">
        <v>-447226</v>
      </c>
      <c r="Y99" s="2">
        <v>430</v>
      </c>
      <c r="Z99" s="2">
        <v>435</v>
      </c>
      <c r="AA99" s="2">
        <v>1.1599999999999999</v>
      </c>
      <c r="AB99" s="3">
        <v>1468189</v>
      </c>
      <c r="AC99" s="3">
        <v>1470000</v>
      </c>
      <c r="AD99" s="3">
        <v>740745</v>
      </c>
      <c r="AE99" s="3">
        <v>0</v>
      </c>
      <c r="AF99" s="3">
        <v>280650</v>
      </c>
      <c r="AG99" s="3">
        <v>195000</v>
      </c>
      <c r="AH99" s="2">
        <v>2.2000000000000002</v>
      </c>
      <c r="AI99" s="5">
        <v>1.61</v>
      </c>
    </row>
    <row r="100" spans="1:35" x14ac:dyDescent="0.3">
      <c r="A100" s="4" t="str">
        <f>"110101"</f>
        <v>110101</v>
      </c>
      <c r="B100" s="2" t="s">
        <v>99</v>
      </c>
      <c r="C100" s="3">
        <v>16753939</v>
      </c>
      <c r="D100" s="3">
        <v>17203633</v>
      </c>
      <c r="E100" s="2">
        <v>2.68</v>
      </c>
      <c r="F100" s="3">
        <v>3925150</v>
      </c>
      <c r="G100" s="3">
        <v>3926815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3925150</v>
      </c>
      <c r="O100" s="3">
        <v>3926815</v>
      </c>
      <c r="P100" s="2">
        <v>0.04</v>
      </c>
      <c r="Q100" s="3">
        <v>160435</v>
      </c>
      <c r="R100" s="3">
        <v>113114</v>
      </c>
      <c r="S100" s="3">
        <v>3764719</v>
      </c>
      <c r="T100" s="3">
        <v>3813707</v>
      </c>
      <c r="U100" s="3">
        <v>3764715</v>
      </c>
      <c r="V100" s="3">
        <v>3813701</v>
      </c>
      <c r="W100" s="3">
        <v>4</v>
      </c>
      <c r="X100" s="3">
        <v>6</v>
      </c>
      <c r="Y100" s="2">
        <v>508</v>
      </c>
      <c r="Z100" s="2">
        <v>510</v>
      </c>
      <c r="AA100" s="2">
        <v>0.39</v>
      </c>
      <c r="AB100" s="3">
        <v>2051919</v>
      </c>
      <c r="AC100" s="3">
        <v>2560513</v>
      </c>
      <c r="AD100" s="3">
        <v>480000</v>
      </c>
      <c r="AE100" s="3">
        <v>480000</v>
      </c>
      <c r="AF100" s="3">
        <v>1205957</v>
      </c>
      <c r="AG100" s="3">
        <v>688145</v>
      </c>
      <c r="AH100" s="2">
        <v>7.2</v>
      </c>
      <c r="AI100" s="5">
        <v>4</v>
      </c>
    </row>
    <row r="101" spans="1:35" x14ac:dyDescent="0.3">
      <c r="A101" s="4" t="str">
        <f>"110200"</f>
        <v>110200</v>
      </c>
      <c r="B101" s="2" t="s">
        <v>100</v>
      </c>
      <c r="C101" s="3">
        <v>50170001</v>
      </c>
      <c r="D101" s="3">
        <v>50848256</v>
      </c>
      <c r="E101" s="2">
        <v>1.35</v>
      </c>
      <c r="F101" s="3">
        <v>17751080</v>
      </c>
      <c r="G101" s="3">
        <v>18107360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17751080</v>
      </c>
      <c r="O101" s="3">
        <v>18107360</v>
      </c>
      <c r="P101" s="2">
        <v>2.0099999999999998</v>
      </c>
      <c r="Q101" s="3">
        <v>596205</v>
      </c>
      <c r="R101" s="3">
        <v>748224</v>
      </c>
      <c r="S101" s="3">
        <v>17751204</v>
      </c>
      <c r="T101" s="3">
        <v>18107360</v>
      </c>
      <c r="U101" s="3">
        <v>17154875</v>
      </c>
      <c r="V101" s="3">
        <v>17359136</v>
      </c>
      <c r="W101" s="3">
        <v>596329</v>
      </c>
      <c r="X101" s="3">
        <v>748224</v>
      </c>
      <c r="Y101" s="2">
        <v>2240</v>
      </c>
      <c r="Z101" s="2">
        <v>2203</v>
      </c>
      <c r="AA101" s="2">
        <v>-1.65</v>
      </c>
      <c r="AB101" s="3">
        <v>3402971</v>
      </c>
      <c r="AC101" s="3">
        <v>3405000</v>
      </c>
      <c r="AD101" s="3">
        <v>500000</v>
      </c>
      <c r="AE101" s="3">
        <v>308359</v>
      </c>
      <c r="AF101" s="3">
        <v>165598</v>
      </c>
      <c r="AG101" s="3">
        <v>500000</v>
      </c>
      <c r="AH101" s="2">
        <v>0.33</v>
      </c>
      <c r="AI101" s="5">
        <v>0.98</v>
      </c>
    </row>
    <row r="102" spans="1:35" x14ac:dyDescent="0.3">
      <c r="A102" s="4" t="str">
        <f>"110304"</f>
        <v>110304</v>
      </c>
      <c r="B102" s="2" t="s">
        <v>101</v>
      </c>
      <c r="C102" s="3">
        <v>13029945</v>
      </c>
      <c r="D102" s="3">
        <v>14426242</v>
      </c>
      <c r="E102" s="2">
        <v>10.72</v>
      </c>
      <c r="F102" s="3">
        <v>3248115</v>
      </c>
      <c r="G102" s="3">
        <v>3309830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3248115</v>
      </c>
      <c r="O102" s="3">
        <v>3309830</v>
      </c>
      <c r="P102" s="2">
        <v>1.9</v>
      </c>
      <c r="Q102" s="3">
        <v>0</v>
      </c>
      <c r="R102" s="3">
        <v>0</v>
      </c>
      <c r="S102" s="3">
        <v>3250407</v>
      </c>
      <c r="T102" s="3">
        <v>3320380</v>
      </c>
      <c r="U102" s="3">
        <v>3248115</v>
      </c>
      <c r="V102" s="3">
        <v>3309830</v>
      </c>
      <c r="W102" s="3">
        <v>2292</v>
      </c>
      <c r="X102" s="3">
        <v>10550</v>
      </c>
      <c r="Y102" s="2">
        <v>515</v>
      </c>
      <c r="Z102" s="2">
        <v>518</v>
      </c>
      <c r="AA102" s="2">
        <v>0.57999999999999996</v>
      </c>
      <c r="AB102" s="3">
        <v>3129410</v>
      </c>
      <c r="AC102" s="3">
        <v>3594804</v>
      </c>
      <c r="AD102" s="3">
        <v>601677</v>
      </c>
      <c r="AE102" s="3">
        <v>601677</v>
      </c>
      <c r="AF102" s="3">
        <v>965594</v>
      </c>
      <c r="AG102" s="3">
        <v>577050</v>
      </c>
      <c r="AH102" s="2">
        <v>7.41</v>
      </c>
      <c r="AI102" s="5">
        <v>4</v>
      </c>
    </row>
    <row r="103" spans="1:35" x14ac:dyDescent="0.3">
      <c r="A103" s="4" t="str">
        <f>"110701"</f>
        <v>110701</v>
      </c>
      <c r="B103" s="2" t="s">
        <v>102</v>
      </c>
      <c r="C103" s="3">
        <v>44292939</v>
      </c>
      <c r="D103" s="3">
        <v>44266152</v>
      </c>
      <c r="E103" s="2">
        <v>-0.06</v>
      </c>
      <c r="F103" s="3">
        <v>16858679</v>
      </c>
      <c r="G103" s="3">
        <v>17027266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16858679</v>
      </c>
      <c r="O103" s="3">
        <v>17027266</v>
      </c>
      <c r="P103" s="2">
        <v>1</v>
      </c>
      <c r="Q103" s="3">
        <v>0</v>
      </c>
      <c r="R103" s="3">
        <v>0</v>
      </c>
      <c r="S103" s="3">
        <v>17187380</v>
      </c>
      <c r="T103" s="3">
        <v>17395874</v>
      </c>
      <c r="U103" s="3">
        <v>16858679</v>
      </c>
      <c r="V103" s="3">
        <v>17027266</v>
      </c>
      <c r="W103" s="3">
        <v>328701</v>
      </c>
      <c r="X103" s="3">
        <v>368608</v>
      </c>
      <c r="Y103" s="2">
        <v>1886</v>
      </c>
      <c r="Z103" s="2">
        <v>1856</v>
      </c>
      <c r="AA103" s="2">
        <v>-1.59</v>
      </c>
      <c r="AB103" s="3">
        <v>4794066</v>
      </c>
      <c r="AC103" s="3">
        <v>4694066</v>
      </c>
      <c r="AD103" s="3">
        <v>680000</v>
      </c>
      <c r="AE103" s="3">
        <v>680000</v>
      </c>
      <c r="AF103" s="3">
        <v>1771717</v>
      </c>
      <c r="AG103" s="3">
        <v>1770646</v>
      </c>
      <c r="AH103" s="2">
        <v>4</v>
      </c>
      <c r="AI103" s="5">
        <v>4</v>
      </c>
    </row>
    <row r="104" spans="1:35" x14ac:dyDescent="0.3">
      <c r="A104" s="4" t="str">
        <f>"110901"</f>
        <v>110901</v>
      </c>
      <c r="B104" s="2" t="s">
        <v>103</v>
      </c>
      <c r="C104" s="3">
        <v>18887190</v>
      </c>
      <c r="D104" s="3">
        <v>19840029</v>
      </c>
      <c r="E104" s="2">
        <v>5.04</v>
      </c>
      <c r="F104" s="3">
        <v>4065335</v>
      </c>
      <c r="G104" s="3">
        <v>4146642</v>
      </c>
      <c r="H104" s="3">
        <v>82000</v>
      </c>
      <c r="I104" s="3">
        <v>82000</v>
      </c>
      <c r="J104" s="3"/>
      <c r="K104" s="3"/>
      <c r="L104" s="3">
        <v>0</v>
      </c>
      <c r="M104" s="3">
        <v>0</v>
      </c>
      <c r="N104" s="3">
        <v>4147335</v>
      </c>
      <c r="O104" s="3">
        <v>4228642</v>
      </c>
      <c r="P104" s="2">
        <v>1.96</v>
      </c>
      <c r="Q104" s="3">
        <v>158894</v>
      </c>
      <c r="R104" s="3">
        <v>199982</v>
      </c>
      <c r="S104" s="3">
        <v>3932371</v>
      </c>
      <c r="T104" s="3">
        <v>3975733</v>
      </c>
      <c r="U104" s="3">
        <v>3906441</v>
      </c>
      <c r="V104" s="3">
        <v>3946660</v>
      </c>
      <c r="W104" s="3">
        <v>25930</v>
      </c>
      <c r="X104" s="3">
        <v>29073</v>
      </c>
      <c r="Y104" s="2">
        <v>718</v>
      </c>
      <c r="Z104" s="2">
        <v>700</v>
      </c>
      <c r="AA104" s="2">
        <v>-2.5099999999999998</v>
      </c>
      <c r="AB104" s="3">
        <v>4181286</v>
      </c>
      <c r="AC104" s="3">
        <v>4181286</v>
      </c>
      <c r="AD104" s="3">
        <v>656318</v>
      </c>
      <c r="AE104" s="3">
        <v>502628</v>
      </c>
      <c r="AF104" s="3">
        <v>695201</v>
      </c>
      <c r="AG104" s="3">
        <v>793601</v>
      </c>
      <c r="AH104" s="2">
        <v>3.68</v>
      </c>
      <c r="AI104" s="5">
        <v>4</v>
      </c>
    </row>
    <row r="105" spans="1:35" x14ac:dyDescent="0.3">
      <c r="A105" s="4" t="str">
        <f>"120102"</f>
        <v>120102</v>
      </c>
      <c r="B105" s="2" t="s">
        <v>104</v>
      </c>
      <c r="C105" s="3">
        <v>4424901</v>
      </c>
      <c r="D105" s="3">
        <v>4494028</v>
      </c>
      <c r="E105" s="2">
        <v>1.56</v>
      </c>
      <c r="F105" s="3">
        <v>3071997</v>
      </c>
      <c r="G105" s="3">
        <v>3071997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3071997</v>
      </c>
      <c r="O105" s="3">
        <v>3071997</v>
      </c>
      <c r="P105" s="2">
        <v>0</v>
      </c>
      <c r="Q105" s="3">
        <v>354926</v>
      </c>
      <c r="R105" s="3">
        <v>343574</v>
      </c>
      <c r="S105" s="3">
        <v>2717071</v>
      </c>
      <c r="T105" s="3">
        <v>2728423</v>
      </c>
      <c r="U105" s="3">
        <v>2717071</v>
      </c>
      <c r="V105" s="3">
        <v>2728423</v>
      </c>
      <c r="W105" s="3">
        <v>0</v>
      </c>
      <c r="X105" s="3">
        <v>0</v>
      </c>
      <c r="Y105" s="2">
        <v>62</v>
      </c>
      <c r="Z105" s="2">
        <v>65</v>
      </c>
      <c r="AA105" s="2">
        <v>4.84</v>
      </c>
      <c r="AB105" s="3">
        <v>1102670</v>
      </c>
      <c r="AC105" s="3">
        <v>1078138</v>
      </c>
      <c r="AD105" s="3">
        <v>200500</v>
      </c>
      <c r="AE105" s="3">
        <v>199119</v>
      </c>
      <c r="AF105" s="3">
        <v>629857</v>
      </c>
      <c r="AG105" s="3">
        <v>560140</v>
      </c>
      <c r="AH105" s="2">
        <v>14.23</v>
      </c>
      <c r="AI105" s="5">
        <v>12.46</v>
      </c>
    </row>
    <row r="106" spans="1:35" x14ac:dyDescent="0.3">
      <c r="A106" s="4" t="str">
        <f>"120301"</f>
        <v>120301</v>
      </c>
      <c r="B106" s="2" t="s">
        <v>105</v>
      </c>
      <c r="C106" s="3">
        <v>10929562</v>
      </c>
      <c r="D106" s="3">
        <v>11113442</v>
      </c>
      <c r="E106" s="2">
        <v>1.68</v>
      </c>
      <c r="F106" s="3">
        <v>8269749</v>
      </c>
      <c r="G106" s="3">
        <v>8373691</v>
      </c>
      <c r="H106" s="3"/>
      <c r="I106" s="3"/>
      <c r="J106" s="3"/>
      <c r="K106" s="3"/>
      <c r="L106" s="3"/>
      <c r="M106" s="3"/>
      <c r="N106" s="3">
        <v>8269749</v>
      </c>
      <c r="O106" s="3">
        <v>8373691</v>
      </c>
      <c r="P106" s="2">
        <v>1.26</v>
      </c>
      <c r="Q106" s="3">
        <v>830138</v>
      </c>
      <c r="R106" s="3">
        <v>838387</v>
      </c>
      <c r="S106" s="3">
        <v>7441879</v>
      </c>
      <c r="T106" s="3">
        <v>7535304</v>
      </c>
      <c r="U106" s="3">
        <v>7439611</v>
      </c>
      <c r="V106" s="3">
        <v>7535304</v>
      </c>
      <c r="W106" s="3">
        <v>2268</v>
      </c>
      <c r="X106" s="3">
        <v>0</v>
      </c>
      <c r="Y106" s="2">
        <v>221</v>
      </c>
      <c r="Z106" s="2">
        <v>230</v>
      </c>
      <c r="AA106" s="2">
        <v>4.07</v>
      </c>
      <c r="AB106" s="3">
        <v>2512940</v>
      </c>
      <c r="AC106" s="3">
        <v>2512940</v>
      </c>
      <c r="AD106" s="3">
        <v>601141</v>
      </c>
      <c r="AE106" s="3">
        <v>601141</v>
      </c>
      <c r="AF106" s="3">
        <v>897461</v>
      </c>
      <c r="AG106" s="3">
        <v>847461</v>
      </c>
      <c r="AH106" s="2">
        <v>8.2100000000000009</v>
      </c>
      <c r="AI106" s="5">
        <v>7.63</v>
      </c>
    </row>
    <row r="107" spans="1:35" x14ac:dyDescent="0.3">
      <c r="A107" s="4" t="str">
        <f>"120401"</f>
        <v>120401</v>
      </c>
      <c r="B107" s="2" t="s">
        <v>106</v>
      </c>
      <c r="C107" s="3">
        <v>10949213</v>
      </c>
      <c r="D107" s="3">
        <v>10854047</v>
      </c>
      <c r="E107" s="2">
        <v>-0.87</v>
      </c>
      <c r="F107" s="3">
        <v>3348288</v>
      </c>
      <c r="G107" s="3">
        <v>3331754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3348288</v>
      </c>
      <c r="O107" s="3">
        <v>3331754</v>
      </c>
      <c r="P107" s="2">
        <v>-0.49</v>
      </c>
      <c r="Q107" s="3">
        <v>350033</v>
      </c>
      <c r="R107" s="3">
        <v>289503</v>
      </c>
      <c r="S107" s="3">
        <v>2998255</v>
      </c>
      <c r="T107" s="3">
        <v>3042251</v>
      </c>
      <c r="U107" s="3">
        <v>2998255</v>
      </c>
      <c r="V107" s="3">
        <v>3042251</v>
      </c>
      <c r="W107" s="3">
        <v>0</v>
      </c>
      <c r="X107" s="3">
        <v>0</v>
      </c>
      <c r="Y107" s="2">
        <v>395</v>
      </c>
      <c r="Z107" s="2">
        <v>391</v>
      </c>
      <c r="AA107" s="2">
        <v>-1.01</v>
      </c>
      <c r="AB107" s="3">
        <v>989697</v>
      </c>
      <c r="AC107" s="3">
        <v>2097760</v>
      </c>
      <c r="AD107" s="3">
        <v>379637</v>
      </c>
      <c r="AE107" s="3">
        <v>310099</v>
      </c>
      <c r="AF107" s="3">
        <v>3018545</v>
      </c>
      <c r="AG107" s="3">
        <v>2318545</v>
      </c>
      <c r="AH107" s="2">
        <v>27.57</v>
      </c>
      <c r="AI107" s="5">
        <v>21.36</v>
      </c>
    </row>
    <row r="108" spans="1:35" x14ac:dyDescent="0.3">
      <c r="A108" s="4" t="str">
        <f>"120501"</f>
        <v>120501</v>
      </c>
      <c r="B108" s="2" t="s">
        <v>107</v>
      </c>
      <c r="C108" s="3">
        <v>20626876</v>
      </c>
      <c r="D108" s="3">
        <v>21048618</v>
      </c>
      <c r="E108" s="2">
        <v>2.04</v>
      </c>
      <c r="F108" s="3">
        <v>9681130</v>
      </c>
      <c r="G108" s="3">
        <v>9826347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9681130</v>
      </c>
      <c r="O108" s="3">
        <v>9826347</v>
      </c>
      <c r="P108" s="2">
        <v>1.5</v>
      </c>
      <c r="Q108" s="3">
        <v>0</v>
      </c>
      <c r="R108" s="3">
        <v>0</v>
      </c>
      <c r="S108" s="3">
        <v>9742975</v>
      </c>
      <c r="T108" s="3">
        <v>9830552</v>
      </c>
      <c r="U108" s="3">
        <v>9681130</v>
      </c>
      <c r="V108" s="3">
        <v>9826347</v>
      </c>
      <c r="W108" s="3">
        <v>61845</v>
      </c>
      <c r="X108" s="3">
        <v>4205</v>
      </c>
      <c r="Y108" s="2">
        <v>765</v>
      </c>
      <c r="Z108" s="2">
        <v>765</v>
      </c>
      <c r="AA108" s="2">
        <v>0</v>
      </c>
      <c r="AB108" s="3">
        <v>2893378</v>
      </c>
      <c r="AC108" s="3">
        <v>3250000</v>
      </c>
      <c r="AD108" s="3">
        <v>2148298</v>
      </c>
      <c r="AE108" s="3">
        <v>2100000</v>
      </c>
      <c r="AF108" s="3">
        <v>790821</v>
      </c>
      <c r="AG108" s="3">
        <v>800000</v>
      </c>
      <c r="AH108" s="2">
        <v>3.83</v>
      </c>
      <c r="AI108" s="5">
        <v>3.8</v>
      </c>
    </row>
    <row r="109" spans="1:35" x14ac:dyDescent="0.3">
      <c r="A109" s="4" t="str">
        <f>"120701"</f>
        <v>120701</v>
      </c>
      <c r="B109" s="2" t="s">
        <v>108</v>
      </c>
      <c r="C109" s="3">
        <v>7662286</v>
      </c>
      <c r="D109" s="3">
        <v>7930830</v>
      </c>
      <c r="E109" s="2">
        <v>3.5</v>
      </c>
      <c r="F109" s="3">
        <v>2906466</v>
      </c>
      <c r="G109" s="3">
        <v>2973690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2906466</v>
      </c>
      <c r="O109" s="3">
        <v>2973690</v>
      </c>
      <c r="P109" s="2">
        <v>2.31</v>
      </c>
      <c r="Q109" s="3">
        <v>77145</v>
      </c>
      <c r="R109" s="3">
        <v>107509</v>
      </c>
      <c r="S109" s="3">
        <v>2829321</v>
      </c>
      <c r="T109" s="3">
        <v>2866181</v>
      </c>
      <c r="U109" s="3">
        <v>2829321</v>
      </c>
      <c r="V109" s="3">
        <v>2866181</v>
      </c>
      <c r="W109" s="3">
        <v>0</v>
      </c>
      <c r="X109" s="3">
        <v>0</v>
      </c>
      <c r="Y109" s="2">
        <v>240</v>
      </c>
      <c r="Z109" s="2">
        <v>240</v>
      </c>
      <c r="AA109" s="2">
        <v>0</v>
      </c>
      <c r="AB109" s="3">
        <v>434450</v>
      </c>
      <c r="AC109" s="3">
        <v>430650</v>
      </c>
      <c r="AD109" s="3">
        <v>350000</v>
      </c>
      <c r="AE109" s="3">
        <v>325000</v>
      </c>
      <c r="AF109" s="3">
        <v>297801</v>
      </c>
      <c r="AG109" s="3">
        <v>315000</v>
      </c>
      <c r="AH109" s="2">
        <v>3.89</v>
      </c>
      <c r="AI109" s="5">
        <v>3.97</v>
      </c>
    </row>
    <row r="110" spans="1:35" x14ac:dyDescent="0.3">
      <c r="A110" s="4" t="str">
        <f>"120906"</f>
        <v>120906</v>
      </c>
      <c r="B110" s="2" t="s">
        <v>109</v>
      </c>
      <c r="C110" s="3">
        <v>11671074</v>
      </c>
      <c r="D110" s="3">
        <v>11727635</v>
      </c>
      <c r="E110" s="2">
        <v>0.48</v>
      </c>
      <c r="F110" s="3">
        <v>4036647</v>
      </c>
      <c r="G110" s="3">
        <v>4086856</v>
      </c>
      <c r="H110" s="3" t="s">
        <v>98</v>
      </c>
      <c r="I110" s="3" t="s">
        <v>98</v>
      </c>
      <c r="J110" s="3"/>
      <c r="K110" s="3"/>
      <c r="L110" s="3"/>
      <c r="M110" s="3"/>
      <c r="N110" s="3">
        <v>4036647</v>
      </c>
      <c r="O110" s="3">
        <v>4086856</v>
      </c>
      <c r="P110" s="2">
        <v>1.24</v>
      </c>
      <c r="Q110" s="3">
        <v>153966</v>
      </c>
      <c r="R110" s="3">
        <v>143463</v>
      </c>
      <c r="S110" s="3">
        <v>3910489</v>
      </c>
      <c r="T110" s="3">
        <v>3943393</v>
      </c>
      <c r="U110" s="3">
        <v>3882681</v>
      </c>
      <c r="V110" s="3">
        <v>3943393</v>
      </c>
      <c r="W110" s="3">
        <v>27808</v>
      </c>
      <c r="X110" s="3">
        <v>0</v>
      </c>
      <c r="Y110" s="2">
        <v>320</v>
      </c>
      <c r="Z110" s="2">
        <v>310</v>
      </c>
      <c r="AA110" s="2">
        <v>-3.12</v>
      </c>
      <c r="AB110" s="3">
        <v>2393866</v>
      </c>
      <c r="AC110" s="3">
        <v>2943866</v>
      </c>
      <c r="AD110" s="3">
        <v>415065</v>
      </c>
      <c r="AE110" s="3">
        <v>375000</v>
      </c>
      <c r="AF110" s="3">
        <v>1772683</v>
      </c>
      <c r="AG110" s="3">
        <v>1580000</v>
      </c>
      <c r="AH110" s="2">
        <v>15.19</v>
      </c>
      <c r="AI110" s="5">
        <v>13.47</v>
      </c>
    </row>
    <row r="111" spans="1:35" x14ac:dyDescent="0.3">
      <c r="A111" s="4" t="str">
        <f>"121401"</f>
        <v>121401</v>
      </c>
      <c r="B111" s="2" t="s">
        <v>110</v>
      </c>
      <c r="C111" s="3">
        <v>11550890</v>
      </c>
      <c r="D111" s="3">
        <v>11858952</v>
      </c>
      <c r="E111" s="2">
        <v>2.67</v>
      </c>
      <c r="F111" s="3">
        <v>7457967</v>
      </c>
      <c r="G111" s="3">
        <v>7457967</v>
      </c>
      <c r="H111" s="3"/>
      <c r="I111" s="3"/>
      <c r="J111" s="3"/>
      <c r="K111" s="3"/>
      <c r="L111" s="3"/>
      <c r="M111" s="3"/>
      <c r="N111" s="3">
        <v>7457967</v>
      </c>
      <c r="O111" s="3">
        <v>7457967</v>
      </c>
      <c r="P111" s="2">
        <v>0</v>
      </c>
      <c r="Q111" s="3">
        <v>362161</v>
      </c>
      <c r="R111" s="3">
        <v>269822</v>
      </c>
      <c r="S111" s="3">
        <v>7095806</v>
      </c>
      <c r="T111" s="3">
        <v>7273809</v>
      </c>
      <c r="U111" s="3">
        <v>7095806</v>
      </c>
      <c r="V111" s="3">
        <v>7188145</v>
      </c>
      <c r="W111" s="3">
        <v>0</v>
      </c>
      <c r="X111" s="3">
        <v>85664</v>
      </c>
      <c r="Y111" s="2">
        <v>370</v>
      </c>
      <c r="Z111" s="2">
        <v>370</v>
      </c>
      <c r="AA111" s="2">
        <v>0</v>
      </c>
      <c r="AB111" s="3">
        <v>2516405</v>
      </c>
      <c r="AC111" s="3">
        <v>2597814</v>
      </c>
      <c r="AD111" s="3">
        <v>839629</v>
      </c>
      <c r="AE111" s="3">
        <v>246779</v>
      </c>
      <c r="AF111" s="3">
        <v>3927356</v>
      </c>
      <c r="AG111" s="3">
        <v>3435168</v>
      </c>
      <c r="AH111" s="2">
        <v>34</v>
      </c>
      <c r="AI111" s="5">
        <v>28.97</v>
      </c>
    </row>
    <row r="112" spans="1:35" x14ac:dyDescent="0.3">
      <c r="A112" s="4" t="str">
        <f>"121502"</f>
        <v>121502</v>
      </c>
      <c r="B112" s="2" t="s">
        <v>111</v>
      </c>
      <c r="C112" s="3">
        <v>9998424</v>
      </c>
      <c r="D112" s="3">
        <v>10209166</v>
      </c>
      <c r="E112" s="2">
        <v>2.11</v>
      </c>
      <c r="F112" s="3">
        <v>5916313</v>
      </c>
      <c r="G112" s="3">
        <v>5969847</v>
      </c>
      <c r="H112" s="3"/>
      <c r="I112" s="3"/>
      <c r="J112" s="3"/>
      <c r="K112" s="3"/>
      <c r="L112" s="3"/>
      <c r="M112" s="3"/>
      <c r="N112" s="3">
        <v>5916313</v>
      </c>
      <c r="O112" s="3">
        <v>5969847</v>
      </c>
      <c r="P112" s="2">
        <v>0.9</v>
      </c>
      <c r="Q112" s="3">
        <v>20376</v>
      </c>
      <c r="R112" s="3">
        <v>20198</v>
      </c>
      <c r="S112" s="3">
        <v>6135584</v>
      </c>
      <c r="T112" s="3">
        <v>6067946</v>
      </c>
      <c r="U112" s="3">
        <v>5895937</v>
      </c>
      <c r="V112" s="3">
        <v>5949649</v>
      </c>
      <c r="W112" s="3">
        <v>239647</v>
      </c>
      <c r="X112" s="3">
        <v>118297</v>
      </c>
      <c r="Y112" s="2">
        <v>261</v>
      </c>
      <c r="Z112" s="2">
        <v>258</v>
      </c>
      <c r="AA112" s="2">
        <v>-1.1499999999999999</v>
      </c>
      <c r="AB112" s="3">
        <v>4538059</v>
      </c>
      <c r="AC112" s="3">
        <v>2553398</v>
      </c>
      <c r="AD112" s="3">
        <v>588678</v>
      </c>
      <c r="AE112" s="3">
        <v>539238</v>
      </c>
      <c r="AF112" s="3">
        <v>773299</v>
      </c>
      <c r="AG112" s="3">
        <v>832000</v>
      </c>
      <c r="AH112" s="2">
        <v>7.73</v>
      </c>
      <c r="AI112" s="5">
        <v>8.15</v>
      </c>
    </row>
    <row r="113" spans="1:35" x14ac:dyDescent="0.3">
      <c r="A113" s="4" t="str">
        <f>"121601"</f>
        <v>121601</v>
      </c>
      <c r="B113" s="2" t="s">
        <v>112</v>
      </c>
      <c r="C113" s="3">
        <v>27782464</v>
      </c>
      <c r="D113" s="3">
        <v>27712917</v>
      </c>
      <c r="E113" s="2">
        <v>-0.25</v>
      </c>
      <c r="F113" s="3">
        <v>6130917</v>
      </c>
      <c r="G113" s="3">
        <v>6206327</v>
      </c>
      <c r="H113" s="3">
        <v>557748</v>
      </c>
      <c r="I113" s="3">
        <v>562478</v>
      </c>
      <c r="J113" s="3">
        <v>0</v>
      </c>
      <c r="K113" s="3">
        <v>0</v>
      </c>
      <c r="L113" s="3">
        <v>0</v>
      </c>
      <c r="M113" s="3">
        <v>0</v>
      </c>
      <c r="N113" s="3">
        <v>6688665</v>
      </c>
      <c r="O113" s="3">
        <v>6768805</v>
      </c>
      <c r="P113" s="2">
        <v>1.2</v>
      </c>
      <c r="Q113" s="3">
        <v>0</v>
      </c>
      <c r="R113" s="3">
        <v>0</v>
      </c>
      <c r="S113" s="3">
        <v>6224962</v>
      </c>
      <c r="T113" s="3">
        <v>6299901</v>
      </c>
      <c r="U113" s="3">
        <v>6130917</v>
      </c>
      <c r="V113" s="3">
        <v>6206327</v>
      </c>
      <c r="W113" s="3">
        <v>94045</v>
      </c>
      <c r="X113" s="3">
        <v>93574</v>
      </c>
      <c r="Y113" s="2">
        <v>1075</v>
      </c>
      <c r="Z113" s="2">
        <v>1031</v>
      </c>
      <c r="AA113" s="2">
        <v>-4.09</v>
      </c>
      <c r="AB113" s="3">
        <v>4754742</v>
      </c>
      <c r="AC113" s="3">
        <v>5278228</v>
      </c>
      <c r="AD113" s="3">
        <v>1250000</v>
      </c>
      <c r="AE113" s="3">
        <v>1250000</v>
      </c>
      <c r="AF113" s="3">
        <v>1843884</v>
      </c>
      <c r="AG113" s="3">
        <v>1108516</v>
      </c>
      <c r="AH113" s="2">
        <v>6.64</v>
      </c>
      <c r="AI113" s="5">
        <v>4</v>
      </c>
    </row>
    <row r="114" spans="1:35" x14ac:dyDescent="0.3">
      <c r="A114" s="4" t="str">
        <f>"121701"</f>
        <v>121701</v>
      </c>
      <c r="B114" s="2" t="s">
        <v>113</v>
      </c>
      <c r="C114" s="3">
        <v>10173873</v>
      </c>
      <c r="D114" s="3">
        <v>10281536</v>
      </c>
      <c r="E114" s="2">
        <v>1.06</v>
      </c>
      <c r="F114" s="3">
        <v>3812483</v>
      </c>
      <c r="G114" s="3">
        <v>3921827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3812483</v>
      </c>
      <c r="O114" s="3">
        <v>3921827</v>
      </c>
      <c r="P114" s="2">
        <v>2.87</v>
      </c>
      <c r="Q114" s="3">
        <v>0</v>
      </c>
      <c r="R114" s="3">
        <v>0</v>
      </c>
      <c r="S114" s="3">
        <v>3855847</v>
      </c>
      <c r="T114" s="3">
        <v>3921966</v>
      </c>
      <c r="U114" s="3">
        <v>3812483</v>
      </c>
      <c r="V114" s="3">
        <v>3921827</v>
      </c>
      <c r="W114" s="3">
        <v>43364</v>
      </c>
      <c r="X114" s="3">
        <v>139</v>
      </c>
      <c r="Y114" s="2">
        <v>273</v>
      </c>
      <c r="Z114" s="2">
        <v>273</v>
      </c>
      <c r="AA114" s="2">
        <v>0</v>
      </c>
      <c r="AB114" s="3">
        <v>4999553</v>
      </c>
      <c r="AC114" s="3">
        <v>7892542</v>
      </c>
      <c r="AD114" s="3">
        <v>1244775</v>
      </c>
      <c r="AE114" s="3">
        <v>38175</v>
      </c>
      <c r="AF114" s="3">
        <v>391077</v>
      </c>
      <c r="AG114" s="3">
        <v>411261</v>
      </c>
      <c r="AH114" s="2">
        <v>3.84</v>
      </c>
      <c r="AI114" s="5">
        <v>4</v>
      </c>
    </row>
    <row r="115" spans="1:35" x14ac:dyDescent="0.3">
      <c r="A115" s="4" t="str">
        <f>"121702"</f>
        <v>121702</v>
      </c>
      <c r="B115" s="2" t="s">
        <v>114</v>
      </c>
      <c r="C115" s="3">
        <v>10342313</v>
      </c>
      <c r="D115" s="3">
        <v>10456640</v>
      </c>
      <c r="E115" s="2">
        <v>1.1100000000000001</v>
      </c>
      <c r="F115" s="3">
        <v>4833348</v>
      </c>
      <c r="G115" s="3">
        <v>4911070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4833348</v>
      </c>
      <c r="O115" s="3">
        <v>4911070</v>
      </c>
      <c r="P115" s="2">
        <v>1.61</v>
      </c>
      <c r="Q115" s="3">
        <v>179709</v>
      </c>
      <c r="R115" s="3">
        <v>189916</v>
      </c>
      <c r="S115" s="3">
        <v>4663174</v>
      </c>
      <c r="T115" s="3">
        <v>4721154</v>
      </c>
      <c r="U115" s="3">
        <v>4653639</v>
      </c>
      <c r="V115" s="3">
        <v>4721154</v>
      </c>
      <c r="W115" s="3">
        <v>9535</v>
      </c>
      <c r="X115" s="3">
        <v>0</v>
      </c>
      <c r="Y115" s="2">
        <v>321</v>
      </c>
      <c r="Z115" s="2">
        <v>321</v>
      </c>
      <c r="AA115" s="2">
        <v>0</v>
      </c>
      <c r="AB115" s="3">
        <v>973412</v>
      </c>
      <c r="AC115" s="3">
        <v>973412</v>
      </c>
      <c r="AD115" s="3">
        <v>360000</v>
      </c>
      <c r="AE115" s="3">
        <v>220000</v>
      </c>
      <c r="AF115" s="3">
        <v>559918</v>
      </c>
      <c r="AG115" s="3">
        <v>200000</v>
      </c>
      <c r="AH115" s="2">
        <v>5.41</v>
      </c>
      <c r="AI115" s="5">
        <v>1.91</v>
      </c>
    </row>
    <row r="116" spans="1:35" x14ac:dyDescent="0.3">
      <c r="A116" s="4" t="str">
        <f>"121901"</f>
        <v>121901</v>
      </c>
      <c r="B116" s="2" t="s">
        <v>115</v>
      </c>
      <c r="C116" s="3">
        <v>21549412</v>
      </c>
      <c r="D116" s="3">
        <v>22292000</v>
      </c>
      <c r="E116" s="2">
        <v>3.45</v>
      </c>
      <c r="F116" s="3">
        <v>6812000</v>
      </c>
      <c r="G116" s="3">
        <v>6856000</v>
      </c>
      <c r="H116" s="3"/>
      <c r="I116" s="3"/>
      <c r="J116" s="3"/>
      <c r="K116" s="3"/>
      <c r="L116" s="3"/>
      <c r="M116" s="3"/>
      <c r="N116" s="3">
        <v>6812000</v>
      </c>
      <c r="O116" s="3">
        <v>6856000</v>
      </c>
      <c r="P116" s="2">
        <v>0.65</v>
      </c>
      <c r="Q116" s="3">
        <v>390556</v>
      </c>
      <c r="R116" s="3">
        <v>340375</v>
      </c>
      <c r="S116" s="3">
        <v>6421951</v>
      </c>
      <c r="T116" s="3">
        <v>6515735</v>
      </c>
      <c r="U116" s="3">
        <v>6421444</v>
      </c>
      <c r="V116" s="3">
        <v>6515625</v>
      </c>
      <c r="W116" s="3">
        <v>507</v>
      </c>
      <c r="X116" s="3">
        <v>110</v>
      </c>
      <c r="Y116" s="2">
        <v>950</v>
      </c>
      <c r="Z116" s="2">
        <v>866</v>
      </c>
      <c r="AA116" s="2">
        <v>-8.84</v>
      </c>
      <c r="AB116" s="3">
        <v>1170048</v>
      </c>
      <c r="AC116" s="3">
        <v>1170048</v>
      </c>
      <c r="AD116" s="3">
        <v>525000</v>
      </c>
      <c r="AE116" s="3">
        <v>775000</v>
      </c>
      <c r="AF116" s="3">
        <v>1439115</v>
      </c>
      <c r="AG116" s="3">
        <v>664115</v>
      </c>
      <c r="AH116" s="2">
        <v>6.68</v>
      </c>
      <c r="AI116" s="5">
        <v>2.98</v>
      </c>
    </row>
    <row r="117" spans="1:35" x14ac:dyDescent="0.3">
      <c r="A117" s="4" t="str">
        <f>"130200"</f>
        <v>130200</v>
      </c>
      <c r="B117" s="2" t="s">
        <v>116</v>
      </c>
      <c r="C117" s="3">
        <v>75898000</v>
      </c>
      <c r="D117" s="3">
        <v>76830000</v>
      </c>
      <c r="E117" s="2">
        <v>1.23</v>
      </c>
      <c r="F117" s="3">
        <v>41640205</v>
      </c>
      <c r="G117" s="3">
        <v>42545478</v>
      </c>
      <c r="H117" s="3">
        <v>0</v>
      </c>
      <c r="I117" s="3">
        <v>0</v>
      </c>
      <c r="J117" s="3">
        <v>0</v>
      </c>
      <c r="K117" s="3">
        <v>75000</v>
      </c>
      <c r="L117" s="3"/>
      <c r="M117" s="3"/>
      <c r="N117" s="3">
        <v>41640205</v>
      </c>
      <c r="O117" s="3">
        <v>42620478</v>
      </c>
      <c r="P117" s="2">
        <v>2.35</v>
      </c>
      <c r="Q117" s="3">
        <v>0</v>
      </c>
      <c r="R117" s="3">
        <v>0</v>
      </c>
      <c r="S117" s="3">
        <v>41640205</v>
      </c>
      <c r="T117" s="3">
        <v>42620478</v>
      </c>
      <c r="U117" s="3">
        <v>41640205</v>
      </c>
      <c r="V117" s="3">
        <v>42620478</v>
      </c>
      <c r="W117" s="3">
        <v>0</v>
      </c>
      <c r="X117" s="3">
        <v>0</v>
      </c>
      <c r="Y117" s="2">
        <v>2556</v>
      </c>
      <c r="Z117" s="2">
        <v>2575</v>
      </c>
      <c r="AA117" s="2">
        <v>0.74</v>
      </c>
      <c r="AB117" s="3">
        <v>3174476</v>
      </c>
      <c r="AC117" s="3">
        <v>3174476</v>
      </c>
      <c r="AD117" s="3">
        <v>2971175</v>
      </c>
      <c r="AE117" s="3">
        <v>2971175</v>
      </c>
      <c r="AF117" s="3">
        <v>4543044</v>
      </c>
      <c r="AG117" s="3">
        <v>4500000</v>
      </c>
      <c r="AH117" s="2">
        <v>5.99</v>
      </c>
      <c r="AI117" s="5">
        <v>5.86</v>
      </c>
    </row>
    <row r="118" spans="1:35" x14ac:dyDescent="0.3">
      <c r="A118" s="4" t="str">
        <f>"130502"</f>
        <v>130502</v>
      </c>
      <c r="B118" s="2" t="s">
        <v>117</v>
      </c>
      <c r="C118" s="3">
        <v>34559412</v>
      </c>
      <c r="D118" s="3">
        <v>36086061</v>
      </c>
      <c r="E118" s="2">
        <v>4.42</v>
      </c>
      <c r="F118" s="3">
        <v>18428405</v>
      </c>
      <c r="G118" s="3">
        <v>18428405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18428405</v>
      </c>
      <c r="O118" s="3">
        <v>18428405</v>
      </c>
      <c r="P118" s="2">
        <v>0</v>
      </c>
      <c r="Q118" s="3">
        <v>0</v>
      </c>
      <c r="R118" s="3">
        <v>0</v>
      </c>
      <c r="S118" s="3">
        <v>17523938</v>
      </c>
      <c r="T118" s="3">
        <v>18748055</v>
      </c>
      <c r="U118" s="3">
        <v>18428405</v>
      </c>
      <c r="V118" s="3">
        <v>18428405</v>
      </c>
      <c r="W118" s="3">
        <v>-904467</v>
      </c>
      <c r="X118" s="3">
        <v>319650</v>
      </c>
      <c r="Y118" s="2">
        <v>1344</v>
      </c>
      <c r="Z118" s="2">
        <v>1353</v>
      </c>
      <c r="AA118" s="2">
        <v>0.67</v>
      </c>
      <c r="AB118" s="3">
        <v>5539734</v>
      </c>
      <c r="AC118" s="3">
        <v>6500000</v>
      </c>
      <c r="AD118" s="3">
        <v>1200000</v>
      </c>
      <c r="AE118" s="3">
        <v>0</v>
      </c>
      <c r="AF118" s="3">
        <v>1381705</v>
      </c>
      <c r="AG118" s="3">
        <v>1444000</v>
      </c>
      <c r="AH118" s="2">
        <v>4</v>
      </c>
      <c r="AI118" s="5">
        <v>4</v>
      </c>
    </row>
    <row r="119" spans="1:35" x14ac:dyDescent="0.3">
      <c r="A119" s="4" t="str">
        <f>"130801"</f>
        <v>130801</v>
      </c>
      <c r="B119" s="2" t="s">
        <v>118</v>
      </c>
      <c r="C119" s="3">
        <v>101635452</v>
      </c>
      <c r="D119" s="3">
        <v>104489507</v>
      </c>
      <c r="E119" s="2">
        <v>2.81</v>
      </c>
      <c r="F119" s="3">
        <v>63180495</v>
      </c>
      <c r="G119" s="3">
        <v>64099936</v>
      </c>
      <c r="H119" s="3"/>
      <c r="I119" s="3"/>
      <c r="J119" s="3"/>
      <c r="K119" s="3"/>
      <c r="L119" s="3"/>
      <c r="M119" s="3"/>
      <c r="N119" s="3">
        <v>63180495</v>
      </c>
      <c r="O119" s="3">
        <v>64099936</v>
      </c>
      <c r="P119" s="2">
        <v>1.46</v>
      </c>
      <c r="Q119" s="3">
        <v>2102967</v>
      </c>
      <c r="R119" s="3">
        <v>2022999</v>
      </c>
      <c r="S119" s="3">
        <v>61077528</v>
      </c>
      <c r="T119" s="3">
        <v>62076937</v>
      </c>
      <c r="U119" s="3">
        <v>61077528</v>
      </c>
      <c r="V119" s="3">
        <v>62076937</v>
      </c>
      <c r="W119" s="3">
        <v>0</v>
      </c>
      <c r="X119" s="3">
        <v>0</v>
      </c>
      <c r="Y119" s="2">
        <v>3430</v>
      </c>
      <c r="Z119" s="2">
        <v>3449</v>
      </c>
      <c r="AA119" s="2">
        <v>0.55000000000000004</v>
      </c>
      <c r="AB119" s="3">
        <v>13892374</v>
      </c>
      <c r="AC119" s="3">
        <v>15037651</v>
      </c>
      <c r="AD119" s="3">
        <v>4181102</v>
      </c>
      <c r="AE119" s="3">
        <v>4179580</v>
      </c>
      <c r="AF119" s="3">
        <v>3585934</v>
      </c>
      <c r="AG119" s="3">
        <v>5547157</v>
      </c>
      <c r="AH119" s="2">
        <v>3.53</v>
      </c>
      <c r="AI119" s="5">
        <v>5.31</v>
      </c>
    </row>
    <row r="120" spans="1:35" x14ac:dyDescent="0.3">
      <c r="A120" s="4" t="str">
        <f>"131101"</f>
        <v>131101</v>
      </c>
      <c r="B120" s="2" t="s">
        <v>119</v>
      </c>
      <c r="C120" s="3">
        <v>23909545</v>
      </c>
      <c r="D120" s="3">
        <v>24798803</v>
      </c>
      <c r="E120" s="2">
        <v>3.72</v>
      </c>
      <c r="F120" s="3">
        <v>15600509</v>
      </c>
      <c r="G120" s="3">
        <v>16216729</v>
      </c>
      <c r="H120" s="3"/>
      <c r="I120" s="3"/>
      <c r="J120" s="3"/>
      <c r="K120" s="3"/>
      <c r="L120" s="3"/>
      <c r="M120" s="3"/>
      <c r="N120" s="3">
        <v>15600509</v>
      </c>
      <c r="O120" s="3">
        <v>16216729</v>
      </c>
      <c r="P120" s="2">
        <v>3.95</v>
      </c>
      <c r="Q120" s="3">
        <v>765200</v>
      </c>
      <c r="R120" s="3">
        <v>945169</v>
      </c>
      <c r="S120" s="3">
        <v>14883382</v>
      </c>
      <c r="T120" s="3">
        <v>15343107</v>
      </c>
      <c r="U120" s="3">
        <v>14835309</v>
      </c>
      <c r="V120" s="3">
        <v>15271560</v>
      </c>
      <c r="W120" s="3">
        <v>48073</v>
      </c>
      <c r="X120" s="3">
        <v>71547</v>
      </c>
      <c r="Y120" s="2">
        <v>639</v>
      </c>
      <c r="Z120" s="2">
        <v>616</v>
      </c>
      <c r="AA120" s="2">
        <v>-3.6</v>
      </c>
      <c r="AB120" s="3">
        <v>914712</v>
      </c>
      <c r="AC120" s="3">
        <v>1164712</v>
      </c>
      <c r="AD120" s="3">
        <v>1900000</v>
      </c>
      <c r="AE120" s="3">
        <v>1900000</v>
      </c>
      <c r="AF120" s="3">
        <v>3929700</v>
      </c>
      <c r="AG120" s="3">
        <v>985000</v>
      </c>
      <c r="AH120" s="2">
        <v>16.440000000000001</v>
      </c>
      <c r="AI120" s="5">
        <v>3.97</v>
      </c>
    </row>
    <row r="121" spans="1:35" x14ac:dyDescent="0.3">
      <c r="A121" s="4" t="str">
        <f>"131201"</f>
        <v>131201</v>
      </c>
      <c r="B121" s="2" t="s">
        <v>120</v>
      </c>
      <c r="C121" s="3">
        <v>39952981</v>
      </c>
      <c r="D121" s="3">
        <v>40981628</v>
      </c>
      <c r="E121" s="2">
        <v>2.57</v>
      </c>
      <c r="F121" s="3">
        <v>29693823</v>
      </c>
      <c r="G121" s="3">
        <v>29934500</v>
      </c>
      <c r="H121" s="3"/>
      <c r="I121" s="3"/>
      <c r="J121" s="3"/>
      <c r="K121" s="3"/>
      <c r="L121" s="3"/>
      <c r="M121" s="3"/>
      <c r="N121" s="3">
        <v>29693823</v>
      </c>
      <c r="O121" s="3">
        <v>29934500</v>
      </c>
      <c r="P121" s="2">
        <v>0.81</v>
      </c>
      <c r="Q121" s="3">
        <v>2306343</v>
      </c>
      <c r="R121" s="3">
        <v>2104542</v>
      </c>
      <c r="S121" s="3">
        <v>27794033</v>
      </c>
      <c r="T121" s="3">
        <v>27830159</v>
      </c>
      <c r="U121" s="3">
        <v>27387480</v>
      </c>
      <c r="V121" s="3">
        <v>27829958</v>
      </c>
      <c r="W121" s="3">
        <v>406553</v>
      </c>
      <c r="X121" s="3">
        <v>201</v>
      </c>
      <c r="Y121" s="2">
        <v>1093</v>
      </c>
      <c r="Z121" s="2">
        <v>1061</v>
      </c>
      <c r="AA121" s="2">
        <v>-2.93</v>
      </c>
      <c r="AB121" s="3">
        <v>7914170</v>
      </c>
      <c r="AC121" s="3">
        <v>7898259</v>
      </c>
      <c r="AD121" s="3">
        <v>1348607</v>
      </c>
      <c r="AE121" s="3">
        <v>2677697</v>
      </c>
      <c r="AF121" s="3">
        <v>1598119</v>
      </c>
      <c r="AG121" s="3">
        <v>1639265</v>
      </c>
      <c r="AH121" s="2">
        <v>4</v>
      </c>
      <c r="AI121" s="5">
        <v>4</v>
      </c>
    </row>
    <row r="122" spans="1:35" x14ac:dyDescent="0.3">
      <c r="A122" s="4" t="str">
        <f>"131301"</f>
        <v>131301</v>
      </c>
      <c r="B122" s="2" t="s">
        <v>121</v>
      </c>
      <c r="C122" s="3">
        <v>33525450</v>
      </c>
      <c r="D122" s="3">
        <v>34176675</v>
      </c>
      <c r="E122" s="2">
        <v>1.94</v>
      </c>
      <c r="F122" s="3">
        <v>24189676</v>
      </c>
      <c r="G122" s="3">
        <v>24710043</v>
      </c>
      <c r="H122" s="3"/>
      <c r="I122" s="3"/>
      <c r="J122" s="3"/>
      <c r="K122" s="3"/>
      <c r="L122" s="3"/>
      <c r="M122" s="3"/>
      <c r="N122" s="3">
        <v>24189676</v>
      </c>
      <c r="O122" s="3">
        <v>24710043</v>
      </c>
      <c r="P122" s="2">
        <v>2.15</v>
      </c>
      <c r="Q122" s="3">
        <v>0</v>
      </c>
      <c r="R122" s="3">
        <v>0</v>
      </c>
      <c r="S122" s="3">
        <v>24189676</v>
      </c>
      <c r="T122" s="3">
        <v>24710043</v>
      </c>
      <c r="U122" s="3">
        <v>24189676</v>
      </c>
      <c r="V122" s="3">
        <v>24710043</v>
      </c>
      <c r="W122" s="3">
        <v>0</v>
      </c>
      <c r="X122" s="3">
        <v>0</v>
      </c>
      <c r="Y122" s="2">
        <v>864</v>
      </c>
      <c r="Z122" s="2">
        <v>870</v>
      </c>
      <c r="AA122" s="2">
        <v>0.69</v>
      </c>
      <c r="AB122" s="3">
        <v>7580474</v>
      </c>
      <c r="AC122" s="3">
        <v>7238638</v>
      </c>
      <c r="AD122" s="3">
        <v>2344038</v>
      </c>
      <c r="AE122" s="3">
        <v>3475100</v>
      </c>
      <c r="AF122" s="3">
        <v>1341673</v>
      </c>
      <c r="AG122" s="3">
        <v>1368000</v>
      </c>
      <c r="AH122" s="2">
        <v>4</v>
      </c>
      <c r="AI122" s="5">
        <v>4</v>
      </c>
    </row>
    <row r="123" spans="1:35" x14ac:dyDescent="0.3">
      <c r="A123" s="4" t="str">
        <f>"131500"</f>
        <v>131500</v>
      </c>
      <c r="B123" s="2" t="s">
        <v>122</v>
      </c>
      <c r="C123" s="3">
        <v>104466005</v>
      </c>
      <c r="D123" s="3">
        <v>108190818</v>
      </c>
      <c r="E123" s="2">
        <v>3.57</v>
      </c>
      <c r="F123" s="3">
        <v>30600878</v>
      </c>
      <c r="G123" s="3">
        <v>31029290</v>
      </c>
      <c r="H123" s="3"/>
      <c r="I123" s="3"/>
      <c r="J123" s="3"/>
      <c r="K123" s="3"/>
      <c r="L123" s="3"/>
      <c r="M123" s="3"/>
      <c r="N123" s="3">
        <v>30600878</v>
      </c>
      <c r="O123" s="3">
        <v>31029290</v>
      </c>
      <c r="P123" s="2">
        <v>1.4</v>
      </c>
      <c r="Q123" s="3">
        <v>2188183</v>
      </c>
      <c r="R123" s="3">
        <v>2328868</v>
      </c>
      <c r="S123" s="3">
        <v>28412695</v>
      </c>
      <c r="T123" s="3">
        <v>28700422</v>
      </c>
      <c r="U123" s="3">
        <v>28412695</v>
      </c>
      <c r="V123" s="3">
        <v>28700422</v>
      </c>
      <c r="W123" s="3">
        <v>0</v>
      </c>
      <c r="X123" s="3">
        <v>0</v>
      </c>
      <c r="Y123" s="2">
        <v>4085</v>
      </c>
      <c r="Z123" s="2">
        <v>4133</v>
      </c>
      <c r="AA123" s="2">
        <v>1.18</v>
      </c>
      <c r="AB123" s="3">
        <v>912846</v>
      </c>
      <c r="AC123" s="3">
        <v>912846</v>
      </c>
      <c r="AD123" s="3">
        <v>500000</v>
      </c>
      <c r="AE123" s="3">
        <v>0</v>
      </c>
      <c r="AF123" s="3">
        <v>7334840</v>
      </c>
      <c r="AG123" s="3">
        <v>7334840</v>
      </c>
      <c r="AH123" s="2">
        <v>7.02</v>
      </c>
      <c r="AI123" s="5">
        <v>6.78</v>
      </c>
    </row>
    <row r="124" spans="1:35" x14ac:dyDescent="0.3">
      <c r="A124" s="4" t="str">
        <f>"131601"</f>
        <v>131601</v>
      </c>
      <c r="B124" s="2" t="s">
        <v>123</v>
      </c>
      <c r="C124" s="3">
        <v>224658000</v>
      </c>
      <c r="D124" s="3">
        <v>233582000</v>
      </c>
      <c r="E124" s="2">
        <v>3.97</v>
      </c>
      <c r="F124" s="3">
        <v>145987196</v>
      </c>
      <c r="G124" s="3">
        <v>147420288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145987196</v>
      </c>
      <c r="O124" s="3">
        <v>147420288</v>
      </c>
      <c r="P124" s="2">
        <v>0.98</v>
      </c>
      <c r="Q124" s="3">
        <v>5036299</v>
      </c>
      <c r="R124" s="3">
        <v>5300230</v>
      </c>
      <c r="S124" s="3">
        <v>140952819</v>
      </c>
      <c r="T124" s="3">
        <v>143578726</v>
      </c>
      <c r="U124" s="3">
        <v>140950897</v>
      </c>
      <c r="V124" s="3">
        <v>142120058</v>
      </c>
      <c r="W124" s="3">
        <v>1922</v>
      </c>
      <c r="X124" s="3">
        <v>1458668</v>
      </c>
      <c r="Y124" s="2">
        <v>7909</v>
      </c>
      <c r="Z124" s="2">
        <v>7824</v>
      </c>
      <c r="AA124" s="2">
        <v>-1.07</v>
      </c>
      <c r="AB124" s="3">
        <v>12519745</v>
      </c>
      <c r="AC124" s="3">
        <v>12523052</v>
      </c>
      <c r="AD124" s="3">
        <v>7403000</v>
      </c>
      <c r="AE124" s="3">
        <v>7403000</v>
      </c>
      <c r="AF124" s="3">
        <v>7763429</v>
      </c>
      <c r="AG124" s="3">
        <v>9048614</v>
      </c>
      <c r="AH124" s="2">
        <v>3.46</v>
      </c>
      <c r="AI124" s="5">
        <v>3.87</v>
      </c>
    </row>
    <row r="125" spans="1:35" x14ac:dyDescent="0.3">
      <c r="A125" s="4" t="str">
        <f>"131602"</f>
        <v>131602</v>
      </c>
      <c r="B125" s="2" t="s">
        <v>124</v>
      </c>
      <c r="C125" s="3">
        <v>48068456</v>
      </c>
      <c r="D125" s="3">
        <v>48946037</v>
      </c>
      <c r="E125" s="2">
        <v>1.83</v>
      </c>
      <c r="F125" s="3">
        <v>30871945</v>
      </c>
      <c r="G125" s="3">
        <v>31480122</v>
      </c>
      <c r="H125" s="3"/>
      <c r="I125" s="3"/>
      <c r="J125" s="3">
        <v>0</v>
      </c>
      <c r="K125" s="3">
        <v>0</v>
      </c>
      <c r="L125" s="3"/>
      <c r="M125" s="3"/>
      <c r="N125" s="3">
        <v>30871945</v>
      </c>
      <c r="O125" s="3">
        <v>31480122</v>
      </c>
      <c r="P125" s="2">
        <v>1.97</v>
      </c>
      <c r="Q125" s="3">
        <v>744548</v>
      </c>
      <c r="R125" s="3">
        <v>1247887</v>
      </c>
      <c r="S125" s="3">
        <v>31444286</v>
      </c>
      <c r="T125" s="3">
        <v>32035847</v>
      </c>
      <c r="U125" s="3">
        <v>30127397</v>
      </c>
      <c r="V125" s="3">
        <v>30232235</v>
      </c>
      <c r="W125" s="3">
        <v>1316889</v>
      </c>
      <c r="X125" s="3">
        <v>1803612</v>
      </c>
      <c r="Y125" s="2">
        <v>1491</v>
      </c>
      <c r="Z125" s="2">
        <v>1503</v>
      </c>
      <c r="AA125" s="2">
        <v>0.8</v>
      </c>
      <c r="AB125" s="3">
        <v>0</v>
      </c>
      <c r="AC125" s="3">
        <v>0</v>
      </c>
      <c r="AD125" s="3">
        <v>1977877</v>
      </c>
      <c r="AE125" s="3">
        <v>1347877</v>
      </c>
      <c r="AF125" s="3">
        <v>2070200</v>
      </c>
      <c r="AG125" s="3">
        <v>1957841</v>
      </c>
      <c r="AH125" s="2">
        <v>4.3099999999999996</v>
      </c>
      <c r="AI125" s="5">
        <v>4</v>
      </c>
    </row>
    <row r="126" spans="1:35" x14ac:dyDescent="0.3">
      <c r="A126" s="4" t="str">
        <f>"131701"</f>
        <v>131701</v>
      </c>
      <c r="B126" s="2" t="s">
        <v>125</v>
      </c>
      <c r="C126" s="3">
        <v>54984147</v>
      </c>
      <c r="D126" s="3">
        <v>56026338</v>
      </c>
      <c r="E126" s="2">
        <v>1.9</v>
      </c>
      <c r="F126" s="3">
        <v>35460000</v>
      </c>
      <c r="G126" s="3">
        <v>35997924</v>
      </c>
      <c r="H126" s="3"/>
      <c r="I126" s="3"/>
      <c r="J126" s="3"/>
      <c r="K126" s="3"/>
      <c r="L126" s="3"/>
      <c r="M126" s="3"/>
      <c r="N126" s="3">
        <v>35460000</v>
      </c>
      <c r="O126" s="3">
        <v>35997924</v>
      </c>
      <c r="P126" s="2">
        <v>1.52</v>
      </c>
      <c r="Q126" s="3">
        <v>298558</v>
      </c>
      <c r="R126" s="3">
        <v>348758</v>
      </c>
      <c r="S126" s="3">
        <v>35161737</v>
      </c>
      <c r="T126" s="3">
        <v>35827777</v>
      </c>
      <c r="U126" s="3">
        <v>35161442</v>
      </c>
      <c r="V126" s="3">
        <v>35649166</v>
      </c>
      <c r="W126" s="3">
        <v>295</v>
      </c>
      <c r="X126" s="3">
        <v>178611</v>
      </c>
      <c r="Y126" s="2">
        <v>1660</v>
      </c>
      <c r="Z126" s="2">
        <v>1600</v>
      </c>
      <c r="AA126" s="2">
        <v>-3.61</v>
      </c>
      <c r="AB126" s="3">
        <v>2996613</v>
      </c>
      <c r="AC126" s="3">
        <v>3200000</v>
      </c>
      <c r="AD126" s="3">
        <v>2585164</v>
      </c>
      <c r="AE126" s="3">
        <v>3200000</v>
      </c>
      <c r="AF126" s="3">
        <v>3632861</v>
      </c>
      <c r="AG126" s="3">
        <v>3700000</v>
      </c>
      <c r="AH126" s="2">
        <v>6.61</v>
      </c>
      <c r="AI126" s="5">
        <v>6.6</v>
      </c>
    </row>
    <row r="127" spans="1:35" x14ac:dyDescent="0.3">
      <c r="A127" s="4" t="str">
        <f>"131801"</f>
        <v>131801</v>
      </c>
      <c r="B127" s="2" t="s">
        <v>126</v>
      </c>
      <c r="C127" s="3">
        <v>36182065</v>
      </c>
      <c r="D127" s="3">
        <v>35380864</v>
      </c>
      <c r="E127" s="2">
        <v>-2.21</v>
      </c>
      <c r="F127" s="3">
        <v>30735859</v>
      </c>
      <c r="G127" s="3">
        <v>31462819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30735859</v>
      </c>
      <c r="O127" s="3">
        <v>31462819</v>
      </c>
      <c r="P127" s="2">
        <v>2.37</v>
      </c>
      <c r="Q127" s="3">
        <v>1549115</v>
      </c>
      <c r="R127" s="3">
        <v>1669129</v>
      </c>
      <c r="S127" s="3">
        <v>30804674</v>
      </c>
      <c r="T127" s="3">
        <v>31636909</v>
      </c>
      <c r="U127" s="3">
        <v>29186744</v>
      </c>
      <c r="V127" s="3">
        <v>29793690</v>
      </c>
      <c r="W127" s="3">
        <v>1617930</v>
      </c>
      <c r="X127" s="3">
        <v>1843219</v>
      </c>
      <c r="Y127" s="2">
        <v>946</v>
      </c>
      <c r="Z127" s="2">
        <v>957</v>
      </c>
      <c r="AA127" s="2">
        <v>1.1599999999999999</v>
      </c>
      <c r="AB127" s="3">
        <v>2311025</v>
      </c>
      <c r="AC127" s="3">
        <v>3304629</v>
      </c>
      <c r="AD127" s="3">
        <v>1340494</v>
      </c>
      <c r="AE127" s="3">
        <v>1400000</v>
      </c>
      <c r="AF127" s="3">
        <v>1717126</v>
      </c>
      <c r="AG127" s="3">
        <v>1400000</v>
      </c>
      <c r="AH127" s="2">
        <v>4.75</v>
      </c>
      <c r="AI127" s="5">
        <v>3.96</v>
      </c>
    </row>
    <row r="128" spans="1:35" x14ac:dyDescent="0.3">
      <c r="A128" s="4" t="str">
        <f>"132101"</f>
        <v>132101</v>
      </c>
      <c r="B128" s="2" t="s">
        <v>127</v>
      </c>
      <c r="C128" s="3">
        <v>245041769</v>
      </c>
      <c r="D128" s="3">
        <v>256403547</v>
      </c>
      <c r="E128" s="2">
        <v>4.6399999999999997</v>
      </c>
      <c r="F128" s="3">
        <v>175325236</v>
      </c>
      <c r="G128" s="3">
        <v>179699213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175325236</v>
      </c>
      <c r="O128" s="3">
        <v>179699213</v>
      </c>
      <c r="P128" s="2">
        <v>2.4900000000000002</v>
      </c>
      <c r="Q128" s="3">
        <v>6071357</v>
      </c>
      <c r="R128" s="3">
        <v>6884679</v>
      </c>
      <c r="S128" s="3">
        <v>169253879</v>
      </c>
      <c r="T128" s="3">
        <v>172814534</v>
      </c>
      <c r="U128" s="3">
        <v>169253879</v>
      </c>
      <c r="V128" s="3">
        <v>172814534</v>
      </c>
      <c r="W128" s="3">
        <v>0</v>
      </c>
      <c r="X128" s="3">
        <v>0</v>
      </c>
      <c r="Y128" s="2">
        <v>10645</v>
      </c>
      <c r="Z128" s="2">
        <v>10638</v>
      </c>
      <c r="AA128" s="2">
        <v>-7.0000000000000007E-2</v>
      </c>
      <c r="AB128" s="3">
        <v>375000</v>
      </c>
      <c r="AC128" s="3">
        <v>382000</v>
      </c>
      <c r="AD128" s="3">
        <v>3750000</v>
      </c>
      <c r="AE128" s="3">
        <v>3750000</v>
      </c>
      <c r="AF128" s="3">
        <v>9800000</v>
      </c>
      <c r="AG128" s="3">
        <v>10100000</v>
      </c>
      <c r="AH128" s="2">
        <v>4</v>
      </c>
      <c r="AI128" s="5">
        <v>3.94</v>
      </c>
    </row>
    <row r="129" spans="1:35" x14ac:dyDescent="0.3">
      <c r="A129" s="4" t="str">
        <f>"132201"</f>
        <v>132201</v>
      </c>
      <c r="B129" s="2" t="s">
        <v>128</v>
      </c>
      <c r="C129" s="3">
        <v>30980759</v>
      </c>
      <c r="D129" s="3">
        <v>31714951</v>
      </c>
      <c r="E129" s="2">
        <v>2.37</v>
      </c>
      <c r="F129" s="3">
        <v>25174523</v>
      </c>
      <c r="G129" s="3">
        <v>25418814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25174523</v>
      </c>
      <c r="O129" s="3">
        <v>25418814</v>
      </c>
      <c r="P129" s="2">
        <v>0.97</v>
      </c>
      <c r="Q129" s="3">
        <v>1685510</v>
      </c>
      <c r="R129" s="3">
        <v>1652909</v>
      </c>
      <c r="S129" s="3">
        <v>23489013</v>
      </c>
      <c r="T129" s="3">
        <v>23844187</v>
      </c>
      <c r="U129" s="3">
        <v>23489013</v>
      </c>
      <c r="V129" s="3">
        <v>23765905</v>
      </c>
      <c r="W129" s="3">
        <v>0</v>
      </c>
      <c r="X129" s="3">
        <v>78282</v>
      </c>
      <c r="Y129" s="2">
        <v>882</v>
      </c>
      <c r="Z129" s="2">
        <v>824</v>
      </c>
      <c r="AA129" s="2">
        <v>-6.58</v>
      </c>
      <c r="AB129" s="3">
        <v>7758276</v>
      </c>
      <c r="AC129" s="3">
        <v>9263748</v>
      </c>
      <c r="AD129" s="3">
        <v>788000</v>
      </c>
      <c r="AE129" s="3">
        <v>788000</v>
      </c>
      <c r="AF129" s="3">
        <v>1239230</v>
      </c>
      <c r="AG129" s="3">
        <v>1268598</v>
      </c>
      <c r="AH129" s="2">
        <v>4</v>
      </c>
      <c r="AI129" s="5">
        <v>4</v>
      </c>
    </row>
    <row r="130" spans="1:35" x14ac:dyDescent="0.3">
      <c r="A130" s="4" t="str">
        <f>"140101"</f>
        <v>140101</v>
      </c>
      <c r="B130" s="2" t="s">
        <v>129</v>
      </c>
      <c r="C130" s="3">
        <v>35729653</v>
      </c>
      <c r="D130" s="3">
        <v>37152844</v>
      </c>
      <c r="E130" s="2">
        <v>3.98</v>
      </c>
      <c r="F130" s="3">
        <v>15731449</v>
      </c>
      <c r="G130" s="3">
        <v>16038212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15731449</v>
      </c>
      <c r="O130" s="3">
        <v>16038212</v>
      </c>
      <c r="P130" s="2">
        <v>1.95</v>
      </c>
      <c r="Q130" s="3">
        <v>0</v>
      </c>
      <c r="R130" s="3">
        <v>0</v>
      </c>
      <c r="S130" s="3">
        <v>15808871</v>
      </c>
      <c r="T130" s="3">
        <v>16053042</v>
      </c>
      <c r="U130" s="3">
        <v>15731449</v>
      </c>
      <c r="V130" s="3">
        <v>16038212</v>
      </c>
      <c r="W130" s="3">
        <v>77422</v>
      </c>
      <c r="X130" s="3">
        <v>14830</v>
      </c>
      <c r="Y130" s="2">
        <v>1541</v>
      </c>
      <c r="Z130" s="2">
        <v>1523</v>
      </c>
      <c r="AA130" s="2">
        <v>-1.17</v>
      </c>
      <c r="AB130" s="3">
        <v>7657651</v>
      </c>
      <c r="AC130" s="3">
        <v>7164463</v>
      </c>
      <c r="AD130" s="3">
        <v>3740782</v>
      </c>
      <c r="AE130" s="3">
        <v>3156495</v>
      </c>
      <c r="AF130" s="3">
        <v>3755198</v>
      </c>
      <c r="AG130" s="3">
        <v>1486113</v>
      </c>
      <c r="AH130" s="2">
        <v>10.51</v>
      </c>
      <c r="AI130" s="5">
        <v>4</v>
      </c>
    </row>
    <row r="131" spans="1:35" x14ac:dyDescent="0.3">
      <c r="A131" s="4" t="str">
        <f>"140201"</f>
        <v>140201</v>
      </c>
      <c r="B131" s="2" t="s">
        <v>130</v>
      </c>
      <c r="C131" s="3">
        <v>62423000</v>
      </c>
      <c r="D131" s="3">
        <v>64316000</v>
      </c>
      <c r="E131" s="2">
        <v>3.03</v>
      </c>
      <c r="F131" s="3">
        <v>37767990</v>
      </c>
      <c r="G131" s="3">
        <v>38952886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37767990</v>
      </c>
      <c r="O131" s="3">
        <v>38952886</v>
      </c>
      <c r="P131" s="2">
        <v>3.14</v>
      </c>
      <c r="Q131" s="3">
        <v>1190193</v>
      </c>
      <c r="R131" s="3">
        <v>1741160</v>
      </c>
      <c r="S131" s="3">
        <v>36577797</v>
      </c>
      <c r="T131" s="3">
        <v>37211726</v>
      </c>
      <c r="U131" s="3">
        <v>36577797</v>
      </c>
      <c r="V131" s="3">
        <v>37211726</v>
      </c>
      <c r="W131" s="3">
        <v>0</v>
      </c>
      <c r="X131" s="3">
        <v>0</v>
      </c>
      <c r="Y131" s="2">
        <v>3056</v>
      </c>
      <c r="Z131" s="2">
        <v>2945</v>
      </c>
      <c r="AA131" s="2">
        <v>-3.63</v>
      </c>
      <c r="AB131" s="3">
        <v>4561223</v>
      </c>
      <c r="AC131" s="3">
        <v>5013890</v>
      </c>
      <c r="AD131" s="3">
        <v>1023998</v>
      </c>
      <c r="AE131" s="3">
        <v>806000</v>
      </c>
      <c r="AF131" s="3">
        <v>5473621</v>
      </c>
      <c r="AG131" s="3">
        <v>3858960</v>
      </c>
      <c r="AH131" s="2">
        <v>8.77</v>
      </c>
      <c r="AI131" s="5">
        <v>6</v>
      </c>
    </row>
    <row r="132" spans="1:35" x14ac:dyDescent="0.3">
      <c r="A132" s="4" t="str">
        <f>"140203"</f>
        <v>140203</v>
      </c>
      <c r="B132" s="2" t="s">
        <v>131</v>
      </c>
      <c r="C132" s="3">
        <v>199199730</v>
      </c>
      <c r="D132" s="3">
        <v>205020967</v>
      </c>
      <c r="E132" s="2">
        <v>2.92</v>
      </c>
      <c r="F132" s="3">
        <v>130415000</v>
      </c>
      <c r="G132" s="3">
        <v>133790000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130415000</v>
      </c>
      <c r="O132" s="3">
        <v>133790000</v>
      </c>
      <c r="P132" s="2">
        <v>2.59</v>
      </c>
      <c r="Q132" s="3">
        <v>0</v>
      </c>
      <c r="R132" s="3">
        <v>0</v>
      </c>
      <c r="S132" s="3">
        <v>130422956</v>
      </c>
      <c r="T132" s="3">
        <v>133797572</v>
      </c>
      <c r="U132" s="3">
        <v>130415000</v>
      </c>
      <c r="V132" s="3">
        <v>133790000</v>
      </c>
      <c r="W132" s="3">
        <v>7956</v>
      </c>
      <c r="X132" s="3">
        <v>7572</v>
      </c>
      <c r="Y132" s="2">
        <v>9945</v>
      </c>
      <c r="Z132" s="2">
        <v>9599</v>
      </c>
      <c r="AA132" s="2">
        <v>-3.48</v>
      </c>
      <c r="AB132" s="3">
        <v>67244772</v>
      </c>
      <c r="AC132" s="3">
        <v>59786136</v>
      </c>
      <c r="AD132" s="3">
        <v>12001643</v>
      </c>
      <c r="AE132" s="3">
        <v>9374000</v>
      </c>
      <c r="AF132" s="3">
        <v>7965601</v>
      </c>
      <c r="AG132" s="3">
        <v>8200800</v>
      </c>
      <c r="AH132" s="2">
        <v>4</v>
      </c>
      <c r="AI132" s="5">
        <v>4</v>
      </c>
    </row>
    <row r="133" spans="1:35" x14ac:dyDescent="0.3">
      <c r="A133" s="4" t="str">
        <f>"140207"</f>
        <v>140207</v>
      </c>
      <c r="B133" s="2" t="s">
        <v>132</v>
      </c>
      <c r="C133" s="3">
        <v>83347690</v>
      </c>
      <c r="D133" s="3">
        <v>85923559</v>
      </c>
      <c r="E133" s="2">
        <v>3.09</v>
      </c>
      <c r="F133" s="3">
        <v>49532205</v>
      </c>
      <c r="G133" s="3">
        <v>51105559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49532205</v>
      </c>
      <c r="O133" s="3">
        <v>51105559</v>
      </c>
      <c r="P133" s="2">
        <v>3.18</v>
      </c>
      <c r="Q133" s="3">
        <v>2527436</v>
      </c>
      <c r="R133" s="3">
        <v>3100750</v>
      </c>
      <c r="S133" s="3">
        <v>47004769</v>
      </c>
      <c r="T133" s="3">
        <v>48171926</v>
      </c>
      <c r="U133" s="3">
        <v>47004769</v>
      </c>
      <c r="V133" s="3">
        <v>48004809</v>
      </c>
      <c r="W133" s="3">
        <v>0</v>
      </c>
      <c r="X133" s="3">
        <v>167117</v>
      </c>
      <c r="Y133" s="2">
        <v>3359</v>
      </c>
      <c r="Z133" s="2">
        <v>3357</v>
      </c>
      <c r="AA133" s="2">
        <v>-0.06</v>
      </c>
      <c r="AB133" s="3">
        <v>9243649</v>
      </c>
      <c r="AC133" s="3">
        <v>7649463</v>
      </c>
      <c r="AD133" s="3">
        <v>2420000</v>
      </c>
      <c r="AE133" s="3">
        <v>2420000</v>
      </c>
      <c r="AF133" s="3">
        <v>4570594</v>
      </c>
      <c r="AG133" s="3">
        <v>3421850</v>
      </c>
      <c r="AH133" s="2">
        <v>5.48</v>
      </c>
      <c r="AI133" s="5">
        <v>3.98</v>
      </c>
    </row>
    <row r="134" spans="1:35" x14ac:dyDescent="0.3">
      <c r="A134" s="4" t="str">
        <f>"140301"</f>
        <v>140301</v>
      </c>
      <c r="B134" s="2" t="s">
        <v>133</v>
      </c>
      <c r="C134" s="3">
        <v>38171727</v>
      </c>
      <c r="D134" s="3">
        <v>39489097</v>
      </c>
      <c r="E134" s="2">
        <v>3.45</v>
      </c>
      <c r="F134" s="3">
        <v>23694267</v>
      </c>
      <c r="G134" s="3">
        <v>24596095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23694267</v>
      </c>
      <c r="O134" s="3">
        <v>24596095</v>
      </c>
      <c r="P134" s="2">
        <v>3.81</v>
      </c>
      <c r="Q134" s="3">
        <v>1371219</v>
      </c>
      <c r="R134" s="3">
        <v>1622253</v>
      </c>
      <c r="S134" s="3">
        <v>22323048</v>
      </c>
      <c r="T134" s="3">
        <v>22973842</v>
      </c>
      <c r="U134" s="3">
        <v>22323048</v>
      </c>
      <c r="V134" s="3">
        <v>22973842</v>
      </c>
      <c r="W134" s="3">
        <v>0</v>
      </c>
      <c r="X134" s="3">
        <v>0</v>
      </c>
      <c r="Y134" s="2">
        <v>1801</v>
      </c>
      <c r="Z134" s="2">
        <v>1750</v>
      </c>
      <c r="AA134" s="2">
        <v>-2.83</v>
      </c>
      <c r="AB134" s="3">
        <v>1301530</v>
      </c>
      <c r="AC134" s="3">
        <v>2194629</v>
      </c>
      <c r="AD134" s="3">
        <v>1081648</v>
      </c>
      <c r="AE134" s="3">
        <v>418148</v>
      </c>
      <c r="AF134" s="3">
        <v>2669967</v>
      </c>
      <c r="AG134" s="3">
        <v>1576110</v>
      </c>
      <c r="AH134" s="2">
        <v>6.99</v>
      </c>
      <c r="AI134" s="5">
        <v>3.99</v>
      </c>
    </row>
    <row r="135" spans="1:35" x14ac:dyDescent="0.3">
      <c r="A135" s="4" t="str">
        <f>"140701"</f>
        <v>140701</v>
      </c>
      <c r="B135" s="2" t="s">
        <v>134</v>
      </c>
      <c r="C135" s="3">
        <v>47272614</v>
      </c>
      <c r="D135" s="3">
        <v>51324296</v>
      </c>
      <c r="E135" s="2">
        <v>8.57</v>
      </c>
      <c r="F135" s="3">
        <v>25753775</v>
      </c>
      <c r="G135" s="3">
        <v>26378636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25753775</v>
      </c>
      <c r="O135" s="3">
        <v>26378636</v>
      </c>
      <c r="P135" s="2">
        <v>2.4300000000000002</v>
      </c>
      <c r="Q135" s="3">
        <v>910076</v>
      </c>
      <c r="R135" s="3">
        <v>786372</v>
      </c>
      <c r="S135" s="3">
        <v>24843699</v>
      </c>
      <c r="T135" s="3">
        <v>25592264</v>
      </c>
      <c r="U135" s="3">
        <v>24843699</v>
      </c>
      <c r="V135" s="3">
        <v>25592264</v>
      </c>
      <c r="W135" s="3">
        <v>0</v>
      </c>
      <c r="X135" s="3">
        <v>0</v>
      </c>
      <c r="Y135" s="2">
        <v>2323</v>
      </c>
      <c r="Z135" s="2">
        <v>2247</v>
      </c>
      <c r="AA135" s="2">
        <v>-3.27</v>
      </c>
      <c r="AB135" s="3">
        <v>1069715</v>
      </c>
      <c r="AC135" s="3">
        <v>5879524</v>
      </c>
      <c r="AD135" s="3">
        <v>1666000</v>
      </c>
      <c r="AE135" s="3">
        <v>0</v>
      </c>
      <c r="AF135" s="3">
        <v>3264000</v>
      </c>
      <c r="AG135" s="3">
        <v>1854779</v>
      </c>
      <c r="AH135" s="2">
        <v>6.9</v>
      </c>
      <c r="AI135" s="5">
        <v>3.61</v>
      </c>
    </row>
    <row r="136" spans="1:35" x14ac:dyDescent="0.3">
      <c r="A136" s="4" t="str">
        <f>"140702"</f>
        <v>140702</v>
      </c>
      <c r="B136" s="2" t="s">
        <v>135</v>
      </c>
      <c r="C136" s="3">
        <v>48293116</v>
      </c>
      <c r="D136" s="3">
        <v>50036440</v>
      </c>
      <c r="E136" s="2">
        <v>3.61</v>
      </c>
      <c r="F136" s="3">
        <v>21764888</v>
      </c>
      <c r="G136" s="3">
        <v>22122970</v>
      </c>
      <c r="H136" s="3"/>
      <c r="I136" s="3"/>
      <c r="J136" s="3"/>
      <c r="K136" s="3"/>
      <c r="L136" s="3"/>
      <c r="M136" s="3"/>
      <c r="N136" s="3">
        <v>21764888</v>
      </c>
      <c r="O136" s="3">
        <v>22122970</v>
      </c>
      <c r="P136" s="2">
        <v>1.65</v>
      </c>
      <c r="Q136" s="3">
        <v>577102</v>
      </c>
      <c r="R136" s="3">
        <v>570559</v>
      </c>
      <c r="S136" s="3">
        <v>21187786</v>
      </c>
      <c r="T136" s="3">
        <v>21552411</v>
      </c>
      <c r="U136" s="3">
        <v>21187786</v>
      </c>
      <c r="V136" s="3">
        <v>21552411</v>
      </c>
      <c r="W136" s="3">
        <v>0</v>
      </c>
      <c r="X136" s="3">
        <v>0</v>
      </c>
      <c r="Y136" s="2">
        <v>2212</v>
      </c>
      <c r="Z136" s="2">
        <v>2212</v>
      </c>
      <c r="AA136" s="2">
        <v>0</v>
      </c>
      <c r="AB136" s="3">
        <v>11003808</v>
      </c>
      <c r="AC136" s="3">
        <v>11149100</v>
      </c>
      <c r="AD136" s="3">
        <v>2152825</v>
      </c>
      <c r="AE136" s="3">
        <v>2519388</v>
      </c>
      <c r="AF136" s="3">
        <v>3404478</v>
      </c>
      <c r="AG136" s="3">
        <v>3977342</v>
      </c>
      <c r="AH136" s="2">
        <v>7.05</v>
      </c>
      <c r="AI136" s="5">
        <v>7.95</v>
      </c>
    </row>
    <row r="137" spans="1:35" x14ac:dyDescent="0.3">
      <c r="A137" s="4" t="str">
        <f>"140703"</f>
        <v>140703</v>
      </c>
      <c r="B137" s="2" t="s">
        <v>136</v>
      </c>
      <c r="C137" s="3">
        <v>32692679</v>
      </c>
      <c r="D137" s="3">
        <v>34045172</v>
      </c>
      <c r="E137" s="2">
        <v>4.1399999999999997</v>
      </c>
      <c r="F137" s="3">
        <v>13140576</v>
      </c>
      <c r="G137" s="3">
        <v>13258676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13140576</v>
      </c>
      <c r="O137" s="3">
        <v>13258676</v>
      </c>
      <c r="P137" s="2">
        <v>0.9</v>
      </c>
      <c r="Q137" s="3">
        <v>0</v>
      </c>
      <c r="R137" s="3">
        <v>0</v>
      </c>
      <c r="S137" s="3">
        <v>13154069</v>
      </c>
      <c r="T137" s="3">
        <v>13563119</v>
      </c>
      <c r="U137" s="3">
        <v>13140576</v>
      </c>
      <c r="V137" s="3">
        <v>13258676</v>
      </c>
      <c r="W137" s="3">
        <v>13493</v>
      </c>
      <c r="X137" s="3">
        <v>304443</v>
      </c>
      <c r="Y137" s="2">
        <v>1372</v>
      </c>
      <c r="Z137" s="2">
        <v>1382</v>
      </c>
      <c r="AA137" s="2">
        <v>0.73</v>
      </c>
      <c r="AB137" s="3">
        <v>9606508</v>
      </c>
      <c r="AC137" s="3">
        <v>10660365</v>
      </c>
      <c r="AD137" s="3">
        <v>3092400</v>
      </c>
      <c r="AE137" s="3">
        <v>3339400</v>
      </c>
      <c r="AF137" s="3">
        <v>3111142</v>
      </c>
      <c r="AG137" s="3">
        <v>2535916</v>
      </c>
      <c r="AH137" s="2">
        <v>9.52</v>
      </c>
      <c r="AI137" s="5">
        <v>7.45</v>
      </c>
    </row>
    <row r="138" spans="1:35" x14ac:dyDescent="0.3">
      <c r="A138" s="4" t="str">
        <f>"140707"</f>
        <v>140707</v>
      </c>
      <c r="B138" s="2" t="s">
        <v>137</v>
      </c>
      <c r="C138" s="3">
        <v>46282419</v>
      </c>
      <c r="D138" s="3">
        <v>47267774</v>
      </c>
      <c r="E138" s="2">
        <v>2.13</v>
      </c>
      <c r="F138" s="3">
        <v>18483284</v>
      </c>
      <c r="G138" s="3">
        <v>19036522</v>
      </c>
      <c r="H138" s="3"/>
      <c r="I138" s="3"/>
      <c r="J138" s="3"/>
      <c r="K138" s="3"/>
      <c r="L138" s="3"/>
      <c r="M138" s="3"/>
      <c r="N138" s="3">
        <v>18483284</v>
      </c>
      <c r="O138" s="3">
        <v>19036522</v>
      </c>
      <c r="P138" s="2">
        <v>2.99</v>
      </c>
      <c r="Q138" s="3">
        <v>23279</v>
      </c>
      <c r="R138" s="3">
        <v>165288</v>
      </c>
      <c r="S138" s="3">
        <v>18460005</v>
      </c>
      <c r="T138" s="3">
        <v>18871234</v>
      </c>
      <c r="U138" s="3">
        <v>18460005</v>
      </c>
      <c r="V138" s="3">
        <v>18871234</v>
      </c>
      <c r="W138" s="3">
        <v>0</v>
      </c>
      <c r="X138" s="3">
        <v>0</v>
      </c>
      <c r="Y138" s="2">
        <v>1806</v>
      </c>
      <c r="Z138" s="2">
        <v>1750</v>
      </c>
      <c r="AA138" s="2">
        <v>-3.1</v>
      </c>
      <c r="AB138" s="3">
        <v>8398656</v>
      </c>
      <c r="AC138" s="3">
        <v>11733656</v>
      </c>
      <c r="AD138" s="3">
        <v>3250561</v>
      </c>
      <c r="AE138" s="3">
        <v>4000000</v>
      </c>
      <c r="AF138" s="3">
        <v>5526186</v>
      </c>
      <c r="AG138" s="3">
        <v>1830763</v>
      </c>
      <c r="AH138" s="2">
        <v>11.94</v>
      </c>
      <c r="AI138" s="5">
        <v>3.87</v>
      </c>
    </row>
    <row r="139" spans="1:35" x14ac:dyDescent="0.3">
      <c r="A139" s="4" t="str">
        <f>"140709"</f>
        <v>140709</v>
      </c>
      <c r="B139" s="2" t="s">
        <v>138</v>
      </c>
      <c r="C139" s="3">
        <v>37136645</v>
      </c>
      <c r="D139" s="3">
        <v>37239731</v>
      </c>
      <c r="E139" s="2">
        <v>0.28000000000000003</v>
      </c>
      <c r="F139" s="3">
        <v>15434546</v>
      </c>
      <c r="G139" s="3">
        <v>15467632</v>
      </c>
      <c r="H139" s="3"/>
      <c r="I139" s="3"/>
      <c r="J139" s="3"/>
      <c r="K139" s="3"/>
      <c r="L139" s="3"/>
      <c r="M139" s="3"/>
      <c r="N139" s="3">
        <v>15434546</v>
      </c>
      <c r="O139" s="3">
        <v>15467632</v>
      </c>
      <c r="P139" s="2">
        <v>0.21</v>
      </c>
      <c r="Q139" s="3">
        <v>325733</v>
      </c>
      <c r="R139" s="3">
        <v>344020</v>
      </c>
      <c r="S139" s="3">
        <v>15219866</v>
      </c>
      <c r="T139" s="3">
        <v>15476488</v>
      </c>
      <c r="U139" s="3">
        <v>15108813</v>
      </c>
      <c r="V139" s="3">
        <v>15123612</v>
      </c>
      <c r="W139" s="3">
        <v>111053</v>
      </c>
      <c r="X139" s="3">
        <v>352876</v>
      </c>
      <c r="Y139" s="2">
        <v>1370</v>
      </c>
      <c r="Z139" s="2">
        <v>1370</v>
      </c>
      <c r="AA139" s="2">
        <v>0</v>
      </c>
      <c r="AB139" s="3">
        <v>13688155</v>
      </c>
      <c r="AC139" s="3">
        <v>16061418</v>
      </c>
      <c r="AD139" s="3">
        <v>2412980</v>
      </c>
      <c r="AE139" s="3">
        <v>2280000</v>
      </c>
      <c r="AF139" s="3">
        <v>3338694</v>
      </c>
      <c r="AG139" s="3">
        <v>2334384</v>
      </c>
      <c r="AH139" s="2">
        <v>8.99</v>
      </c>
      <c r="AI139" s="5">
        <v>6.27</v>
      </c>
    </row>
    <row r="140" spans="1:35" x14ac:dyDescent="0.3">
      <c r="A140" s="4" t="str">
        <f>"140801"</f>
        <v>140801</v>
      </c>
      <c r="B140" s="2" t="s">
        <v>139</v>
      </c>
      <c r="C140" s="3">
        <v>88202445</v>
      </c>
      <c r="D140" s="3">
        <v>89563670</v>
      </c>
      <c r="E140" s="2">
        <v>1.54</v>
      </c>
      <c r="F140" s="3">
        <v>50883000</v>
      </c>
      <c r="G140" s="3">
        <v>52394225</v>
      </c>
      <c r="H140" s="3"/>
      <c r="I140" s="3"/>
      <c r="J140" s="3"/>
      <c r="K140" s="3"/>
      <c r="L140" s="3"/>
      <c r="M140" s="3"/>
      <c r="N140" s="3">
        <v>50883000</v>
      </c>
      <c r="O140" s="3">
        <v>52394225</v>
      </c>
      <c r="P140" s="2">
        <v>2.97</v>
      </c>
      <c r="Q140" s="3">
        <v>2581690</v>
      </c>
      <c r="R140" s="3">
        <v>2725513</v>
      </c>
      <c r="S140" s="3">
        <v>48301310</v>
      </c>
      <c r="T140" s="3">
        <v>49668712</v>
      </c>
      <c r="U140" s="3">
        <v>48301310</v>
      </c>
      <c r="V140" s="3">
        <v>49668712</v>
      </c>
      <c r="W140" s="3">
        <v>0</v>
      </c>
      <c r="X140" s="3">
        <v>0</v>
      </c>
      <c r="Y140" s="2">
        <v>4066</v>
      </c>
      <c r="Z140" s="2">
        <v>4003</v>
      </c>
      <c r="AA140" s="2">
        <v>-1.55</v>
      </c>
      <c r="AB140" s="3">
        <v>2724410</v>
      </c>
      <c r="AC140" s="3">
        <v>2700000</v>
      </c>
      <c r="AD140" s="3">
        <v>2500000</v>
      </c>
      <c r="AE140" s="3">
        <v>2000000</v>
      </c>
      <c r="AF140" s="3">
        <v>8070072</v>
      </c>
      <c r="AG140" s="3">
        <v>4000000</v>
      </c>
      <c r="AH140" s="2">
        <v>9.15</v>
      </c>
      <c r="AI140" s="5">
        <v>4.47</v>
      </c>
    </row>
    <row r="141" spans="1:35" x14ac:dyDescent="0.3">
      <c r="A141" s="4" t="str">
        <f>"141101"</f>
        <v>141101</v>
      </c>
      <c r="B141" s="2" t="s">
        <v>140</v>
      </c>
      <c r="C141" s="3">
        <v>42532377</v>
      </c>
      <c r="D141" s="3">
        <v>43013312</v>
      </c>
      <c r="E141" s="2">
        <v>1.1299999999999999</v>
      </c>
      <c r="F141" s="3">
        <v>17444783</v>
      </c>
      <c r="G141" s="3">
        <v>17925717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17444783</v>
      </c>
      <c r="O141" s="3">
        <v>17925717</v>
      </c>
      <c r="P141" s="2">
        <v>2.76</v>
      </c>
      <c r="Q141" s="3">
        <v>1064993</v>
      </c>
      <c r="R141" s="3">
        <v>1226145</v>
      </c>
      <c r="S141" s="3">
        <v>16379790</v>
      </c>
      <c r="T141" s="3">
        <v>16699572</v>
      </c>
      <c r="U141" s="3">
        <v>16379790</v>
      </c>
      <c r="V141" s="3">
        <v>16699572</v>
      </c>
      <c r="W141" s="3">
        <v>0</v>
      </c>
      <c r="X141" s="3">
        <v>0</v>
      </c>
      <c r="Y141" s="2">
        <v>1508</v>
      </c>
      <c r="Z141" s="2">
        <v>1611</v>
      </c>
      <c r="AA141" s="2">
        <v>6.83</v>
      </c>
      <c r="AB141" s="3">
        <v>1942436</v>
      </c>
      <c r="AC141" s="3">
        <v>1975000</v>
      </c>
      <c r="AD141" s="3">
        <v>579728</v>
      </c>
      <c r="AE141" s="3">
        <v>550000</v>
      </c>
      <c r="AF141" s="3">
        <v>4187729</v>
      </c>
      <c r="AG141" s="3">
        <v>4175000</v>
      </c>
      <c r="AH141" s="2">
        <v>9.85</v>
      </c>
      <c r="AI141" s="5">
        <v>9.7100000000000009</v>
      </c>
    </row>
    <row r="142" spans="1:35" x14ac:dyDescent="0.3">
      <c r="A142" s="4" t="str">
        <f>"141201"</f>
        <v>141201</v>
      </c>
      <c r="B142" s="2" t="s">
        <v>141</v>
      </c>
      <c r="C142" s="3">
        <v>31285337</v>
      </c>
      <c r="D142" s="3">
        <v>32637781</v>
      </c>
      <c r="E142" s="2">
        <v>4.32</v>
      </c>
      <c r="F142" s="3">
        <v>15164827</v>
      </c>
      <c r="G142" s="3">
        <v>15164827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15164827</v>
      </c>
      <c r="O142" s="3">
        <v>15164827</v>
      </c>
      <c r="P142" s="2">
        <v>0</v>
      </c>
      <c r="Q142" s="3">
        <v>204693</v>
      </c>
      <c r="R142" s="3">
        <v>78133</v>
      </c>
      <c r="S142" s="3">
        <v>14997241</v>
      </c>
      <c r="T142" s="3">
        <v>15208619</v>
      </c>
      <c r="U142" s="3">
        <v>14960134</v>
      </c>
      <c r="V142" s="3">
        <v>15086694</v>
      </c>
      <c r="W142" s="3">
        <v>37107</v>
      </c>
      <c r="X142" s="3">
        <v>121925</v>
      </c>
      <c r="Y142" s="2">
        <v>1340</v>
      </c>
      <c r="Z142" s="2">
        <v>1253</v>
      </c>
      <c r="AA142" s="2">
        <v>-6.49</v>
      </c>
      <c r="AB142" s="3">
        <v>11219580</v>
      </c>
      <c r="AC142" s="3">
        <v>7196097</v>
      </c>
      <c r="AD142" s="3">
        <v>1862882</v>
      </c>
      <c r="AE142" s="3">
        <v>2063668</v>
      </c>
      <c r="AF142" s="3">
        <v>1042264</v>
      </c>
      <c r="AG142" s="3">
        <v>1305511</v>
      </c>
      <c r="AH142" s="2">
        <v>3.33</v>
      </c>
      <c r="AI142" s="5">
        <v>4</v>
      </c>
    </row>
    <row r="143" spans="1:35" x14ac:dyDescent="0.3">
      <c r="A143" s="4" t="str">
        <f>"141301"</f>
        <v>141301</v>
      </c>
      <c r="B143" s="2" t="s">
        <v>142</v>
      </c>
      <c r="C143" s="3">
        <v>52583668</v>
      </c>
      <c r="D143" s="3">
        <v>53807898</v>
      </c>
      <c r="E143" s="2">
        <v>2.33</v>
      </c>
      <c r="F143" s="3">
        <v>31080849</v>
      </c>
      <c r="G143" s="3">
        <v>31689268</v>
      </c>
      <c r="H143" s="3"/>
      <c r="I143" s="3"/>
      <c r="J143" s="3"/>
      <c r="K143" s="3"/>
      <c r="L143" s="3"/>
      <c r="M143" s="3"/>
      <c r="N143" s="3">
        <v>31080849</v>
      </c>
      <c r="O143" s="3">
        <v>31689268</v>
      </c>
      <c r="P143" s="2">
        <v>1.96</v>
      </c>
      <c r="Q143" s="3">
        <v>14861</v>
      </c>
      <c r="R143" s="3">
        <v>37557</v>
      </c>
      <c r="S143" s="3">
        <v>31065988</v>
      </c>
      <c r="T143" s="3">
        <v>31651711</v>
      </c>
      <c r="U143" s="3">
        <v>31065988</v>
      </c>
      <c r="V143" s="3">
        <v>31651711</v>
      </c>
      <c r="W143" s="3">
        <v>0</v>
      </c>
      <c r="X143" s="3">
        <v>0</v>
      </c>
      <c r="Y143" s="2">
        <v>2136</v>
      </c>
      <c r="Z143" s="2">
        <v>2059</v>
      </c>
      <c r="AA143" s="2">
        <v>-3.6</v>
      </c>
      <c r="AB143" s="3">
        <v>8165964</v>
      </c>
      <c r="AC143" s="3">
        <v>5612679</v>
      </c>
      <c r="AD143" s="3">
        <v>1773612</v>
      </c>
      <c r="AE143" s="3">
        <v>1773612</v>
      </c>
      <c r="AF143" s="3">
        <v>3300085</v>
      </c>
      <c r="AG143" s="3">
        <v>2152316</v>
      </c>
      <c r="AH143" s="2">
        <v>6.28</v>
      </c>
      <c r="AI143" s="5">
        <v>4</v>
      </c>
    </row>
    <row r="144" spans="1:35" x14ac:dyDescent="0.3">
      <c r="A144" s="4" t="str">
        <f>"141401"</f>
        <v>141401</v>
      </c>
      <c r="B144" s="2" t="s">
        <v>143</v>
      </c>
      <c r="C144" s="3">
        <v>60057225</v>
      </c>
      <c r="D144" s="3">
        <v>60665973</v>
      </c>
      <c r="E144" s="2">
        <v>1.01</v>
      </c>
      <c r="F144" s="3">
        <v>18102600</v>
      </c>
      <c r="G144" s="3">
        <v>18455600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18102600</v>
      </c>
      <c r="O144" s="3">
        <v>18455600</v>
      </c>
      <c r="P144" s="2">
        <v>1.95</v>
      </c>
      <c r="Q144" s="3">
        <v>55633</v>
      </c>
      <c r="R144" s="3">
        <v>533160</v>
      </c>
      <c r="S144" s="3">
        <v>18046968</v>
      </c>
      <c r="T144" s="3">
        <v>18307831</v>
      </c>
      <c r="U144" s="3">
        <v>18046967</v>
      </c>
      <c r="V144" s="3">
        <v>17922440</v>
      </c>
      <c r="W144" s="3">
        <v>1</v>
      </c>
      <c r="X144" s="3">
        <v>385391</v>
      </c>
      <c r="Y144" s="2">
        <v>2199</v>
      </c>
      <c r="Z144" s="2">
        <v>2107</v>
      </c>
      <c r="AA144" s="2">
        <v>-4.18</v>
      </c>
      <c r="AB144" s="3">
        <v>6695087</v>
      </c>
      <c r="AC144" s="3">
        <v>7246426</v>
      </c>
      <c r="AD144" s="3">
        <v>1750000</v>
      </c>
      <c r="AE144" s="3">
        <v>1500000</v>
      </c>
      <c r="AF144" s="3">
        <v>2402289</v>
      </c>
      <c r="AG144" s="3">
        <v>2426639</v>
      </c>
      <c r="AH144" s="2">
        <v>4</v>
      </c>
      <c r="AI144" s="5">
        <v>4</v>
      </c>
    </row>
    <row r="145" spans="1:35" x14ac:dyDescent="0.3">
      <c r="A145" s="4" t="str">
        <f>"141501"</f>
        <v>141501</v>
      </c>
      <c r="B145" s="2" t="s">
        <v>144</v>
      </c>
      <c r="C145" s="3">
        <v>64626568</v>
      </c>
      <c r="D145" s="3">
        <v>67118207</v>
      </c>
      <c r="E145" s="2">
        <v>3.86</v>
      </c>
      <c r="F145" s="3">
        <v>35160602</v>
      </c>
      <c r="G145" s="3">
        <v>36289062</v>
      </c>
      <c r="H145" s="3"/>
      <c r="I145" s="3"/>
      <c r="J145" s="3"/>
      <c r="K145" s="3"/>
      <c r="L145" s="3"/>
      <c r="M145" s="3"/>
      <c r="N145" s="3">
        <v>35160602</v>
      </c>
      <c r="O145" s="3">
        <v>36289062</v>
      </c>
      <c r="P145" s="2">
        <v>3.21</v>
      </c>
      <c r="Q145" s="3">
        <v>446076</v>
      </c>
      <c r="R145" s="3">
        <v>709445</v>
      </c>
      <c r="S145" s="3">
        <v>34714526</v>
      </c>
      <c r="T145" s="3">
        <v>35579617</v>
      </c>
      <c r="U145" s="3">
        <v>34714526</v>
      </c>
      <c r="V145" s="3">
        <v>35579617</v>
      </c>
      <c r="W145" s="3">
        <v>0</v>
      </c>
      <c r="X145" s="3">
        <v>0</v>
      </c>
      <c r="Y145" s="2">
        <v>2859</v>
      </c>
      <c r="Z145" s="2">
        <v>2741</v>
      </c>
      <c r="AA145" s="2">
        <v>-4.13</v>
      </c>
      <c r="AB145" s="3">
        <v>5857214</v>
      </c>
      <c r="AC145" s="3">
        <v>4136768</v>
      </c>
      <c r="AD145" s="3">
        <v>1950000</v>
      </c>
      <c r="AE145" s="3">
        <v>19500000</v>
      </c>
      <c r="AF145" s="3">
        <v>2615505</v>
      </c>
      <c r="AG145" s="3">
        <v>2684728</v>
      </c>
      <c r="AH145" s="2">
        <v>4.05</v>
      </c>
      <c r="AI145" s="5">
        <v>4</v>
      </c>
    </row>
    <row r="146" spans="1:35" x14ac:dyDescent="0.3">
      <c r="A146" s="4" t="str">
        <f>"141601"</f>
        <v>141601</v>
      </c>
      <c r="B146" s="2" t="s">
        <v>145</v>
      </c>
      <c r="C146" s="3">
        <v>75515500</v>
      </c>
      <c r="D146" s="3">
        <v>77650250</v>
      </c>
      <c r="E146" s="2">
        <v>2.83</v>
      </c>
      <c r="F146" s="3">
        <v>38664615</v>
      </c>
      <c r="G146" s="3">
        <v>39516421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38664615</v>
      </c>
      <c r="O146" s="3">
        <v>39516421</v>
      </c>
      <c r="P146" s="2">
        <v>2.2000000000000002</v>
      </c>
      <c r="Q146" s="3">
        <v>1395411</v>
      </c>
      <c r="R146" s="3">
        <v>1729920</v>
      </c>
      <c r="S146" s="3">
        <v>37269204</v>
      </c>
      <c r="T146" s="3">
        <v>37786501</v>
      </c>
      <c r="U146" s="3">
        <v>37269204</v>
      </c>
      <c r="V146" s="3">
        <v>37786501</v>
      </c>
      <c r="W146" s="3">
        <v>0</v>
      </c>
      <c r="X146" s="3">
        <v>0</v>
      </c>
      <c r="Y146" s="2">
        <v>3479</v>
      </c>
      <c r="Z146" s="2">
        <v>3389</v>
      </c>
      <c r="AA146" s="2">
        <v>-2.59</v>
      </c>
      <c r="AB146" s="3">
        <v>2340190</v>
      </c>
      <c r="AC146" s="3">
        <v>2368300</v>
      </c>
      <c r="AD146" s="3">
        <v>3250000</v>
      </c>
      <c r="AE146" s="3">
        <v>3250000</v>
      </c>
      <c r="AF146" s="3">
        <v>2250000</v>
      </c>
      <c r="AG146" s="3">
        <v>2337300</v>
      </c>
      <c r="AH146" s="2">
        <v>2.98</v>
      </c>
      <c r="AI146" s="5">
        <v>3.01</v>
      </c>
    </row>
    <row r="147" spans="1:35" x14ac:dyDescent="0.3">
      <c r="A147" s="4" t="str">
        <f>"141604"</f>
        <v>141604</v>
      </c>
      <c r="B147" s="2" t="s">
        <v>146</v>
      </c>
      <c r="C147" s="3">
        <v>89486591</v>
      </c>
      <c r="D147" s="3">
        <v>93039035</v>
      </c>
      <c r="E147" s="2">
        <v>3.97</v>
      </c>
      <c r="F147" s="3">
        <v>42374013</v>
      </c>
      <c r="G147" s="3">
        <v>43579954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42374013</v>
      </c>
      <c r="O147" s="3">
        <v>43579954</v>
      </c>
      <c r="P147" s="2">
        <v>2.85</v>
      </c>
      <c r="Q147" s="3">
        <v>928729</v>
      </c>
      <c r="R147" s="3">
        <v>1347374</v>
      </c>
      <c r="S147" s="3">
        <v>41445284</v>
      </c>
      <c r="T147" s="3">
        <v>42232580</v>
      </c>
      <c r="U147" s="3">
        <v>41445284</v>
      </c>
      <c r="V147" s="3">
        <v>42232580</v>
      </c>
      <c r="W147" s="3">
        <v>0</v>
      </c>
      <c r="X147" s="3">
        <v>0</v>
      </c>
      <c r="Y147" s="2">
        <v>4700</v>
      </c>
      <c r="Z147" s="2">
        <v>4700</v>
      </c>
      <c r="AA147" s="2">
        <v>0</v>
      </c>
      <c r="AB147" s="3">
        <v>13811645</v>
      </c>
      <c r="AC147" s="3">
        <v>15720025</v>
      </c>
      <c r="AD147" s="3">
        <v>2448488</v>
      </c>
      <c r="AE147" s="3">
        <v>2849640</v>
      </c>
      <c r="AF147" s="3">
        <v>3581857</v>
      </c>
      <c r="AG147" s="3">
        <v>3721561</v>
      </c>
      <c r="AH147" s="2">
        <v>4</v>
      </c>
      <c r="AI147" s="5">
        <v>4</v>
      </c>
    </row>
    <row r="148" spans="1:35" x14ac:dyDescent="0.3">
      <c r="A148" s="4" t="str">
        <f>"141701"</f>
        <v>141701</v>
      </c>
      <c r="B148" s="2" t="s">
        <v>147</v>
      </c>
      <c r="C148" s="3">
        <v>20908549</v>
      </c>
      <c r="D148" s="3">
        <v>21298400</v>
      </c>
      <c r="E148" s="2">
        <v>1.86</v>
      </c>
      <c r="F148" s="3">
        <v>7871770</v>
      </c>
      <c r="G148" s="3">
        <v>7935126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7871770</v>
      </c>
      <c r="O148" s="3">
        <v>7935126</v>
      </c>
      <c r="P148" s="2">
        <v>1.01</v>
      </c>
      <c r="Q148" s="3">
        <v>23685</v>
      </c>
      <c r="R148" s="3">
        <v>113049</v>
      </c>
      <c r="S148" s="3">
        <v>7763485</v>
      </c>
      <c r="T148" s="3">
        <v>7822077</v>
      </c>
      <c r="U148" s="3">
        <v>7763485</v>
      </c>
      <c r="V148" s="3">
        <v>7822077</v>
      </c>
      <c r="W148" s="3">
        <v>0</v>
      </c>
      <c r="X148" s="3">
        <v>0</v>
      </c>
      <c r="Y148" s="2">
        <v>854</v>
      </c>
      <c r="Z148" s="2">
        <v>787</v>
      </c>
      <c r="AA148" s="2">
        <v>-7.85</v>
      </c>
      <c r="AB148" s="3">
        <v>1803832</v>
      </c>
      <c r="AC148" s="3">
        <v>1838950</v>
      </c>
      <c r="AD148" s="3">
        <v>507632</v>
      </c>
      <c r="AE148" s="3">
        <v>477890</v>
      </c>
      <c r="AF148" s="3">
        <v>1381653</v>
      </c>
      <c r="AG148" s="3">
        <v>1183897</v>
      </c>
      <c r="AH148" s="2">
        <v>6.61</v>
      </c>
      <c r="AI148" s="5">
        <v>5.56</v>
      </c>
    </row>
    <row r="149" spans="1:35" x14ac:dyDescent="0.3">
      <c r="A149" s="4" t="str">
        <f>"141800"</f>
        <v>141800</v>
      </c>
      <c r="B149" s="2" t="s">
        <v>148</v>
      </c>
      <c r="C149" s="3">
        <v>58823401</v>
      </c>
      <c r="D149" s="3">
        <v>61509816</v>
      </c>
      <c r="E149" s="2">
        <v>4.57</v>
      </c>
      <c r="F149" s="3">
        <v>9748197</v>
      </c>
      <c r="G149" s="3">
        <v>9748197</v>
      </c>
      <c r="H149" s="3"/>
      <c r="I149" s="3"/>
      <c r="J149" s="3"/>
      <c r="K149" s="3"/>
      <c r="L149" s="3"/>
      <c r="M149" s="3"/>
      <c r="N149" s="3">
        <v>9748197</v>
      </c>
      <c r="O149" s="3">
        <v>9748197</v>
      </c>
      <c r="P149" s="2">
        <v>0</v>
      </c>
      <c r="Q149" s="3">
        <v>0</v>
      </c>
      <c r="R149" s="3">
        <v>0</v>
      </c>
      <c r="S149" s="3">
        <v>9748197</v>
      </c>
      <c r="T149" s="3">
        <v>9954729</v>
      </c>
      <c r="U149" s="3">
        <v>9748197</v>
      </c>
      <c r="V149" s="3">
        <v>9748197</v>
      </c>
      <c r="W149" s="3">
        <v>0</v>
      </c>
      <c r="X149" s="3">
        <v>206532</v>
      </c>
      <c r="Y149" s="2">
        <v>2675</v>
      </c>
      <c r="Z149" s="2">
        <v>2696</v>
      </c>
      <c r="AA149" s="2">
        <v>0.79</v>
      </c>
      <c r="AB149" s="3">
        <v>300000</v>
      </c>
      <c r="AC149" s="3">
        <v>300000</v>
      </c>
      <c r="AD149" s="3">
        <v>3602964</v>
      </c>
      <c r="AE149" s="3">
        <v>3031003</v>
      </c>
      <c r="AF149" s="3">
        <v>7184080</v>
      </c>
      <c r="AG149" s="3">
        <v>7756041</v>
      </c>
      <c r="AH149" s="2">
        <v>12.21</v>
      </c>
      <c r="AI149" s="5">
        <v>12.61</v>
      </c>
    </row>
    <row r="150" spans="1:35" x14ac:dyDescent="0.3">
      <c r="A150" s="4" t="str">
        <f>"141901"</f>
        <v>141901</v>
      </c>
      <c r="B150" s="2" t="s">
        <v>149</v>
      </c>
      <c r="C150" s="3">
        <v>114492104</v>
      </c>
      <c r="D150" s="3">
        <v>117920921</v>
      </c>
      <c r="E150" s="2">
        <v>2.99</v>
      </c>
      <c r="F150" s="3">
        <v>56924872</v>
      </c>
      <c r="G150" s="3">
        <v>57777319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56924872</v>
      </c>
      <c r="O150" s="3">
        <v>57777319</v>
      </c>
      <c r="P150" s="2">
        <v>1.5</v>
      </c>
      <c r="Q150" s="3">
        <v>0</v>
      </c>
      <c r="R150" s="3">
        <v>0</v>
      </c>
      <c r="S150" s="3">
        <v>56963588</v>
      </c>
      <c r="T150" s="3">
        <v>58391996</v>
      </c>
      <c r="U150" s="3">
        <v>56924872</v>
      </c>
      <c r="V150" s="3">
        <v>57777319</v>
      </c>
      <c r="W150" s="3">
        <v>38716</v>
      </c>
      <c r="X150" s="3">
        <v>614677</v>
      </c>
      <c r="Y150" s="2">
        <v>5512</v>
      </c>
      <c r="Z150" s="2">
        <v>5409</v>
      </c>
      <c r="AA150" s="2">
        <v>-1.87</v>
      </c>
      <c r="AB150" s="3">
        <v>37987331</v>
      </c>
      <c r="AC150" s="3">
        <v>26172093</v>
      </c>
      <c r="AD150" s="3">
        <v>3079497</v>
      </c>
      <c r="AE150" s="3">
        <v>3455083</v>
      </c>
      <c r="AF150" s="3">
        <v>10207535</v>
      </c>
      <c r="AG150" s="3">
        <v>4715658</v>
      </c>
      <c r="AH150" s="2">
        <v>8.92</v>
      </c>
      <c r="AI150" s="5">
        <v>4</v>
      </c>
    </row>
    <row r="151" spans="1:35" x14ac:dyDescent="0.3">
      <c r="A151" s="4" t="str">
        <f>"142101"</f>
        <v>142101</v>
      </c>
      <c r="B151" s="2" t="s">
        <v>150</v>
      </c>
      <c r="C151" s="3">
        <v>33696592</v>
      </c>
      <c r="D151" s="3">
        <v>32597101</v>
      </c>
      <c r="E151" s="2">
        <v>-3.26</v>
      </c>
      <c r="F151" s="3">
        <v>10067709</v>
      </c>
      <c r="G151" s="3">
        <v>10168386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10067709</v>
      </c>
      <c r="O151" s="3">
        <v>10168386</v>
      </c>
      <c r="P151" s="2">
        <v>1</v>
      </c>
      <c r="Q151" s="3">
        <v>147065</v>
      </c>
      <c r="R151" s="3">
        <v>116050</v>
      </c>
      <c r="S151" s="3">
        <v>10045188</v>
      </c>
      <c r="T151" s="3">
        <v>10140022</v>
      </c>
      <c r="U151" s="3">
        <v>9920644</v>
      </c>
      <c r="V151" s="3">
        <v>10052336</v>
      </c>
      <c r="W151" s="3">
        <v>124544</v>
      </c>
      <c r="X151" s="3">
        <v>87686</v>
      </c>
      <c r="Y151" s="2">
        <v>1425</v>
      </c>
      <c r="Z151" s="2">
        <v>1338</v>
      </c>
      <c r="AA151" s="2">
        <v>-6.11</v>
      </c>
      <c r="AB151" s="3">
        <v>11641297</v>
      </c>
      <c r="AC151" s="3">
        <v>12060000</v>
      </c>
      <c r="AD151" s="3">
        <v>1283716</v>
      </c>
      <c r="AE151" s="3">
        <v>1365864</v>
      </c>
      <c r="AF151" s="3">
        <v>3865311</v>
      </c>
      <c r="AG151" s="3">
        <v>5251723</v>
      </c>
      <c r="AH151" s="2">
        <v>11.47</v>
      </c>
      <c r="AI151" s="5">
        <v>16.11</v>
      </c>
    </row>
    <row r="152" spans="1:35" x14ac:dyDescent="0.3">
      <c r="A152" s="4" t="str">
        <f>"142201"</f>
        <v>142201</v>
      </c>
      <c r="B152" s="2" t="s">
        <v>151</v>
      </c>
      <c r="C152" s="3">
        <v>15638297</v>
      </c>
      <c r="D152" s="3">
        <v>16266194</v>
      </c>
      <c r="E152" s="2">
        <v>4.0199999999999996</v>
      </c>
      <c r="F152" s="3">
        <v>5561615</v>
      </c>
      <c r="G152" s="3">
        <v>5672847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5561615</v>
      </c>
      <c r="O152" s="3">
        <v>5672847</v>
      </c>
      <c r="P152" s="2">
        <v>2</v>
      </c>
      <c r="Q152" s="3">
        <v>0</v>
      </c>
      <c r="R152" s="3">
        <v>11852</v>
      </c>
      <c r="S152" s="3">
        <v>5561615</v>
      </c>
      <c r="T152" s="3">
        <v>5672847</v>
      </c>
      <c r="U152" s="3">
        <v>5561615</v>
      </c>
      <c r="V152" s="3">
        <v>5660995</v>
      </c>
      <c r="W152" s="3">
        <v>0</v>
      </c>
      <c r="X152" s="3">
        <v>11852</v>
      </c>
      <c r="Y152" s="2">
        <v>551</v>
      </c>
      <c r="Z152" s="2">
        <v>575</v>
      </c>
      <c r="AA152" s="2">
        <v>4.3600000000000003</v>
      </c>
      <c r="AB152" s="3">
        <v>4826689</v>
      </c>
      <c r="AC152" s="3">
        <v>3481290</v>
      </c>
      <c r="AD152" s="3">
        <v>739354</v>
      </c>
      <c r="AE152" s="3">
        <v>700000</v>
      </c>
      <c r="AF152" s="3">
        <v>625532</v>
      </c>
      <c r="AG152" s="3">
        <v>650648</v>
      </c>
      <c r="AH152" s="2">
        <v>4</v>
      </c>
      <c r="AI152" s="5">
        <v>4</v>
      </c>
    </row>
    <row r="153" spans="1:35" x14ac:dyDescent="0.3">
      <c r="A153" s="4" t="str">
        <f>"142301"</f>
        <v>142301</v>
      </c>
      <c r="B153" s="2" t="s">
        <v>152</v>
      </c>
      <c r="C153" s="3">
        <v>107453198</v>
      </c>
      <c r="D153" s="3">
        <v>111978005</v>
      </c>
      <c r="E153" s="2">
        <v>4.21</v>
      </c>
      <c r="F153" s="3">
        <v>68153068</v>
      </c>
      <c r="G153" s="3">
        <v>69826734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68153068</v>
      </c>
      <c r="O153" s="3">
        <v>69826734</v>
      </c>
      <c r="P153" s="2">
        <v>2.46</v>
      </c>
      <c r="Q153" s="3">
        <v>3432820</v>
      </c>
      <c r="R153" s="3">
        <v>3914527</v>
      </c>
      <c r="S153" s="3">
        <v>64720248</v>
      </c>
      <c r="T153" s="3">
        <v>65912207</v>
      </c>
      <c r="U153" s="3">
        <v>64720248</v>
      </c>
      <c r="V153" s="3">
        <v>65912207</v>
      </c>
      <c r="W153" s="3">
        <v>0</v>
      </c>
      <c r="X153" s="3">
        <v>0</v>
      </c>
      <c r="Y153" s="2">
        <v>5026</v>
      </c>
      <c r="Z153" s="2">
        <v>5126</v>
      </c>
      <c r="AA153" s="2">
        <v>1.99</v>
      </c>
      <c r="AB153" s="3">
        <v>7341879</v>
      </c>
      <c r="AC153" s="3">
        <v>7623122</v>
      </c>
      <c r="AD153" s="3">
        <v>4657209</v>
      </c>
      <c r="AE153" s="3">
        <v>5500000</v>
      </c>
      <c r="AF153" s="3">
        <v>6719907</v>
      </c>
      <c r="AG153" s="3">
        <v>4480066</v>
      </c>
      <c r="AH153" s="2">
        <v>6.25</v>
      </c>
      <c r="AI153" s="5">
        <v>4</v>
      </c>
    </row>
    <row r="154" spans="1:35" x14ac:dyDescent="0.3">
      <c r="A154" s="4" t="str">
        <f>"142500"</f>
        <v>142500</v>
      </c>
      <c r="B154" s="2" t="s">
        <v>153</v>
      </c>
      <c r="C154" s="3">
        <v>36667466</v>
      </c>
      <c r="D154" s="3">
        <v>35491482</v>
      </c>
      <c r="E154" s="2">
        <v>-3.21</v>
      </c>
      <c r="F154" s="3">
        <v>12356116</v>
      </c>
      <c r="G154" s="3">
        <v>12749523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12356116</v>
      </c>
      <c r="O154" s="3">
        <v>12749523</v>
      </c>
      <c r="P154" s="2">
        <v>3.18</v>
      </c>
      <c r="Q154" s="3">
        <v>425754</v>
      </c>
      <c r="R154" s="3">
        <v>584994</v>
      </c>
      <c r="S154" s="3">
        <v>12572637</v>
      </c>
      <c r="T154" s="3">
        <v>12749523</v>
      </c>
      <c r="U154" s="3">
        <v>11930362</v>
      </c>
      <c r="V154" s="3">
        <v>12164529</v>
      </c>
      <c r="W154" s="3">
        <v>642275</v>
      </c>
      <c r="X154" s="3">
        <v>584994</v>
      </c>
      <c r="Y154" s="2">
        <v>1711</v>
      </c>
      <c r="Z154" s="2">
        <v>1688</v>
      </c>
      <c r="AA154" s="2">
        <v>-1.34</v>
      </c>
      <c r="AB154" s="3">
        <v>1453590</v>
      </c>
      <c r="AC154" s="3">
        <v>1453590</v>
      </c>
      <c r="AD154" s="3">
        <v>1066937</v>
      </c>
      <c r="AE154" s="3">
        <v>1066937</v>
      </c>
      <c r="AF154" s="3">
        <v>3616943</v>
      </c>
      <c r="AG154" s="3">
        <v>3616943</v>
      </c>
      <c r="AH154" s="2">
        <v>9.86</v>
      </c>
      <c r="AI154" s="5">
        <v>10.19</v>
      </c>
    </row>
    <row r="155" spans="1:35" x14ac:dyDescent="0.3">
      <c r="A155" s="4" t="str">
        <f>"142601"</f>
        <v>142601</v>
      </c>
      <c r="B155" s="2" t="s">
        <v>154</v>
      </c>
      <c r="C155" s="3">
        <v>169079474</v>
      </c>
      <c r="D155" s="3">
        <v>172426830</v>
      </c>
      <c r="E155" s="2">
        <v>1.98</v>
      </c>
      <c r="F155" s="3">
        <v>88265168</v>
      </c>
      <c r="G155" s="3">
        <v>89998791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88265168</v>
      </c>
      <c r="O155" s="3">
        <v>89998791</v>
      </c>
      <c r="P155" s="2">
        <v>1.96</v>
      </c>
      <c r="Q155" s="3">
        <v>859374</v>
      </c>
      <c r="R155" s="3">
        <v>927824</v>
      </c>
      <c r="S155" s="3">
        <v>87405794</v>
      </c>
      <c r="T155" s="3">
        <v>89070967</v>
      </c>
      <c r="U155" s="3">
        <v>87405794</v>
      </c>
      <c r="V155" s="3">
        <v>89070967</v>
      </c>
      <c r="W155" s="3">
        <v>0</v>
      </c>
      <c r="X155" s="3">
        <v>0</v>
      </c>
      <c r="Y155" s="2">
        <v>6850</v>
      </c>
      <c r="Z155" s="2">
        <v>6750</v>
      </c>
      <c r="AA155" s="2">
        <v>-1.46</v>
      </c>
      <c r="AB155" s="3">
        <v>23015535</v>
      </c>
      <c r="AC155" s="3">
        <v>24500000</v>
      </c>
      <c r="AD155" s="3">
        <v>5800000</v>
      </c>
      <c r="AE155" s="3">
        <v>5800000</v>
      </c>
      <c r="AF155" s="3">
        <v>6765258</v>
      </c>
      <c r="AG155" s="3">
        <v>6897073</v>
      </c>
      <c r="AH155" s="2">
        <v>4</v>
      </c>
      <c r="AI155" s="5">
        <v>4</v>
      </c>
    </row>
    <row r="156" spans="1:35" x14ac:dyDescent="0.3">
      <c r="A156" s="4" t="str">
        <f>"142801"</f>
        <v>142801</v>
      </c>
      <c r="B156" s="2" t="s">
        <v>155</v>
      </c>
      <c r="C156" s="3">
        <v>129564636</v>
      </c>
      <c r="D156" s="3">
        <v>134641980</v>
      </c>
      <c r="E156" s="2">
        <v>3.92</v>
      </c>
      <c r="F156" s="3">
        <v>64326002</v>
      </c>
      <c r="G156" s="3">
        <v>64763419</v>
      </c>
      <c r="H156" s="3"/>
      <c r="I156" s="3"/>
      <c r="J156" s="3"/>
      <c r="K156" s="3"/>
      <c r="L156" s="3"/>
      <c r="M156" s="3"/>
      <c r="N156" s="3">
        <v>64326002</v>
      </c>
      <c r="O156" s="3">
        <v>64763419</v>
      </c>
      <c r="P156" s="2">
        <v>0.68</v>
      </c>
      <c r="Q156" s="3">
        <v>2252718</v>
      </c>
      <c r="R156" s="3">
        <v>3158994</v>
      </c>
      <c r="S156" s="3">
        <v>62073284</v>
      </c>
      <c r="T156" s="3">
        <v>63457861</v>
      </c>
      <c r="U156" s="3">
        <v>62073284</v>
      </c>
      <c r="V156" s="3">
        <v>61604425</v>
      </c>
      <c r="W156" s="3">
        <v>0</v>
      </c>
      <c r="X156" s="3">
        <v>1853436</v>
      </c>
      <c r="Y156" s="2">
        <v>6177</v>
      </c>
      <c r="Z156" s="2">
        <v>5957</v>
      </c>
      <c r="AA156" s="2">
        <v>-3.56</v>
      </c>
      <c r="AB156" s="3">
        <v>18070326</v>
      </c>
      <c r="AC156" s="3">
        <v>15554896</v>
      </c>
      <c r="AD156" s="3">
        <v>2333873</v>
      </c>
      <c r="AE156" s="3">
        <v>2912075</v>
      </c>
      <c r="AF156" s="3">
        <v>5183030</v>
      </c>
      <c r="AG156" s="3">
        <v>5385679</v>
      </c>
      <c r="AH156" s="2">
        <v>4</v>
      </c>
      <c r="AI156" s="5">
        <v>4</v>
      </c>
    </row>
    <row r="157" spans="1:35" x14ac:dyDescent="0.3">
      <c r="A157" s="4" t="str">
        <f>"150203"</f>
        <v>150203</v>
      </c>
      <c r="B157" s="2" t="s">
        <v>156</v>
      </c>
      <c r="C157" s="3">
        <v>7512014</v>
      </c>
      <c r="D157" s="3">
        <v>7483444</v>
      </c>
      <c r="E157" s="2">
        <v>-0.38</v>
      </c>
      <c r="F157" s="3">
        <v>1690560</v>
      </c>
      <c r="G157" s="3">
        <v>1723864</v>
      </c>
      <c r="H157" s="3"/>
      <c r="I157" s="3"/>
      <c r="J157" s="3"/>
      <c r="K157" s="3"/>
      <c r="L157" s="3"/>
      <c r="M157" s="3"/>
      <c r="N157" s="3">
        <v>1690560</v>
      </c>
      <c r="O157" s="3">
        <v>1723864</v>
      </c>
      <c r="P157" s="2">
        <v>1.97</v>
      </c>
      <c r="Q157" s="3">
        <v>35419</v>
      </c>
      <c r="R157" s="3">
        <v>72470</v>
      </c>
      <c r="S157" s="3">
        <v>1718594</v>
      </c>
      <c r="T157" s="3">
        <v>1775460</v>
      </c>
      <c r="U157" s="3">
        <v>1655141</v>
      </c>
      <c r="V157" s="3">
        <v>1651394</v>
      </c>
      <c r="W157" s="3">
        <v>63453</v>
      </c>
      <c r="X157" s="3">
        <v>124066</v>
      </c>
      <c r="Y157" s="2">
        <v>314</v>
      </c>
      <c r="Z157" s="2">
        <v>321</v>
      </c>
      <c r="AA157" s="2">
        <v>2.23</v>
      </c>
      <c r="AB157" s="3">
        <v>65007</v>
      </c>
      <c r="AC157" s="3">
        <v>30000</v>
      </c>
      <c r="AD157" s="3">
        <v>206556</v>
      </c>
      <c r="AE157" s="3">
        <v>102733</v>
      </c>
      <c r="AF157" s="3">
        <v>0</v>
      </c>
      <c r="AG157" s="3">
        <v>200000</v>
      </c>
      <c r="AH157" s="2">
        <v>0</v>
      </c>
      <c r="AI157" s="5">
        <v>2.67</v>
      </c>
    </row>
    <row r="158" spans="1:35" x14ac:dyDescent="0.3">
      <c r="A158" s="4" t="str">
        <f>"150601"</f>
        <v>150601</v>
      </c>
      <c r="B158" s="2" t="s">
        <v>157</v>
      </c>
      <c r="C158" s="3">
        <v>6381471</v>
      </c>
      <c r="D158" s="3">
        <v>6785500</v>
      </c>
      <c r="E158" s="2">
        <v>6.33</v>
      </c>
      <c r="F158" s="3">
        <v>5289580</v>
      </c>
      <c r="G158" s="3">
        <v>5695040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5289580</v>
      </c>
      <c r="O158" s="3">
        <v>5695040</v>
      </c>
      <c r="P158" s="2">
        <v>7.67</v>
      </c>
      <c r="Q158" s="3">
        <v>49670</v>
      </c>
      <c r="R158" s="3">
        <v>379434</v>
      </c>
      <c r="S158" s="3">
        <v>5239910</v>
      </c>
      <c r="T158" s="3">
        <v>5315606</v>
      </c>
      <c r="U158" s="3">
        <v>5239910</v>
      </c>
      <c r="V158" s="3">
        <v>5315606</v>
      </c>
      <c r="W158" s="3">
        <v>0</v>
      </c>
      <c r="X158" s="3">
        <v>0</v>
      </c>
      <c r="Y158" s="2">
        <v>166</v>
      </c>
      <c r="Z158" s="2">
        <v>160</v>
      </c>
      <c r="AA158" s="2">
        <v>-3.61</v>
      </c>
      <c r="AB158" s="3">
        <v>750403</v>
      </c>
      <c r="AC158" s="3">
        <v>695400</v>
      </c>
      <c r="AD158" s="3">
        <v>328116</v>
      </c>
      <c r="AE158" s="3">
        <v>265000</v>
      </c>
      <c r="AF158" s="3">
        <v>375260</v>
      </c>
      <c r="AG158" s="3">
        <v>275000</v>
      </c>
      <c r="AH158" s="2">
        <v>5.88</v>
      </c>
      <c r="AI158" s="5">
        <v>4.05</v>
      </c>
    </row>
    <row r="159" spans="1:35" x14ac:dyDescent="0.3">
      <c r="A159" s="4" t="str">
        <f>"150801"</f>
        <v>150801</v>
      </c>
      <c r="B159" s="2" t="s">
        <v>158</v>
      </c>
      <c r="C159" s="3">
        <v>5627629</v>
      </c>
      <c r="D159" s="3">
        <v>5819196</v>
      </c>
      <c r="E159" s="2">
        <v>3.4</v>
      </c>
      <c r="F159" s="3">
        <v>3698430</v>
      </c>
      <c r="G159" s="3">
        <v>3718511</v>
      </c>
      <c r="H159" s="3"/>
      <c r="I159" s="3"/>
      <c r="J159" s="3"/>
      <c r="K159" s="3"/>
      <c r="L159" s="3"/>
      <c r="M159" s="3"/>
      <c r="N159" s="3">
        <v>3698430</v>
      </c>
      <c r="O159" s="3">
        <v>3718511</v>
      </c>
      <c r="P159" s="2">
        <v>0.54</v>
      </c>
      <c r="Q159" s="3">
        <v>193350</v>
      </c>
      <c r="R159" s="3">
        <v>164328</v>
      </c>
      <c r="S159" s="3">
        <v>3505080</v>
      </c>
      <c r="T159" s="3">
        <v>3554183</v>
      </c>
      <c r="U159" s="3">
        <v>3505080</v>
      </c>
      <c r="V159" s="3">
        <v>3554183</v>
      </c>
      <c r="W159" s="3">
        <v>0</v>
      </c>
      <c r="X159" s="3">
        <v>0</v>
      </c>
      <c r="Y159" s="2">
        <v>104</v>
      </c>
      <c r="Z159" s="2">
        <v>118</v>
      </c>
      <c r="AA159" s="2">
        <v>13.46</v>
      </c>
      <c r="AB159" s="3">
        <v>983715</v>
      </c>
      <c r="AC159" s="3">
        <v>898456</v>
      </c>
      <c r="AD159" s="3">
        <v>441471</v>
      </c>
      <c r="AE159" s="3">
        <v>460000</v>
      </c>
      <c r="AF159" s="3">
        <v>1958059</v>
      </c>
      <c r="AG159" s="3">
        <v>1333059</v>
      </c>
      <c r="AH159" s="2">
        <v>34.79</v>
      </c>
      <c r="AI159" s="5">
        <v>22.91</v>
      </c>
    </row>
    <row r="160" spans="1:35" x14ac:dyDescent="0.3">
      <c r="A160" s="4" t="str">
        <f>"150901"</f>
        <v>150901</v>
      </c>
      <c r="B160" s="2" t="s">
        <v>159</v>
      </c>
      <c r="C160" s="3">
        <v>17284701</v>
      </c>
      <c r="D160" s="3">
        <v>17801480</v>
      </c>
      <c r="E160" s="2">
        <v>2.99</v>
      </c>
      <c r="F160" s="3">
        <v>4002041</v>
      </c>
      <c r="G160" s="3">
        <v>4082000</v>
      </c>
      <c r="H160" s="3"/>
      <c r="I160" s="3"/>
      <c r="J160" s="3"/>
      <c r="K160" s="3"/>
      <c r="L160" s="3"/>
      <c r="M160" s="3"/>
      <c r="N160" s="3">
        <v>4002041</v>
      </c>
      <c r="O160" s="3">
        <v>4082000</v>
      </c>
      <c r="P160" s="2">
        <v>2</v>
      </c>
      <c r="Q160" s="3">
        <v>120548</v>
      </c>
      <c r="R160" s="3">
        <v>165747</v>
      </c>
      <c r="S160" s="3">
        <v>3881493</v>
      </c>
      <c r="T160" s="3">
        <v>3923476</v>
      </c>
      <c r="U160" s="3">
        <v>3881493</v>
      </c>
      <c r="V160" s="3">
        <v>3916253</v>
      </c>
      <c r="W160" s="3">
        <v>0</v>
      </c>
      <c r="X160" s="3">
        <v>7223</v>
      </c>
      <c r="Y160" s="2">
        <v>695</v>
      </c>
      <c r="Z160" s="2">
        <v>702</v>
      </c>
      <c r="AA160" s="2">
        <v>1.01</v>
      </c>
      <c r="AB160" s="3">
        <v>1130188</v>
      </c>
      <c r="AC160" s="3">
        <v>1035188</v>
      </c>
      <c r="AD160" s="3">
        <v>554850</v>
      </c>
      <c r="AE160" s="3">
        <v>498212</v>
      </c>
      <c r="AF160" s="3">
        <v>2040808</v>
      </c>
      <c r="AG160" s="3">
        <v>1542596</v>
      </c>
      <c r="AH160" s="2">
        <v>11.81</v>
      </c>
      <c r="AI160" s="5">
        <v>8.67</v>
      </c>
    </row>
    <row r="161" spans="1:35" x14ac:dyDescent="0.3">
      <c r="A161" s="4" t="str">
        <f>"151001"</f>
        <v>151001</v>
      </c>
      <c r="B161" s="2" t="s">
        <v>160</v>
      </c>
      <c r="C161" s="3">
        <v>6490764</v>
      </c>
      <c r="D161" s="3">
        <v>6547936</v>
      </c>
      <c r="E161" s="2">
        <v>0.88</v>
      </c>
      <c r="F161" s="3">
        <v>4381899</v>
      </c>
      <c r="G161" s="3">
        <v>4436605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4381899</v>
      </c>
      <c r="O161" s="3">
        <v>4436605</v>
      </c>
      <c r="P161" s="2">
        <v>1.25</v>
      </c>
      <c r="Q161" s="3">
        <v>191171</v>
      </c>
      <c r="R161" s="3">
        <v>194152</v>
      </c>
      <c r="S161" s="3">
        <v>4386529</v>
      </c>
      <c r="T161" s="3">
        <v>4242453</v>
      </c>
      <c r="U161" s="3">
        <v>4190728</v>
      </c>
      <c r="V161" s="3">
        <v>4242453</v>
      </c>
      <c r="W161" s="3">
        <v>195801</v>
      </c>
      <c r="X161" s="3">
        <v>0</v>
      </c>
      <c r="Y161" s="2">
        <v>75</v>
      </c>
      <c r="Z161" s="2">
        <v>70</v>
      </c>
      <c r="AA161" s="2">
        <v>-6.67</v>
      </c>
      <c r="AB161" s="3">
        <v>2762052</v>
      </c>
      <c r="AC161" s="3">
        <v>3336742</v>
      </c>
      <c r="AD161" s="3">
        <v>950000</v>
      </c>
      <c r="AE161" s="3">
        <v>950000</v>
      </c>
      <c r="AF161" s="3">
        <v>1812052</v>
      </c>
      <c r="AG161" s="3">
        <v>2386742</v>
      </c>
      <c r="AH161" s="2">
        <v>27.92</v>
      </c>
      <c r="AI161" s="5">
        <v>36.450000000000003</v>
      </c>
    </row>
    <row r="162" spans="1:35" x14ac:dyDescent="0.3">
      <c r="A162" s="4" t="str">
        <f>"151102"</f>
        <v>151102</v>
      </c>
      <c r="B162" s="2" t="s">
        <v>161</v>
      </c>
      <c r="C162" s="3">
        <v>19978464</v>
      </c>
      <c r="D162" s="3">
        <v>20731143</v>
      </c>
      <c r="E162" s="2">
        <v>3.77</v>
      </c>
      <c r="F162" s="3">
        <v>16710000</v>
      </c>
      <c r="G162" s="3">
        <v>16710000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16710000</v>
      </c>
      <c r="O162" s="3">
        <v>16710000</v>
      </c>
      <c r="P162" s="2">
        <v>0</v>
      </c>
      <c r="Q162" s="3">
        <v>1583467</v>
      </c>
      <c r="R162" s="3">
        <v>1560611</v>
      </c>
      <c r="S162" s="3">
        <v>15311916</v>
      </c>
      <c r="T162" s="3">
        <v>15430957</v>
      </c>
      <c r="U162" s="3">
        <v>15126533</v>
      </c>
      <c r="V162" s="3">
        <v>15149389</v>
      </c>
      <c r="W162" s="3">
        <v>185383</v>
      </c>
      <c r="X162" s="3">
        <v>281568</v>
      </c>
      <c r="Y162" s="2">
        <v>605</v>
      </c>
      <c r="Z162" s="2">
        <v>605</v>
      </c>
      <c r="AA162" s="2">
        <v>0</v>
      </c>
      <c r="AB162" s="3">
        <v>2284485</v>
      </c>
      <c r="AC162" s="3">
        <v>2284485</v>
      </c>
      <c r="AD162" s="3">
        <v>0</v>
      </c>
      <c r="AE162" s="3">
        <v>0</v>
      </c>
      <c r="AF162" s="3">
        <v>2384224</v>
      </c>
      <c r="AG162" s="3">
        <v>2384224</v>
      </c>
      <c r="AH162" s="2">
        <v>11.93</v>
      </c>
      <c r="AI162" s="5">
        <v>11.5</v>
      </c>
    </row>
    <row r="163" spans="1:35" x14ac:dyDescent="0.3">
      <c r="A163" s="4" t="str">
        <f>"151401"</f>
        <v>151401</v>
      </c>
      <c r="B163" s="2" t="s">
        <v>162</v>
      </c>
      <c r="C163" s="3">
        <v>8211600</v>
      </c>
      <c r="D163" s="3">
        <v>8459937</v>
      </c>
      <c r="E163" s="2">
        <v>3.02</v>
      </c>
      <c r="F163" s="3">
        <v>6638271</v>
      </c>
      <c r="G163" s="3">
        <v>6772858</v>
      </c>
      <c r="H163" s="3"/>
      <c r="I163" s="3"/>
      <c r="J163" s="3"/>
      <c r="K163" s="3"/>
      <c r="L163" s="3"/>
      <c r="M163" s="3"/>
      <c r="N163" s="3">
        <v>6638271</v>
      </c>
      <c r="O163" s="3">
        <v>6772858</v>
      </c>
      <c r="P163" s="2">
        <v>2.0299999999999998</v>
      </c>
      <c r="Q163" s="3">
        <v>882628</v>
      </c>
      <c r="R163" s="3">
        <v>920173</v>
      </c>
      <c r="S163" s="3">
        <v>5755643</v>
      </c>
      <c r="T163" s="3">
        <v>5852685</v>
      </c>
      <c r="U163" s="3">
        <v>5755643</v>
      </c>
      <c r="V163" s="3">
        <v>5852685</v>
      </c>
      <c r="W163" s="3">
        <v>0</v>
      </c>
      <c r="X163" s="3">
        <v>0</v>
      </c>
      <c r="Y163" s="2">
        <v>265</v>
      </c>
      <c r="Z163" s="2">
        <v>240</v>
      </c>
      <c r="AA163" s="2">
        <v>-9.43</v>
      </c>
      <c r="AB163" s="3">
        <v>922798</v>
      </c>
      <c r="AC163" s="3">
        <v>893124</v>
      </c>
      <c r="AD163" s="3">
        <v>428697</v>
      </c>
      <c r="AE163" s="3">
        <v>579820</v>
      </c>
      <c r="AF163" s="3">
        <v>1198917</v>
      </c>
      <c r="AG163" s="3">
        <v>469097</v>
      </c>
      <c r="AH163" s="2">
        <v>14.6</v>
      </c>
      <c r="AI163" s="5">
        <v>5.54</v>
      </c>
    </row>
    <row r="164" spans="1:35" x14ac:dyDescent="0.3">
      <c r="A164" s="4" t="str">
        <f>"151501"</f>
        <v>151501</v>
      </c>
      <c r="B164" s="2" t="s">
        <v>163</v>
      </c>
      <c r="C164" s="3">
        <v>22398990</v>
      </c>
      <c r="D164" s="3">
        <v>21561191</v>
      </c>
      <c r="E164" s="2">
        <v>-3.74</v>
      </c>
      <c r="F164" s="3">
        <v>12469250</v>
      </c>
      <c r="G164" s="3">
        <v>12420922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12469250</v>
      </c>
      <c r="O164" s="3">
        <v>12420922</v>
      </c>
      <c r="P164" s="2">
        <v>-0.39</v>
      </c>
      <c r="Q164" s="3">
        <v>1929633</v>
      </c>
      <c r="R164" s="3">
        <v>1706226</v>
      </c>
      <c r="S164" s="3">
        <v>10539617</v>
      </c>
      <c r="T164" s="3">
        <v>10714696</v>
      </c>
      <c r="U164" s="3">
        <v>10539617</v>
      </c>
      <c r="V164" s="3">
        <v>10714696</v>
      </c>
      <c r="W164" s="3">
        <v>0</v>
      </c>
      <c r="X164" s="3">
        <v>0</v>
      </c>
      <c r="Y164" s="2">
        <v>722</v>
      </c>
      <c r="Z164" s="2">
        <v>726</v>
      </c>
      <c r="AA164" s="2">
        <v>0.55000000000000004</v>
      </c>
      <c r="AB164" s="3">
        <v>35754</v>
      </c>
      <c r="AC164" s="3">
        <v>32895</v>
      </c>
      <c r="AD164" s="3">
        <v>500000</v>
      </c>
      <c r="AE164" s="3">
        <v>250000</v>
      </c>
      <c r="AF164" s="3">
        <v>869968</v>
      </c>
      <c r="AG164" s="3">
        <v>619968</v>
      </c>
      <c r="AH164" s="2">
        <v>3.88</v>
      </c>
      <c r="AI164" s="5">
        <v>2.88</v>
      </c>
    </row>
    <row r="165" spans="1:35" x14ac:dyDescent="0.3">
      <c r="A165" s="4" t="str">
        <f>"151701"</f>
        <v>151701</v>
      </c>
      <c r="B165" s="2" t="s">
        <v>164</v>
      </c>
      <c r="C165" s="3">
        <v>9656491</v>
      </c>
      <c r="D165" s="3">
        <v>10114584</v>
      </c>
      <c r="E165" s="2">
        <v>4.74</v>
      </c>
      <c r="F165" s="3">
        <v>5622693</v>
      </c>
      <c r="G165" s="3">
        <v>5709719</v>
      </c>
      <c r="H165" s="3"/>
      <c r="I165" s="3"/>
      <c r="J165" s="3"/>
      <c r="K165" s="3"/>
      <c r="L165" s="3"/>
      <c r="M165" s="3"/>
      <c r="N165" s="3">
        <v>5622693</v>
      </c>
      <c r="O165" s="3">
        <v>5709719</v>
      </c>
      <c r="P165" s="2">
        <v>1.55</v>
      </c>
      <c r="Q165" s="3">
        <v>664094</v>
      </c>
      <c r="R165" s="3">
        <v>682195</v>
      </c>
      <c r="S165" s="3">
        <v>4958599</v>
      </c>
      <c r="T165" s="3">
        <v>5027524</v>
      </c>
      <c r="U165" s="3">
        <v>4958599</v>
      </c>
      <c r="V165" s="3">
        <v>5027524</v>
      </c>
      <c r="W165" s="3">
        <v>0</v>
      </c>
      <c r="X165" s="3">
        <v>0</v>
      </c>
      <c r="Y165" s="2">
        <v>256</v>
      </c>
      <c r="Z165" s="2">
        <v>252</v>
      </c>
      <c r="AA165" s="2">
        <v>-1.56</v>
      </c>
      <c r="AB165" s="3">
        <v>1186485</v>
      </c>
      <c r="AC165" s="3">
        <v>1177303</v>
      </c>
      <c r="AD165" s="3">
        <v>1242112</v>
      </c>
      <c r="AE165" s="3">
        <v>1253899</v>
      </c>
      <c r="AF165" s="3">
        <v>767920</v>
      </c>
      <c r="AG165" s="3">
        <v>1107110</v>
      </c>
      <c r="AH165" s="2">
        <v>7.95</v>
      </c>
      <c r="AI165" s="5">
        <v>10.95</v>
      </c>
    </row>
    <row r="166" spans="1:35" x14ac:dyDescent="0.3">
      <c r="A166" s="4" t="str">
        <f>"151801"</f>
        <v>151801</v>
      </c>
      <c r="B166" s="2" t="s">
        <v>165</v>
      </c>
      <c r="C166" s="3">
        <v>15211449</v>
      </c>
      <c r="D166" s="3">
        <v>15118683</v>
      </c>
      <c r="E166" s="2">
        <v>-0.61</v>
      </c>
      <c r="F166" s="3">
        <v>7594433</v>
      </c>
      <c r="G166" s="3">
        <v>7669235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7594433</v>
      </c>
      <c r="O166" s="3">
        <v>7669235</v>
      </c>
      <c r="P166" s="2">
        <v>0.98</v>
      </c>
      <c r="Q166" s="3">
        <v>22940</v>
      </c>
      <c r="R166" s="3">
        <v>0</v>
      </c>
      <c r="S166" s="3">
        <v>7571493</v>
      </c>
      <c r="T166" s="3">
        <v>7669235</v>
      </c>
      <c r="U166" s="3">
        <v>7571493</v>
      </c>
      <c r="V166" s="3">
        <v>7669235</v>
      </c>
      <c r="W166" s="3">
        <v>0</v>
      </c>
      <c r="X166" s="3">
        <v>0</v>
      </c>
      <c r="Y166" s="2">
        <v>432</v>
      </c>
      <c r="Z166" s="2">
        <v>414</v>
      </c>
      <c r="AA166" s="2">
        <v>-4.17</v>
      </c>
      <c r="AB166" s="3">
        <v>3983685</v>
      </c>
      <c r="AC166" s="3">
        <v>4999042</v>
      </c>
      <c r="AD166" s="3">
        <v>300000</v>
      </c>
      <c r="AE166" s="3">
        <v>0</v>
      </c>
      <c r="AF166" s="3">
        <v>1782050</v>
      </c>
      <c r="AG166" s="3">
        <v>1689303</v>
      </c>
      <c r="AH166" s="2">
        <v>11.72</v>
      </c>
      <c r="AI166" s="5">
        <v>11.17</v>
      </c>
    </row>
    <row r="167" spans="1:35" x14ac:dyDescent="0.3">
      <c r="A167" s="4" t="str">
        <f>"160101"</f>
        <v>160101</v>
      </c>
      <c r="B167" s="2" t="s">
        <v>166</v>
      </c>
      <c r="C167" s="3">
        <v>19405951</v>
      </c>
      <c r="D167" s="3">
        <v>20549718</v>
      </c>
      <c r="E167" s="2">
        <v>5.89</v>
      </c>
      <c r="F167" s="3">
        <v>8889938</v>
      </c>
      <c r="G167" s="3">
        <v>9000168</v>
      </c>
      <c r="H167" s="3"/>
      <c r="I167" s="3"/>
      <c r="J167" s="3"/>
      <c r="K167" s="3"/>
      <c r="L167" s="3"/>
      <c r="M167" s="3"/>
      <c r="N167" s="3">
        <v>8889938</v>
      </c>
      <c r="O167" s="3">
        <v>9000168</v>
      </c>
      <c r="P167" s="2">
        <v>1.24</v>
      </c>
      <c r="Q167" s="3">
        <v>583046</v>
      </c>
      <c r="R167" s="3">
        <v>565131</v>
      </c>
      <c r="S167" s="3">
        <v>8306892</v>
      </c>
      <c r="T167" s="3">
        <v>8435037</v>
      </c>
      <c r="U167" s="3">
        <v>8306892</v>
      </c>
      <c r="V167" s="3">
        <v>8435037</v>
      </c>
      <c r="W167" s="3">
        <v>0</v>
      </c>
      <c r="X167" s="3">
        <v>0</v>
      </c>
      <c r="Y167" s="2">
        <v>740</v>
      </c>
      <c r="Z167" s="2">
        <v>756</v>
      </c>
      <c r="AA167" s="2">
        <v>2.16</v>
      </c>
      <c r="AB167" s="3">
        <v>977535</v>
      </c>
      <c r="AC167" s="3">
        <v>563000</v>
      </c>
      <c r="AD167" s="3">
        <v>200000</v>
      </c>
      <c r="AE167" s="3">
        <v>350000</v>
      </c>
      <c r="AF167" s="3">
        <v>590729</v>
      </c>
      <c r="AG167" s="3">
        <v>825000</v>
      </c>
      <c r="AH167" s="2">
        <v>3.04</v>
      </c>
      <c r="AI167" s="5">
        <v>4.01</v>
      </c>
    </row>
    <row r="168" spans="1:35" x14ac:dyDescent="0.3">
      <c r="A168" s="4" t="str">
        <f>"160801"</f>
        <v>160801</v>
      </c>
      <c r="B168" s="2" t="s">
        <v>167</v>
      </c>
      <c r="C168" s="3">
        <v>13773040</v>
      </c>
      <c r="D168" s="3">
        <v>13725302</v>
      </c>
      <c r="E168" s="2">
        <v>-0.35</v>
      </c>
      <c r="F168" s="3">
        <v>2908840</v>
      </c>
      <c r="G168" s="3">
        <v>3007830</v>
      </c>
      <c r="H168" s="3"/>
      <c r="I168" s="3"/>
      <c r="J168" s="3"/>
      <c r="K168" s="3"/>
      <c r="L168" s="3"/>
      <c r="M168" s="3"/>
      <c r="N168" s="3">
        <v>2908840</v>
      </c>
      <c r="O168" s="3">
        <v>3007830</v>
      </c>
      <c r="P168" s="2">
        <v>3.4</v>
      </c>
      <c r="Q168" s="3">
        <v>0</v>
      </c>
      <c r="R168" s="3">
        <v>36398</v>
      </c>
      <c r="S168" s="3">
        <v>2908840</v>
      </c>
      <c r="T168" s="3">
        <v>2971432</v>
      </c>
      <c r="U168" s="3">
        <v>2908840</v>
      </c>
      <c r="V168" s="3">
        <v>2971432</v>
      </c>
      <c r="W168" s="3">
        <v>0</v>
      </c>
      <c r="X168" s="3">
        <v>0</v>
      </c>
      <c r="Y168" s="2">
        <v>521</v>
      </c>
      <c r="Z168" s="2">
        <v>510</v>
      </c>
      <c r="AA168" s="2">
        <v>-2.11</v>
      </c>
      <c r="AB168" s="3">
        <v>530495</v>
      </c>
      <c r="AC168" s="3">
        <v>530495</v>
      </c>
      <c r="AD168" s="3">
        <v>606126</v>
      </c>
      <c r="AE168" s="3">
        <v>735000</v>
      </c>
      <c r="AF168" s="3">
        <v>1534532</v>
      </c>
      <c r="AG168" s="3">
        <v>1405658</v>
      </c>
      <c r="AH168" s="2">
        <v>11.14</v>
      </c>
      <c r="AI168" s="5">
        <v>10.24</v>
      </c>
    </row>
    <row r="169" spans="1:35" x14ac:dyDescent="0.3">
      <c r="A169" s="4" t="str">
        <f>"161201"</f>
        <v>161201</v>
      </c>
      <c r="B169" s="2" t="s">
        <v>168</v>
      </c>
      <c r="C169" s="3">
        <v>34061334</v>
      </c>
      <c r="D169" s="3">
        <v>34339754</v>
      </c>
      <c r="E169" s="2">
        <v>0.82</v>
      </c>
      <c r="F169" s="3">
        <v>1977111</v>
      </c>
      <c r="G169" s="3">
        <v>1957568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1977111</v>
      </c>
      <c r="O169" s="3">
        <v>1957568</v>
      </c>
      <c r="P169" s="2">
        <v>-0.99</v>
      </c>
      <c r="Q169" s="3">
        <v>205270</v>
      </c>
      <c r="R169" s="3">
        <v>155127</v>
      </c>
      <c r="S169" s="3">
        <v>1771841</v>
      </c>
      <c r="T169" s="3">
        <v>1802441</v>
      </c>
      <c r="U169" s="3">
        <v>1771841</v>
      </c>
      <c r="V169" s="3">
        <v>1802441</v>
      </c>
      <c r="W169" s="3">
        <v>0</v>
      </c>
      <c r="X169" s="3">
        <v>0</v>
      </c>
      <c r="Y169" s="2">
        <v>1403</v>
      </c>
      <c r="Z169" s="2">
        <v>1400</v>
      </c>
      <c r="AA169" s="2">
        <v>-0.21</v>
      </c>
      <c r="AB169" s="3">
        <v>6650910</v>
      </c>
      <c r="AC169" s="3">
        <v>6750910</v>
      </c>
      <c r="AD169" s="3">
        <v>596786</v>
      </c>
      <c r="AE169" s="3">
        <v>557591</v>
      </c>
      <c r="AF169" s="3">
        <v>7405656</v>
      </c>
      <c r="AG169" s="3">
        <v>7500000</v>
      </c>
      <c r="AH169" s="2">
        <v>21.74</v>
      </c>
      <c r="AI169" s="5">
        <v>21.84</v>
      </c>
    </row>
    <row r="170" spans="1:35" x14ac:dyDescent="0.3">
      <c r="A170" s="4" t="str">
        <f>"161401"</f>
        <v>161401</v>
      </c>
      <c r="B170" s="2" t="s">
        <v>169</v>
      </c>
      <c r="C170" s="3">
        <v>33600000</v>
      </c>
      <c r="D170" s="3">
        <v>33700000</v>
      </c>
      <c r="E170" s="2">
        <v>0.3</v>
      </c>
      <c r="F170" s="3">
        <v>22340644</v>
      </c>
      <c r="G170" s="3">
        <v>22710715</v>
      </c>
      <c r="H170" s="3"/>
      <c r="I170" s="3"/>
      <c r="J170" s="3"/>
      <c r="K170" s="3"/>
      <c r="L170" s="3"/>
      <c r="M170" s="3"/>
      <c r="N170" s="3">
        <v>22340644</v>
      </c>
      <c r="O170" s="3">
        <v>22710715</v>
      </c>
      <c r="P170" s="2">
        <v>1.66</v>
      </c>
      <c r="Q170" s="3">
        <v>748760</v>
      </c>
      <c r="R170" s="3">
        <v>738344</v>
      </c>
      <c r="S170" s="3">
        <v>21591884</v>
      </c>
      <c r="T170" s="3">
        <v>21972371</v>
      </c>
      <c r="U170" s="3">
        <v>21591884</v>
      </c>
      <c r="V170" s="3">
        <v>21972371</v>
      </c>
      <c r="W170" s="3">
        <v>0</v>
      </c>
      <c r="X170" s="3">
        <v>0</v>
      </c>
      <c r="Y170" s="2">
        <v>1143</v>
      </c>
      <c r="Z170" s="2">
        <v>1099</v>
      </c>
      <c r="AA170" s="2">
        <v>-3.85</v>
      </c>
      <c r="AB170" s="3">
        <v>2018092</v>
      </c>
      <c r="AC170" s="3">
        <v>2333323</v>
      </c>
      <c r="AD170" s="3">
        <v>2004087</v>
      </c>
      <c r="AE170" s="3">
        <v>1316151</v>
      </c>
      <c r="AF170" s="3">
        <v>4054287</v>
      </c>
      <c r="AG170" s="3">
        <v>3723136</v>
      </c>
      <c r="AH170" s="2">
        <v>12.07</v>
      </c>
      <c r="AI170" s="5">
        <v>11.05</v>
      </c>
    </row>
    <row r="171" spans="1:35" x14ac:dyDescent="0.3">
      <c r="A171" s="4" t="str">
        <f>"161501"</f>
        <v>161501</v>
      </c>
      <c r="B171" s="2" t="s">
        <v>170</v>
      </c>
      <c r="C171" s="3">
        <v>54741717</v>
      </c>
      <c r="D171" s="3">
        <v>56171341</v>
      </c>
      <c r="E171" s="2">
        <v>2.61</v>
      </c>
      <c r="F171" s="3">
        <v>13741529</v>
      </c>
      <c r="G171" s="3">
        <v>13734713</v>
      </c>
      <c r="H171" s="3"/>
      <c r="I171" s="3"/>
      <c r="J171" s="3"/>
      <c r="K171" s="3"/>
      <c r="L171" s="3"/>
      <c r="M171" s="3"/>
      <c r="N171" s="3">
        <v>13741529</v>
      </c>
      <c r="O171" s="3">
        <v>13734713</v>
      </c>
      <c r="P171" s="2">
        <v>-0.05</v>
      </c>
      <c r="Q171" s="3">
        <v>329010</v>
      </c>
      <c r="R171" s="3">
        <v>427888</v>
      </c>
      <c r="S171" s="3">
        <v>13939655</v>
      </c>
      <c r="T171" s="3">
        <v>13306825</v>
      </c>
      <c r="U171" s="3">
        <v>13412519</v>
      </c>
      <c r="V171" s="3">
        <v>13306825</v>
      </c>
      <c r="W171" s="3">
        <v>527136</v>
      </c>
      <c r="X171" s="3">
        <v>0</v>
      </c>
      <c r="Y171" s="2">
        <v>2314</v>
      </c>
      <c r="Z171" s="2">
        <v>2244</v>
      </c>
      <c r="AA171" s="2">
        <v>-3.03</v>
      </c>
      <c r="AB171" s="3">
        <v>7370280</v>
      </c>
      <c r="AC171" s="3">
        <v>7935280</v>
      </c>
      <c r="AD171" s="3">
        <v>2035727</v>
      </c>
      <c r="AE171" s="3">
        <v>2103169</v>
      </c>
      <c r="AF171" s="3">
        <v>4594866</v>
      </c>
      <c r="AG171" s="3">
        <v>4951092</v>
      </c>
      <c r="AH171" s="2">
        <v>8.39</v>
      </c>
      <c r="AI171" s="5">
        <v>8.81</v>
      </c>
    </row>
    <row r="172" spans="1:35" x14ac:dyDescent="0.3">
      <c r="A172" s="4" t="str">
        <f>"161601"</f>
        <v>161601</v>
      </c>
      <c r="B172" s="2" t="s">
        <v>171</v>
      </c>
      <c r="C172" s="3">
        <v>19937226</v>
      </c>
      <c r="D172" s="3">
        <v>20321490</v>
      </c>
      <c r="E172" s="2">
        <v>1.93</v>
      </c>
      <c r="F172" s="3">
        <v>3224374</v>
      </c>
      <c r="G172" s="3">
        <v>3224374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3224374</v>
      </c>
      <c r="O172" s="3">
        <v>3224374</v>
      </c>
      <c r="P172" s="2">
        <v>0</v>
      </c>
      <c r="Q172" s="3">
        <v>0</v>
      </c>
      <c r="R172" s="3">
        <v>0</v>
      </c>
      <c r="S172" s="3">
        <v>3224374</v>
      </c>
      <c r="T172" s="3">
        <v>3120134</v>
      </c>
      <c r="U172" s="3">
        <v>3224374</v>
      </c>
      <c r="V172" s="3">
        <v>3224374</v>
      </c>
      <c r="W172" s="3">
        <v>0</v>
      </c>
      <c r="X172" s="3">
        <v>-104240</v>
      </c>
      <c r="Y172" s="2">
        <v>797</v>
      </c>
      <c r="Z172" s="2">
        <v>738</v>
      </c>
      <c r="AA172" s="2">
        <v>-7.4</v>
      </c>
      <c r="AB172" s="3">
        <v>694593</v>
      </c>
      <c r="AC172" s="3">
        <v>694593</v>
      </c>
      <c r="AD172" s="3">
        <v>803601</v>
      </c>
      <c r="AE172" s="3">
        <v>1266869</v>
      </c>
      <c r="AF172" s="3">
        <v>1414201</v>
      </c>
      <c r="AG172" s="3">
        <v>1970062</v>
      </c>
      <c r="AH172" s="2">
        <v>7.09</v>
      </c>
      <c r="AI172" s="5">
        <v>9.69</v>
      </c>
    </row>
    <row r="173" spans="1:35" x14ac:dyDescent="0.3">
      <c r="A173" s="4" t="str">
        <f>"161801"</f>
        <v>161801</v>
      </c>
      <c r="B173" s="2" t="s">
        <v>172</v>
      </c>
      <c r="C173" s="3">
        <v>9654896</v>
      </c>
      <c r="D173" s="3">
        <v>9708409</v>
      </c>
      <c r="E173" s="2">
        <v>0.55000000000000004</v>
      </c>
      <c r="F173" s="3">
        <v>2913477</v>
      </c>
      <c r="G173" s="3">
        <v>2935385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2913477</v>
      </c>
      <c r="O173" s="3">
        <v>2935385</v>
      </c>
      <c r="P173" s="2">
        <v>0.75</v>
      </c>
      <c r="Q173" s="3">
        <v>0</v>
      </c>
      <c r="R173" s="3">
        <v>0</v>
      </c>
      <c r="S173" s="3">
        <v>2913477</v>
      </c>
      <c r="T173" s="3">
        <v>2935385</v>
      </c>
      <c r="U173" s="3">
        <v>2913477</v>
      </c>
      <c r="V173" s="3">
        <v>2935385</v>
      </c>
      <c r="W173" s="3">
        <v>0</v>
      </c>
      <c r="X173" s="3">
        <v>0</v>
      </c>
      <c r="Y173" s="2">
        <v>262</v>
      </c>
      <c r="Z173" s="2">
        <v>256</v>
      </c>
      <c r="AA173" s="2">
        <v>-2.29</v>
      </c>
      <c r="AB173" s="3">
        <v>387688</v>
      </c>
      <c r="AC173" s="3">
        <v>387688</v>
      </c>
      <c r="AD173" s="3">
        <v>683496</v>
      </c>
      <c r="AE173" s="3">
        <v>612117</v>
      </c>
      <c r="AF173" s="3">
        <v>721582</v>
      </c>
      <c r="AG173" s="3">
        <v>1026274</v>
      </c>
      <c r="AH173" s="2">
        <v>7.47</v>
      </c>
      <c r="AI173" s="5">
        <v>10.57</v>
      </c>
    </row>
    <row r="174" spans="1:35" x14ac:dyDescent="0.3">
      <c r="A174" s="4" t="str">
        <f>"170301"</f>
        <v>170301</v>
      </c>
      <c r="B174" s="2" t="s">
        <v>173</v>
      </c>
      <c r="C174" s="3">
        <v>4580989</v>
      </c>
      <c r="D174" s="3">
        <v>4691512</v>
      </c>
      <c r="E174" s="2">
        <v>2.41</v>
      </c>
      <c r="F174" s="3">
        <v>2378378</v>
      </c>
      <c r="G174" s="3">
        <v>2461661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2378378</v>
      </c>
      <c r="O174" s="3">
        <v>2461661</v>
      </c>
      <c r="P174" s="2">
        <v>3.5</v>
      </c>
      <c r="Q174" s="3">
        <v>38415</v>
      </c>
      <c r="R174" s="3">
        <v>85453</v>
      </c>
      <c r="S174" s="3">
        <v>2339963</v>
      </c>
      <c r="T174" s="3">
        <v>2376208</v>
      </c>
      <c r="U174" s="3">
        <v>2339963</v>
      </c>
      <c r="V174" s="3">
        <v>2376208</v>
      </c>
      <c r="W174" s="3">
        <v>0</v>
      </c>
      <c r="X174" s="3">
        <v>0</v>
      </c>
      <c r="Y174" s="2">
        <v>117</v>
      </c>
      <c r="Z174" s="2">
        <v>125</v>
      </c>
      <c r="AA174" s="2">
        <v>6.84</v>
      </c>
      <c r="AB174" s="3">
        <v>397537</v>
      </c>
      <c r="AC174" s="3">
        <v>287537</v>
      </c>
      <c r="AD174" s="3">
        <v>490000</v>
      </c>
      <c r="AE174" s="3">
        <v>482504</v>
      </c>
      <c r="AF174" s="3">
        <v>384492</v>
      </c>
      <c r="AG174" s="3">
        <v>384492</v>
      </c>
      <c r="AH174" s="2">
        <v>8.39</v>
      </c>
      <c r="AI174" s="5">
        <v>8.1999999999999993</v>
      </c>
    </row>
    <row r="175" spans="1:35" x14ac:dyDescent="0.3">
      <c r="A175" s="4" t="str">
        <f>"170500"</f>
        <v>170500</v>
      </c>
      <c r="B175" s="2" t="s">
        <v>174</v>
      </c>
      <c r="C175" s="3">
        <v>68194605</v>
      </c>
      <c r="D175" s="3">
        <v>67262883</v>
      </c>
      <c r="E175" s="2">
        <v>-1.37</v>
      </c>
      <c r="F175" s="3">
        <v>15317808</v>
      </c>
      <c r="G175" s="3">
        <v>15490354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15317808</v>
      </c>
      <c r="O175" s="3">
        <v>15490354</v>
      </c>
      <c r="P175" s="2">
        <v>1.1299999999999999</v>
      </c>
      <c r="Q175" s="3">
        <v>528065</v>
      </c>
      <c r="R175" s="3">
        <v>487528</v>
      </c>
      <c r="S175" s="3">
        <v>14870433</v>
      </c>
      <c r="T175" s="3">
        <v>15002826</v>
      </c>
      <c r="U175" s="3">
        <v>14789743</v>
      </c>
      <c r="V175" s="3">
        <v>15002826</v>
      </c>
      <c r="W175" s="3">
        <v>80690</v>
      </c>
      <c r="X175" s="3">
        <v>0</v>
      </c>
      <c r="Y175" s="2">
        <v>2652</v>
      </c>
      <c r="Z175" s="2">
        <v>2670</v>
      </c>
      <c r="AA175" s="2">
        <v>0.68</v>
      </c>
      <c r="AB175" s="3">
        <v>3270030</v>
      </c>
      <c r="AC175" s="3">
        <v>6270500</v>
      </c>
      <c r="AD175" s="3">
        <v>2566055</v>
      </c>
      <c r="AE175" s="3">
        <v>2046009</v>
      </c>
      <c r="AF175" s="3">
        <v>7955872</v>
      </c>
      <c r="AG175" s="3">
        <v>6455872</v>
      </c>
      <c r="AH175" s="2">
        <v>11.67</v>
      </c>
      <c r="AI175" s="5">
        <v>9.6</v>
      </c>
    </row>
    <row r="176" spans="1:35" x14ac:dyDescent="0.3">
      <c r="A176" s="4" t="str">
        <f>"170600"</f>
        <v>170600</v>
      </c>
      <c r="B176" s="2" t="s">
        <v>175</v>
      </c>
      <c r="C176" s="3">
        <v>38975289</v>
      </c>
      <c r="D176" s="3">
        <v>39967989</v>
      </c>
      <c r="E176" s="2">
        <v>2.5499999999999998</v>
      </c>
      <c r="F176" s="3">
        <v>10348596</v>
      </c>
      <c r="G176" s="3">
        <v>10741843</v>
      </c>
      <c r="H176" s="3"/>
      <c r="I176" s="3"/>
      <c r="J176" s="3"/>
      <c r="K176" s="3"/>
      <c r="L176" s="3"/>
      <c r="M176" s="3"/>
      <c r="N176" s="3">
        <v>10348596</v>
      </c>
      <c r="O176" s="3">
        <v>10741843</v>
      </c>
      <c r="P176" s="2">
        <v>3.8</v>
      </c>
      <c r="Q176" s="3">
        <v>599118</v>
      </c>
      <c r="R176" s="3">
        <v>791757</v>
      </c>
      <c r="S176" s="3">
        <v>9057393</v>
      </c>
      <c r="T176" s="3">
        <v>9951391</v>
      </c>
      <c r="U176" s="3">
        <v>9749478</v>
      </c>
      <c r="V176" s="3">
        <v>9950086</v>
      </c>
      <c r="W176" s="3">
        <v>-692085</v>
      </c>
      <c r="X176" s="3">
        <v>1305</v>
      </c>
      <c r="Y176" s="2">
        <v>1639</v>
      </c>
      <c r="Z176" s="2">
        <v>1533</v>
      </c>
      <c r="AA176" s="2">
        <v>-6.47</v>
      </c>
      <c r="AB176" s="3">
        <v>5971603</v>
      </c>
      <c r="AC176" s="3">
        <v>10847394</v>
      </c>
      <c r="AD176" s="3">
        <v>3383021</v>
      </c>
      <c r="AE176" s="3">
        <v>2914558</v>
      </c>
      <c r="AF176" s="3">
        <v>3021733</v>
      </c>
      <c r="AG176" s="3">
        <v>2589065</v>
      </c>
      <c r="AH176" s="2">
        <v>7.75</v>
      </c>
      <c r="AI176" s="5">
        <v>6.48</v>
      </c>
    </row>
    <row r="177" spans="1:35" x14ac:dyDescent="0.3">
      <c r="A177" s="4" t="str">
        <f>"170801"</f>
        <v>170801</v>
      </c>
      <c r="B177" s="2" t="s">
        <v>176</v>
      </c>
      <c r="C177" s="3">
        <v>20475736</v>
      </c>
      <c r="D177" s="3">
        <v>20216034</v>
      </c>
      <c r="E177" s="2">
        <v>-1.27</v>
      </c>
      <c r="F177" s="3">
        <v>7957329</v>
      </c>
      <c r="G177" s="3">
        <v>8133524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7957329</v>
      </c>
      <c r="O177" s="3">
        <v>8133524</v>
      </c>
      <c r="P177" s="2">
        <v>2.21</v>
      </c>
      <c r="Q177" s="3">
        <v>140500</v>
      </c>
      <c r="R177" s="3">
        <v>205243</v>
      </c>
      <c r="S177" s="3">
        <v>7815829</v>
      </c>
      <c r="T177" s="3">
        <v>7928281</v>
      </c>
      <c r="U177" s="3">
        <v>7816829</v>
      </c>
      <c r="V177" s="3">
        <v>7928281</v>
      </c>
      <c r="W177" s="3">
        <v>-1000</v>
      </c>
      <c r="X177" s="3">
        <v>0</v>
      </c>
      <c r="Y177" s="2">
        <v>922</v>
      </c>
      <c r="Z177" s="2">
        <v>895</v>
      </c>
      <c r="AA177" s="2">
        <v>-2.93</v>
      </c>
      <c r="AB177" s="3">
        <v>5359745</v>
      </c>
      <c r="AC177" s="3">
        <v>5187490</v>
      </c>
      <c r="AD177" s="3">
        <v>503054</v>
      </c>
      <c r="AE177" s="3">
        <v>0</v>
      </c>
      <c r="AF177" s="3">
        <v>983297</v>
      </c>
      <c r="AG177" s="3">
        <v>808641</v>
      </c>
      <c r="AH177" s="2">
        <v>4.8</v>
      </c>
      <c r="AI177" s="5">
        <v>4</v>
      </c>
    </row>
    <row r="178" spans="1:35" x14ac:dyDescent="0.3">
      <c r="A178" s="4" t="str">
        <f>"170901"</f>
        <v>170901</v>
      </c>
      <c r="B178" s="2" t="s">
        <v>177</v>
      </c>
      <c r="C178" s="3">
        <v>12273092</v>
      </c>
      <c r="D178" s="3">
        <v>12608690</v>
      </c>
      <c r="E178" s="2">
        <v>2.73</v>
      </c>
      <c r="F178" s="3">
        <v>6943217</v>
      </c>
      <c r="G178" s="3">
        <v>7149200</v>
      </c>
      <c r="H178" s="3"/>
      <c r="I178" s="3"/>
      <c r="J178" s="3"/>
      <c r="K178" s="3"/>
      <c r="L178" s="3"/>
      <c r="M178" s="3"/>
      <c r="N178" s="3">
        <v>6943217</v>
      </c>
      <c r="O178" s="3">
        <v>7149200</v>
      </c>
      <c r="P178" s="2">
        <v>2.97</v>
      </c>
      <c r="Q178" s="3">
        <v>245946</v>
      </c>
      <c r="R178" s="3">
        <v>447618</v>
      </c>
      <c r="S178" s="3">
        <v>6147611</v>
      </c>
      <c r="T178" s="3">
        <v>6830956</v>
      </c>
      <c r="U178" s="3">
        <v>6697271</v>
      </c>
      <c r="V178" s="3">
        <v>6701582</v>
      </c>
      <c r="W178" s="3">
        <v>-549660</v>
      </c>
      <c r="X178" s="3">
        <v>129374</v>
      </c>
      <c r="Y178" s="2">
        <v>501</v>
      </c>
      <c r="Z178" s="2">
        <v>490</v>
      </c>
      <c r="AA178" s="2">
        <v>-2.2000000000000002</v>
      </c>
      <c r="AB178" s="3">
        <v>6188461</v>
      </c>
      <c r="AC178" s="3">
        <v>6260461</v>
      </c>
      <c r="AD178" s="3">
        <v>222000</v>
      </c>
      <c r="AE178" s="3">
        <v>97000</v>
      </c>
      <c r="AF178" s="3">
        <v>1404755</v>
      </c>
      <c r="AG178" s="3">
        <v>1685165</v>
      </c>
      <c r="AH178" s="2">
        <v>11.45</v>
      </c>
      <c r="AI178" s="5">
        <v>13.37</v>
      </c>
    </row>
    <row r="179" spans="1:35" x14ac:dyDescent="0.3">
      <c r="A179" s="4" t="str">
        <f>"171102"</f>
        <v>171102</v>
      </c>
      <c r="B179" s="2" t="s">
        <v>178</v>
      </c>
      <c r="C179" s="3">
        <v>35894890</v>
      </c>
      <c r="D179" s="3">
        <v>38760750</v>
      </c>
      <c r="E179" s="2">
        <v>7.98</v>
      </c>
      <c r="F179" s="3">
        <v>16230000</v>
      </c>
      <c r="G179" s="3">
        <v>16230000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16230000</v>
      </c>
      <c r="O179" s="3">
        <v>16230000</v>
      </c>
      <c r="P179" s="2">
        <v>0</v>
      </c>
      <c r="Q179" s="3">
        <v>1479738</v>
      </c>
      <c r="R179" s="3">
        <v>2030509</v>
      </c>
      <c r="S179" s="3">
        <v>14880250</v>
      </c>
      <c r="T179" s="3">
        <v>14879087</v>
      </c>
      <c r="U179" s="3">
        <v>14750262</v>
      </c>
      <c r="V179" s="3">
        <v>14199491</v>
      </c>
      <c r="W179" s="3">
        <v>129988</v>
      </c>
      <c r="X179" s="3">
        <v>679596</v>
      </c>
      <c r="Y179" s="2">
        <v>1674</v>
      </c>
      <c r="Z179" s="2">
        <v>1700</v>
      </c>
      <c r="AA179" s="2">
        <v>1.55</v>
      </c>
      <c r="AB179" s="3">
        <v>2248301</v>
      </c>
      <c r="AC179" s="3">
        <v>2281319</v>
      </c>
      <c r="AD179" s="3">
        <v>1105547</v>
      </c>
      <c r="AE179" s="3">
        <v>1105547</v>
      </c>
      <c r="AF179" s="3">
        <v>1435771</v>
      </c>
      <c r="AG179" s="3">
        <v>1550000</v>
      </c>
      <c r="AH179" s="2">
        <v>4</v>
      </c>
      <c r="AI179" s="5">
        <v>4</v>
      </c>
    </row>
    <row r="180" spans="1:35" x14ac:dyDescent="0.3">
      <c r="A180" s="4" t="str">
        <f>"180202"</f>
        <v>180202</v>
      </c>
      <c r="B180" s="2" t="s">
        <v>179</v>
      </c>
      <c r="C180" s="3">
        <v>18540258</v>
      </c>
      <c r="D180" s="3">
        <v>19175475</v>
      </c>
      <c r="E180" s="2">
        <v>3.43</v>
      </c>
      <c r="F180" s="3">
        <v>6206990</v>
      </c>
      <c r="G180" s="3">
        <v>6206990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6206990</v>
      </c>
      <c r="O180" s="3">
        <v>6206990</v>
      </c>
      <c r="P180" s="2">
        <v>0</v>
      </c>
      <c r="Q180" s="3">
        <v>0</v>
      </c>
      <c r="R180" s="3">
        <v>0</v>
      </c>
      <c r="S180" s="3">
        <v>6321231</v>
      </c>
      <c r="T180" s="3">
        <v>6299043</v>
      </c>
      <c r="U180" s="3">
        <v>6206990</v>
      </c>
      <c r="V180" s="3">
        <v>6206990</v>
      </c>
      <c r="W180" s="3">
        <v>114241</v>
      </c>
      <c r="X180" s="3">
        <v>92053</v>
      </c>
      <c r="Y180" s="2">
        <v>830</v>
      </c>
      <c r="Z180" s="2">
        <v>826</v>
      </c>
      <c r="AA180" s="2">
        <v>-0.48</v>
      </c>
      <c r="AB180" s="3">
        <v>5329272</v>
      </c>
      <c r="AC180" s="3">
        <v>4526329</v>
      </c>
      <c r="AD180" s="3">
        <v>1206075</v>
      </c>
      <c r="AE180" s="3">
        <v>600000</v>
      </c>
      <c r="AF180" s="3">
        <v>657298</v>
      </c>
      <c r="AG180" s="3">
        <v>767000</v>
      </c>
      <c r="AH180" s="2">
        <v>3.55</v>
      </c>
      <c r="AI180" s="5">
        <v>4</v>
      </c>
    </row>
    <row r="181" spans="1:35" x14ac:dyDescent="0.3">
      <c r="A181" s="4" t="str">
        <f>"180300"</f>
        <v>180300</v>
      </c>
      <c r="B181" s="2" t="s">
        <v>180</v>
      </c>
      <c r="C181" s="3">
        <v>51470726</v>
      </c>
      <c r="D181" s="3">
        <v>52096661</v>
      </c>
      <c r="E181" s="2">
        <v>1.22</v>
      </c>
      <c r="F181" s="3">
        <v>19493958</v>
      </c>
      <c r="G181" s="3">
        <v>19493958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19493958</v>
      </c>
      <c r="O181" s="3">
        <v>19493958</v>
      </c>
      <c r="P181" s="2">
        <v>0</v>
      </c>
      <c r="Q181" s="3">
        <v>285253</v>
      </c>
      <c r="R181" s="3">
        <v>275897</v>
      </c>
      <c r="S181" s="3">
        <v>19208705</v>
      </c>
      <c r="T181" s="3">
        <v>19302327</v>
      </c>
      <c r="U181" s="3">
        <v>19208705</v>
      </c>
      <c r="V181" s="3">
        <v>19218061</v>
      </c>
      <c r="W181" s="3">
        <v>0</v>
      </c>
      <c r="X181" s="3">
        <v>84266</v>
      </c>
      <c r="Y181" s="2">
        <v>2344</v>
      </c>
      <c r="Z181" s="2">
        <v>2264</v>
      </c>
      <c r="AA181" s="2">
        <v>-3.41</v>
      </c>
      <c r="AB181" s="3">
        <v>8657006</v>
      </c>
      <c r="AC181" s="3">
        <v>8622422</v>
      </c>
      <c r="AD181" s="3">
        <v>1750000</v>
      </c>
      <c r="AE181" s="3">
        <v>2250000</v>
      </c>
      <c r="AF181" s="3">
        <v>2058829</v>
      </c>
      <c r="AG181" s="3">
        <v>2083866</v>
      </c>
      <c r="AH181" s="2">
        <v>4</v>
      </c>
      <c r="AI181" s="5">
        <v>4</v>
      </c>
    </row>
    <row r="182" spans="1:35" x14ac:dyDescent="0.3">
      <c r="A182" s="4" t="str">
        <f>"180701"</f>
        <v>180701</v>
      </c>
      <c r="B182" s="2" t="s">
        <v>181</v>
      </c>
      <c r="C182" s="3">
        <v>24599800</v>
      </c>
      <c r="D182" s="3">
        <v>24991065</v>
      </c>
      <c r="E182" s="2">
        <v>1.59</v>
      </c>
      <c r="F182" s="3">
        <v>9024961</v>
      </c>
      <c r="G182" s="3">
        <v>9024961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9024961</v>
      </c>
      <c r="O182" s="3">
        <v>9024961</v>
      </c>
      <c r="P182" s="2">
        <v>0</v>
      </c>
      <c r="Q182" s="3">
        <v>308512</v>
      </c>
      <c r="R182" s="3">
        <v>189703</v>
      </c>
      <c r="S182" s="3">
        <v>8716449</v>
      </c>
      <c r="T182" s="3">
        <v>8886165</v>
      </c>
      <c r="U182" s="3">
        <v>8716449</v>
      </c>
      <c r="V182" s="3">
        <v>8835258</v>
      </c>
      <c r="W182" s="3">
        <v>0</v>
      </c>
      <c r="X182" s="3">
        <v>50907</v>
      </c>
      <c r="Y182" s="2">
        <v>911</v>
      </c>
      <c r="Z182" s="2">
        <v>927</v>
      </c>
      <c r="AA182" s="2">
        <v>1.76</v>
      </c>
      <c r="AB182" s="3">
        <v>3611330</v>
      </c>
      <c r="AC182" s="3">
        <v>4900000</v>
      </c>
      <c r="AD182" s="3">
        <v>1079131</v>
      </c>
      <c r="AE182" s="3">
        <v>625000</v>
      </c>
      <c r="AF182" s="3">
        <v>1907268</v>
      </c>
      <c r="AG182" s="3">
        <v>1700000</v>
      </c>
      <c r="AH182" s="2">
        <v>7.75</v>
      </c>
      <c r="AI182" s="5">
        <v>6.8</v>
      </c>
    </row>
    <row r="183" spans="1:35" x14ac:dyDescent="0.3">
      <c r="A183" s="4" t="str">
        <f>"180901"</f>
        <v>180901</v>
      </c>
      <c r="B183" s="2" t="s">
        <v>182</v>
      </c>
      <c r="C183" s="3">
        <v>10269322</v>
      </c>
      <c r="D183" s="3">
        <v>10942533</v>
      </c>
      <c r="E183" s="2">
        <v>6.56</v>
      </c>
      <c r="F183" s="3">
        <v>3143195</v>
      </c>
      <c r="G183" s="3">
        <v>3204487</v>
      </c>
      <c r="H183" s="3"/>
      <c r="I183" s="3"/>
      <c r="J183" s="3"/>
      <c r="K183" s="3"/>
      <c r="L183" s="3"/>
      <c r="M183" s="3"/>
      <c r="N183" s="3">
        <v>3143195</v>
      </c>
      <c r="O183" s="3">
        <v>3204487</v>
      </c>
      <c r="P183" s="2">
        <v>1.95</v>
      </c>
      <c r="Q183" s="3">
        <v>258793</v>
      </c>
      <c r="R183" s="3">
        <v>281841</v>
      </c>
      <c r="S183" s="3">
        <v>3003783</v>
      </c>
      <c r="T183" s="3">
        <v>2925623</v>
      </c>
      <c r="U183" s="3">
        <v>2884402</v>
      </c>
      <c r="V183" s="3">
        <v>2922646</v>
      </c>
      <c r="W183" s="3">
        <v>119381</v>
      </c>
      <c r="X183" s="3">
        <v>2977</v>
      </c>
      <c r="Y183" s="2">
        <v>409</v>
      </c>
      <c r="Z183" s="2">
        <v>415</v>
      </c>
      <c r="AA183" s="2">
        <v>1.47</v>
      </c>
      <c r="AB183" s="3">
        <v>204587</v>
      </c>
      <c r="AC183" s="3">
        <v>295461</v>
      </c>
      <c r="AD183" s="3">
        <v>295461</v>
      </c>
      <c r="AE183" s="3">
        <v>299820</v>
      </c>
      <c r="AF183" s="3">
        <v>410733</v>
      </c>
      <c r="AG183" s="3">
        <v>437701</v>
      </c>
      <c r="AH183" s="2">
        <v>4</v>
      </c>
      <c r="AI183" s="5">
        <v>4</v>
      </c>
    </row>
    <row r="184" spans="1:35" x14ac:dyDescent="0.3">
      <c r="A184" s="4" t="str">
        <f>"181001"</f>
        <v>181001</v>
      </c>
      <c r="B184" s="2" t="s">
        <v>183</v>
      </c>
      <c r="C184" s="3">
        <v>26334488</v>
      </c>
      <c r="D184" s="3">
        <v>26869288</v>
      </c>
      <c r="E184" s="2">
        <v>2.0299999999999998</v>
      </c>
      <c r="F184" s="3">
        <v>10466100</v>
      </c>
      <c r="G184" s="3">
        <v>10597025</v>
      </c>
      <c r="H184" s="3"/>
      <c r="I184" s="3"/>
      <c r="J184" s="3"/>
      <c r="K184" s="3"/>
      <c r="L184" s="3"/>
      <c r="M184" s="3"/>
      <c r="N184" s="3">
        <v>10466100</v>
      </c>
      <c r="O184" s="3">
        <v>10597025</v>
      </c>
      <c r="P184" s="2">
        <v>1.25</v>
      </c>
      <c r="Q184" s="3">
        <v>336340</v>
      </c>
      <c r="R184" s="3">
        <v>340314</v>
      </c>
      <c r="S184" s="3">
        <v>10549046</v>
      </c>
      <c r="T184" s="3">
        <v>10634026</v>
      </c>
      <c r="U184" s="3">
        <v>10129760</v>
      </c>
      <c r="V184" s="3">
        <v>10256711</v>
      </c>
      <c r="W184" s="3">
        <v>419286</v>
      </c>
      <c r="X184" s="3">
        <v>377315</v>
      </c>
      <c r="Y184" s="2">
        <v>1140</v>
      </c>
      <c r="Z184" s="2">
        <v>1145</v>
      </c>
      <c r="AA184" s="2">
        <v>0.44</v>
      </c>
      <c r="AB184" s="3">
        <v>0</v>
      </c>
      <c r="AC184" s="3">
        <v>0</v>
      </c>
      <c r="AD184" s="3">
        <v>500000</v>
      </c>
      <c r="AE184" s="3">
        <v>500000</v>
      </c>
      <c r="AF184" s="3">
        <v>1012506</v>
      </c>
      <c r="AG184" s="3">
        <v>1074771</v>
      </c>
      <c r="AH184" s="2">
        <v>3.84</v>
      </c>
      <c r="AI184" s="5">
        <v>4</v>
      </c>
    </row>
    <row r="185" spans="1:35" x14ac:dyDescent="0.3">
      <c r="A185" s="4" t="str">
        <f>"181101"</f>
        <v>181101</v>
      </c>
      <c r="B185" s="2" t="s">
        <v>184</v>
      </c>
      <c r="C185" s="3">
        <v>21123746</v>
      </c>
      <c r="D185" s="3">
        <v>21356442</v>
      </c>
      <c r="E185" s="2">
        <v>1.1000000000000001</v>
      </c>
      <c r="F185" s="3">
        <v>5313236</v>
      </c>
      <c r="G185" s="3">
        <v>5416941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5313236</v>
      </c>
      <c r="O185" s="3">
        <v>5416941</v>
      </c>
      <c r="P185" s="2">
        <v>1.95</v>
      </c>
      <c r="Q185" s="3">
        <v>55031</v>
      </c>
      <c r="R185" s="3">
        <v>148428</v>
      </c>
      <c r="S185" s="3">
        <v>5267607</v>
      </c>
      <c r="T185" s="3">
        <v>5268513</v>
      </c>
      <c r="U185" s="3">
        <v>5258205</v>
      </c>
      <c r="V185" s="3">
        <v>5268513</v>
      </c>
      <c r="W185" s="3">
        <v>9402</v>
      </c>
      <c r="X185" s="3">
        <v>0</v>
      </c>
      <c r="Y185" s="2">
        <v>740</v>
      </c>
      <c r="Z185" s="2">
        <v>765</v>
      </c>
      <c r="AA185" s="2">
        <v>3.38</v>
      </c>
      <c r="AB185" s="3">
        <v>5841688</v>
      </c>
      <c r="AC185" s="3">
        <v>3967255</v>
      </c>
      <c r="AD185" s="3">
        <v>957255</v>
      </c>
      <c r="AE185" s="3">
        <v>1041902</v>
      </c>
      <c r="AF185" s="3">
        <v>844953</v>
      </c>
      <c r="AG185" s="3">
        <v>854258</v>
      </c>
      <c r="AH185" s="2">
        <v>4</v>
      </c>
      <c r="AI185" s="5">
        <v>4</v>
      </c>
    </row>
    <row r="186" spans="1:35" x14ac:dyDescent="0.3">
      <c r="A186" s="4" t="str">
        <f>"181201"</f>
        <v>181201</v>
      </c>
      <c r="B186" s="2" t="s">
        <v>185</v>
      </c>
      <c r="C186" s="3">
        <v>17684182</v>
      </c>
      <c r="D186" s="3">
        <v>17576861</v>
      </c>
      <c r="E186" s="2">
        <v>-0.61</v>
      </c>
      <c r="F186" s="3">
        <v>5622703</v>
      </c>
      <c r="G186" s="3">
        <v>5622703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5622703</v>
      </c>
      <c r="O186" s="3">
        <v>5622703</v>
      </c>
      <c r="P186" s="2">
        <v>0</v>
      </c>
      <c r="Q186" s="3">
        <v>0</v>
      </c>
      <c r="R186" s="3">
        <v>0</v>
      </c>
      <c r="S186" s="3">
        <v>5765050</v>
      </c>
      <c r="T186" s="3">
        <v>5836191</v>
      </c>
      <c r="U186" s="3">
        <v>5622703</v>
      </c>
      <c r="V186" s="3">
        <v>5622703</v>
      </c>
      <c r="W186" s="3">
        <v>142347</v>
      </c>
      <c r="X186" s="3">
        <v>213488</v>
      </c>
      <c r="Y186" s="2">
        <v>655</v>
      </c>
      <c r="Z186" s="2">
        <v>655</v>
      </c>
      <c r="AA186" s="2">
        <v>0</v>
      </c>
      <c r="AB186" s="3">
        <v>4887383</v>
      </c>
      <c r="AC186" s="3">
        <v>4439000</v>
      </c>
      <c r="AD186" s="3">
        <v>995080</v>
      </c>
      <c r="AE186" s="3">
        <v>1000000</v>
      </c>
      <c r="AF186" s="3">
        <v>697687</v>
      </c>
      <c r="AG186" s="3">
        <v>703066</v>
      </c>
      <c r="AH186" s="2">
        <v>3.95</v>
      </c>
      <c r="AI186" s="5">
        <v>4</v>
      </c>
    </row>
    <row r="187" spans="1:35" x14ac:dyDescent="0.3">
      <c r="A187" s="4" t="str">
        <f>"181302"</f>
        <v>181302</v>
      </c>
      <c r="B187" s="2" t="s">
        <v>186</v>
      </c>
      <c r="C187" s="3">
        <v>23679522</v>
      </c>
      <c r="D187" s="3">
        <v>24599082</v>
      </c>
      <c r="E187" s="2">
        <v>3.88</v>
      </c>
      <c r="F187" s="3">
        <v>8316353</v>
      </c>
      <c r="G187" s="3">
        <v>8481399</v>
      </c>
      <c r="H187" s="3"/>
      <c r="I187" s="3"/>
      <c r="J187" s="3"/>
      <c r="K187" s="3"/>
      <c r="L187" s="3"/>
      <c r="M187" s="3"/>
      <c r="N187" s="3">
        <v>8316353</v>
      </c>
      <c r="O187" s="3">
        <v>8481399</v>
      </c>
      <c r="P187" s="2">
        <v>1.98</v>
      </c>
      <c r="Q187" s="3">
        <v>301209</v>
      </c>
      <c r="R187" s="3">
        <v>297720</v>
      </c>
      <c r="S187" s="3">
        <v>8494227</v>
      </c>
      <c r="T187" s="3">
        <v>8324422</v>
      </c>
      <c r="U187" s="3">
        <v>8015144</v>
      </c>
      <c r="V187" s="3">
        <v>8183679</v>
      </c>
      <c r="W187" s="3">
        <v>479083</v>
      </c>
      <c r="X187" s="3">
        <v>140743</v>
      </c>
      <c r="Y187" s="2">
        <v>889</v>
      </c>
      <c r="Z187" s="2">
        <v>874</v>
      </c>
      <c r="AA187" s="2">
        <v>-1.69</v>
      </c>
      <c r="AB187" s="3">
        <v>8152353</v>
      </c>
      <c r="AC187" s="3">
        <v>8647507</v>
      </c>
      <c r="AD187" s="3">
        <v>1940938</v>
      </c>
      <c r="AE187" s="3">
        <v>1500000</v>
      </c>
      <c r="AF187" s="3">
        <v>947181</v>
      </c>
      <c r="AG187" s="3">
        <v>983963</v>
      </c>
      <c r="AH187" s="2">
        <v>4</v>
      </c>
      <c r="AI187" s="5">
        <v>4</v>
      </c>
    </row>
    <row r="188" spans="1:35" x14ac:dyDescent="0.3">
      <c r="A188" s="4" t="str">
        <f>"190301"</f>
        <v>190301</v>
      </c>
      <c r="B188" s="2" t="s">
        <v>187</v>
      </c>
      <c r="C188" s="3">
        <v>32512539</v>
      </c>
      <c r="D188" s="3">
        <v>33212222</v>
      </c>
      <c r="E188" s="2">
        <v>2.15</v>
      </c>
      <c r="F188" s="3">
        <v>14582948</v>
      </c>
      <c r="G188" s="3">
        <v>15232554</v>
      </c>
      <c r="H188" s="3"/>
      <c r="I188" s="3"/>
      <c r="J188" s="3"/>
      <c r="K188" s="3"/>
      <c r="L188" s="3"/>
      <c r="M188" s="3"/>
      <c r="N188" s="3">
        <v>14582948</v>
      </c>
      <c r="O188" s="3">
        <v>15232554</v>
      </c>
      <c r="P188" s="2">
        <v>4.45</v>
      </c>
      <c r="Q188" s="3">
        <v>697295</v>
      </c>
      <c r="R188" s="3">
        <v>727080</v>
      </c>
      <c r="S188" s="3">
        <v>13885653</v>
      </c>
      <c r="T188" s="3">
        <v>14505474</v>
      </c>
      <c r="U188" s="3">
        <v>13885653</v>
      </c>
      <c r="V188" s="3">
        <v>14505474</v>
      </c>
      <c r="W188" s="3">
        <v>0</v>
      </c>
      <c r="X188" s="3">
        <v>0</v>
      </c>
      <c r="Y188" s="2">
        <v>1203</v>
      </c>
      <c r="Z188" s="2">
        <v>1127</v>
      </c>
      <c r="AA188" s="2">
        <v>-6.32</v>
      </c>
      <c r="AB188" s="3">
        <v>3276002</v>
      </c>
      <c r="AC188" s="3">
        <v>4009510</v>
      </c>
      <c r="AD188" s="3">
        <v>1550000</v>
      </c>
      <c r="AE188" s="3">
        <v>1400000</v>
      </c>
      <c r="AF188" s="3">
        <v>1328489</v>
      </c>
      <c r="AG188" s="3">
        <v>1350000</v>
      </c>
      <c r="AH188" s="2">
        <v>4.09</v>
      </c>
      <c r="AI188" s="5">
        <v>4.0599999999999996</v>
      </c>
    </row>
    <row r="189" spans="1:35" x14ac:dyDescent="0.3">
      <c r="A189" s="4" t="str">
        <f>"190401"</f>
        <v>190401</v>
      </c>
      <c r="B189" s="2" t="s">
        <v>188</v>
      </c>
      <c r="C189" s="3">
        <v>42881212</v>
      </c>
      <c r="D189" s="3">
        <v>46052273</v>
      </c>
      <c r="E189" s="2">
        <v>7.39</v>
      </c>
      <c r="F189" s="3">
        <v>19579976</v>
      </c>
      <c r="G189" s="3">
        <v>19965702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19579976</v>
      </c>
      <c r="O189" s="3">
        <v>19965702</v>
      </c>
      <c r="P189" s="2">
        <v>1.97</v>
      </c>
      <c r="Q189" s="3">
        <v>655351</v>
      </c>
      <c r="R189" s="3">
        <v>651492</v>
      </c>
      <c r="S189" s="3">
        <v>18992914</v>
      </c>
      <c r="T189" s="3">
        <v>19314210</v>
      </c>
      <c r="U189" s="3">
        <v>18924625</v>
      </c>
      <c r="V189" s="3">
        <v>19314210</v>
      </c>
      <c r="W189" s="3">
        <v>68289</v>
      </c>
      <c r="X189" s="3">
        <v>0</v>
      </c>
      <c r="Y189" s="2">
        <v>1350</v>
      </c>
      <c r="Z189" s="2">
        <v>1350</v>
      </c>
      <c r="AA189" s="2">
        <v>0</v>
      </c>
      <c r="AB189" s="3">
        <v>5106010</v>
      </c>
      <c r="AC189" s="3">
        <v>4825812</v>
      </c>
      <c r="AD189" s="3">
        <v>739148</v>
      </c>
      <c r="AE189" s="3">
        <v>2677295</v>
      </c>
      <c r="AF189" s="3">
        <v>7431448</v>
      </c>
      <c r="AG189" s="3">
        <v>4754153</v>
      </c>
      <c r="AH189" s="2">
        <v>17.329999999999998</v>
      </c>
      <c r="AI189" s="5">
        <v>10.32</v>
      </c>
    </row>
    <row r="190" spans="1:35" x14ac:dyDescent="0.3">
      <c r="A190" s="4" t="str">
        <f>"190501"</f>
        <v>190501</v>
      </c>
      <c r="B190" s="2" t="s">
        <v>189</v>
      </c>
      <c r="C190" s="3">
        <v>33210903</v>
      </c>
      <c r="D190" s="3">
        <v>33999000</v>
      </c>
      <c r="E190" s="2">
        <v>2.37</v>
      </c>
      <c r="F190" s="3">
        <v>18342641</v>
      </c>
      <c r="G190" s="3">
        <v>18703341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18342641</v>
      </c>
      <c r="O190" s="3">
        <v>18703341</v>
      </c>
      <c r="P190" s="2">
        <v>1.97</v>
      </c>
      <c r="Q190" s="3">
        <v>502140</v>
      </c>
      <c r="R190" s="3">
        <v>598805</v>
      </c>
      <c r="S190" s="3">
        <v>17840501</v>
      </c>
      <c r="T190" s="3">
        <v>18104536</v>
      </c>
      <c r="U190" s="3">
        <v>17840501</v>
      </c>
      <c r="V190" s="3">
        <v>18104536</v>
      </c>
      <c r="W190" s="3">
        <v>0</v>
      </c>
      <c r="X190" s="3">
        <v>0</v>
      </c>
      <c r="Y190" s="2">
        <v>1244</v>
      </c>
      <c r="Z190" s="2">
        <v>1184</v>
      </c>
      <c r="AA190" s="2">
        <v>-4.82</v>
      </c>
      <c r="AB190" s="3">
        <v>3142070</v>
      </c>
      <c r="AC190" s="3">
        <v>3315000</v>
      </c>
      <c r="AD190" s="3">
        <v>1965000</v>
      </c>
      <c r="AE190" s="3">
        <v>1828000</v>
      </c>
      <c r="AF190" s="3">
        <v>2445601</v>
      </c>
      <c r="AG190" s="3">
        <v>3500000</v>
      </c>
      <c r="AH190" s="2">
        <v>7.36</v>
      </c>
      <c r="AI190" s="5">
        <v>10.29</v>
      </c>
    </row>
    <row r="191" spans="1:35" x14ac:dyDescent="0.3">
      <c r="A191" s="4" t="str">
        <f>"190701"</f>
        <v>190701</v>
      </c>
      <c r="B191" s="2" t="s">
        <v>190</v>
      </c>
      <c r="C191" s="3">
        <v>32253015</v>
      </c>
      <c r="D191" s="3">
        <v>32886167</v>
      </c>
      <c r="E191" s="2">
        <v>1.96</v>
      </c>
      <c r="F191" s="3">
        <v>17161620</v>
      </c>
      <c r="G191" s="3">
        <v>17358979</v>
      </c>
      <c r="H191" s="3"/>
      <c r="I191" s="3"/>
      <c r="J191" s="3"/>
      <c r="K191" s="3"/>
      <c r="L191" s="3"/>
      <c r="M191" s="3"/>
      <c r="N191" s="3">
        <v>17161620</v>
      </c>
      <c r="O191" s="3">
        <v>17358979</v>
      </c>
      <c r="P191" s="2">
        <v>1.1499999999999999</v>
      </c>
      <c r="Q191" s="3">
        <v>411224</v>
      </c>
      <c r="R191" s="3">
        <v>411425</v>
      </c>
      <c r="S191" s="3">
        <v>16750396</v>
      </c>
      <c r="T191" s="3">
        <v>17001429</v>
      </c>
      <c r="U191" s="3">
        <v>16750396</v>
      </c>
      <c r="V191" s="3">
        <v>16947554</v>
      </c>
      <c r="W191" s="3">
        <v>0</v>
      </c>
      <c r="X191" s="3">
        <v>53875</v>
      </c>
      <c r="Y191" s="2">
        <v>1130</v>
      </c>
      <c r="Z191" s="2">
        <v>1104</v>
      </c>
      <c r="AA191" s="2">
        <v>-2.2999999999999998</v>
      </c>
      <c r="AB191" s="3">
        <v>2195206</v>
      </c>
      <c r="AC191" s="3">
        <v>2608512</v>
      </c>
      <c r="AD191" s="3">
        <v>928640</v>
      </c>
      <c r="AE191" s="3">
        <v>821872</v>
      </c>
      <c r="AF191" s="3">
        <v>1282814</v>
      </c>
      <c r="AG191" s="3">
        <v>1315447</v>
      </c>
      <c r="AH191" s="2">
        <v>3.98</v>
      </c>
      <c r="AI191" s="5">
        <v>4</v>
      </c>
    </row>
    <row r="192" spans="1:35" x14ac:dyDescent="0.3">
      <c r="A192" s="4" t="str">
        <f>"190901"</f>
        <v>190901</v>
      </c>
      <c r="B192" s="2" t="s">
        <v>191</v>
      </c>
      <c r="C192" s="3">
        <v>14789524</v>
      </c>
      <c r="D192" s="3">
        <v>14707960</v>
      </c>
      <c r="E192" s="2">
        <v>-0.55000000000000004</v>
      </c>
      <c r="F192" s="3">
        <v>11791681</v>
      </c>
      <c r="G192" s="3">
        <v>11596182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11791681</v>
      </c>
      <c r="O192" s="3">
        <v>11596182</v>
      </c>
      <c r="P192" s="2">
        <v>-1.66</v>
      </c>
      <c r="Q192" s="3">
        <v>1433410</v>
      </c>
      <c r="R192" s="3">
        <v>1144417</v>
      </c>
      <c r="S192" s="3">
        <v>10358271</v>
      </c>
      <c r="T192" s="3">
        <v>10451765</v>
      </c>
      <c r="U192" s="3">
        <v>10358271</v>
      </c>
      <c r="V192" s="3">
        <v>10451765</v>
      </c>
      <c r="W192" s="3">
        <v>0</v>
      </c>
      <c r="X192" s="3">
        <v>0</v>
      </c>
      <c r="Y192" s="2">
        <v>354</v>
      </c>
      <c r="Z192" s="2">
        <v>348</v>
      </c>
      <c r="AA192" s="2">
        <v>-1.69</v>
      </c>
      <c r="AB192" s="3">
        <v>4569474</v>
      </c>
      <c r="AC192" s="3">
        <v>5438433</v>
      </c>
      <c r="AD192" s="3">
        <v>373674</v>
      </c>
      <c r="AE192" s="3">
        <v>105000</v>
      </c>
      <c r="AF192" s="3">
        <v>3712166</v>
      </c>
      <c r="AG192" s="3">
        <v>2000000</v>
      </c>
      <c r="AH192" s="2">
        <v>25.1</v>
      </c>
      <c r="AI192" s="5">
        <v>13.6</v>
      </c>
    </row>
    <row r="193" spans="1:35" x14ac:dyDescent="0.3">
      <c r="A193" s="4" t="str">
        <f>"191401"</f>
        <v>191401</v>
      </c>
      <c r="B193" s="2" t="s">
        <v>192</v>
      </c>
      <c r="C193" s="3">
        <v>12576013</v>
      </c>
      <c r="D193" s="3">
        <v>12730593</v>
      </c>
      <c r="E193" s="2">
        <v>1.23</v>
      </c>
      <c r="F193" s="3">
        <v>10409124</v>
      </c>
      <c r="G193" s="3">
        <v>10567965</v>
      </c>
      <c r="H193" s="3"/>
      <c r="I193" s="3"/>
      <c r="J193" s="3"/>
      <c r="K193" s="3"/>
      <c r="L193" s="3"/>
      <c r="M193" s="3"/>
      <c r="N193" s="3">
        <v>10409124</v>
      </c>
      <c r="O193" s="3">
        <v>10567965</v>
      </c>
      <c r="P193" s="2">
        <v>1.53</v>
      </c>
      <c r="Q193" s="3">
        <v>1301430</v>
      </c>
      <c r="R193" s="3">
        <v>1272069</v>
      </c>
      <c r="S193" s="3">
        <v>9107694</v>
      </c>
      <c r="T193" s="3">
        <v>9301985</v>
      </c>
      <c r="U193" s="3">
        <v>9107694</v>
      </c>
      <c r="V193" s="3">
        <v>9295896</v>
      </c>
      <c r="W193" s="3">
        <v>0</v>
      </c>
      <c r="X193" s="3">
        <v>6089</v>
      </c>
      <c r="Y193" s="2">
        <v>310</v>
      </c>
      <c r="Z193" s="2">
        <v>315</v>
      </c>
      <c r="AA193" s="2">
        <v>1.61</v>
      </c>
      <c r="AB193" s="3">
        <v>1723750</v>
      </c>
      <c r="AC193" s="3">
        <v>1923750</v>
      </c>
      <c r="AD193" s="3">
        <v>250000</v>
      </c>
      <c r="AE193" s="3">
        <v>250000</v>
      </c>
      <c r="AF193" s="3">
        <v>503040</v>
      </c>
      <c r="AG193" s="3">
        <v>509223</v>
      </c>
      <c r="AH193" s="2">
        <v>4</v>
      </c>
      <c r="AI193" s="5">
        <v>4</v>
      </c>
    </row>
    <row r="194" spans="1:35" x14ac:dyDescent="0.3">
      <c r="A194" s="4" t="str">
        <f>"200401"</f>
        <v>200401</v>
      </c>
      <c r="B194" s="2" t="s">
        <v>193</v>
      </c>
      <c r="C194" s="3">
        <v>6979235</v>
      </c>
      <c r="D194" s="3">
        <v>7144763</v>
      </c>
      <c r="E194" s="2">
        <v>2.37</v>
      </c>
      <c r="F194" s="3">
        <v>5208235</v>
      </c>
      <c r="G194" s="3">
        <v>5323763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5208235</v>
      </c>
      <c r="O194" s="3">
        <v>5323763</v>
      </c>
      <c r="P194" s="2">
        <v>2.2200000000000002</v>
      </c>
      <c r="Q194" s="3">
        <v>322636</v>
      </c>
      <c r="R194" s="3">
        <v>362917</v>
      </c>
      <c r="S194" s="3">
        <v>4885599</v>
      </c>
      <c r="T194" s="3">
        <v>4960846</v>
      </c>
      <c r="U194" s="3">
        <v>4885599</v>
      </c>
      <c r="V194" s="3">
        <v>4960846</v>
      </c>
      <c r="W194" s="3">
        <v>0</v>
      </c>
      <c r="X194" s="3">
        <v>0</v>
      </c>
      <c r="Y194" s="2">
        <v>112</v>
      </c>
      <c r="Z194" s="2">
        <v>115</v>
      </c>
      <c r="AA194" s="2">
        <v>2.68</v>
      </c>
      <c r="AB194" s="3">
        <v>1334399</v>
      </c>
      <c r="AC194" s="3">
        <v>839757</v>
      </c>
      <c r="AD194" s="3">
        <v>850000</v>
      </c>
      <c r="AE194" s="3">
        <v>900000</v>
      </c>
      <c r="AF194" s="3">
        <v>950484</v>
      </c>
      <c r="AG194" s="3">
        <v>285791</v>
      </c>
      <c r="AH194" s="2">
        <v>13.62</v>
      </c>
      <c r="AI194" s="5">
        <v>4</v>
      </c>
    </row>
    <row r="195" spans="1:35" x14ac:dyDescent="0.3">
      <c r="A195" s="4" t="str">
        <f>"200601"</f>
        <v>200601</v>
      </c>
      <c r="B195" s="2" t="s">
        <v>194</v>
      </c>
      <c r="C195" s="3">
        <v>5241190</v>
      </c>
      <c r="D195" s="3">
        <v>5246588</v>
      </c>
      <c r="E195" s="2">
        <v>0.1</v>
      </c>
      <c r="F195" s="3">
        <v>3900000</v>
      </c>
      <c r="G195" s="3">
        <v>3889716</v>
      </c>
      <c r="H195" s="3"/>
      <c r="I195" s="3"/>
      <c r="J195" s="3"/>
      <c r="K195" s="3"/>
      <c r="L195" s="3"/>
      <c r="M195" s="3"/>
      <c r="N195" s="3">
        <v>3900000</v>
      </c>
      <c r="O195" s="3">
        <v>3889716</v>
      </c>
      <c r="P195" s="2">
        <v>-0.26</v>
      </c>
      <c r="Q195" s="3">
        <v>421773</v>
      </c>
      <c r="R195" s="3">
        <v>347388</v>
      </c>
      <c r="S195" s="3">
        <v>3481986</v>
      </c>
      <c r="T195" s="3">
        <v>3542328</v>
      </c>
      <c r="U195" s="3">
        <v>3478227</v>
      </c>
      <c r="V195" s="3">
        <v>3542328</v>
      </c>
      <c r="W195" s="3">
        <v>3759</v>
      </c>
      <c r="X195" s="3">
        <v>0</v>
      </c>
      <c r="Y195" s="2">
        <v>82</v>
      </c>
      <c r="Z195" s="2">
        <v>76</v>
      </c>
      <c r="AA195" s="2">
        <v>-7.32</v>
      </c>
      <c r="AB195" s="3">
        <v>2046028</v>
      </c>
      <c r="AC195" s="3">
        <v>2081364</v>
      </c>
      <c r="AD195" s="3">
        <v>588267</v>
      </c>
      <c r="AE195" s="3">
        <v>575886</v>
      </c>
      <c r="AF195" s="3">
        <v>302882</v>
      </c>
      <c r="AG195" s="3">
        <v>209864</v>
      </c>
      <c r="AH195" s="2">
        <v>5.78</v>
      </c>
      <c r="AI195" s="5">
        <v>4</v>
      </c>
    </row>
    <row r="196" spans="1:35" x14ac:dyDescent="0.3">
      <c r="A196" s="4" t="str">
        <f>"200701"</f>
        <v>200701</v>
      </c>
      <c r="B196" s="2" t="s">
        <v>195</v>
      </c>
      <c r="C196" s="3">
        <v>4380864</v>
      </c>
      <c r="D196" s="3">
        <v>4608020</v>
      </c>
      <c r="E196" s="2">
        <v>5.19</v>
      </c>
      <c r="F196" s="3">
        <v>3089000</v>
      </c>
      <c r="G196" s="3">
        <v>3235000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3089000</v>
      </c>
      <c r="O196" s="3">
        <v>3235000</v>
      </c>
      <c r="P196" s="2">
        <v>4.7300000000000004</v>
      </c>
      <c r="Q196" s="3">
        <v>108356</v>
      </c>
      <c r="R196" s="3">
        <v>215984</v>
      </c>
      <c r="S196" s="3">
        <v>2981277</v>
      </c>
      <c r="T196" s="3">
        <v>3019808</v>
      </c>
      <c r="U196" s="3">
        <v>2980644</v>
      </c>
      <c r="V196" s="3">
        <v>3019016</v>
      </c>
      <c r="W196" s="3">
        <v>633</v>
      </c>
      <c r="X196" s="3">
        <v>792</v>
      </c>
      <c r="Y196" s="2">
        <v>55</v>
      </c>
      <c r="Z196" s="2">
        <v>66</v>
      </c>
      <c r="AA196" s="2">
        <v>20</v>
      </c>
      <c r="AB196" s="3">
        <v>353764</v>
      </c>
      <c r="AC196" s="3">
        <v>295964</v>
      </c>
      <c r="AD196" s="3">
        <v>725264</v>
      </c>
      <c r="AE196" s="3">
        <v>813920</v>
      </c>
      <c r="AF196" s="3">
        <v>524668</v>
      </c>
      <c r="AG196" s="3">
        <v>514075</v>
      </c>
      <c r="AH196" s="2">
        <v>11.98</v>
      </c>
      <c r="AI196" s="5">
        <v>11.16</v>
      </c>
    </row>
    <row r="197" spans="1:35" x14ac:dyDescent="0.3">
      <c r="A197" s="4" t="str">
        <f>"200901"</f>
        <v>200901</v>
      </c>
      <c r="B197" s="2" t="s">
        <v>196</v>
      </c>
      <c r="C197" s="3">
        <v>5885565</v>
      </c>
      <c r="D197" s="3">
        <v>6056738</v>
      </c>
      <c r="E197" s="2">
        <v>2.91</v>
      </c>
      <c r="F197" s="3">
        <v>4337954</v>
      </c>
      <c r="G197" s="3">
        <v>4289487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4337954</v>
      </c>
      <c r="O197" s="3">
        <v>4289487</v>
      </c>
      <c r="P197" s="2">
        <v>-1.1200000000000001</v>
      </c>
      <c r="Q197" s="3">
        <v>0</v>
      </c>
      <c r="R197" s="3">
        <v>0</v>
      </c>
      <c r="S197" s="3">
        <v>4337954</v>
      </c>
      <c r="T197" s="3">
        <v>4289487</v>
      </c>
      <c r="U197" s="3">
        <v>4337954</v>
      </c>
      <c r="V197" s="3">
        <v>4289487</v>
      </c>
      <c r="W197" s="3">
        <v>0</v>
      </c>
      <c r="X197" s="3">
        <v>0</v>
      </c>
      <c r="Y197" s="2">
        <v>146</v>
      </c>
      <c r="Z197" s="2">
        <v>149</v>
      </c>
      <c r="AA197" s="2">
        <v>2.0499999999999998</v>
      </c>
      <c r="AB197" s="3">
        <v>853346</v>
      </c>
      <c r="AC197" s="3">
        <v>860000</v>
      </c>
      <c r="AD197" s="3">
        <v>130000</v>
      </c>
      <c r="AE197" s="3">
        <v>40000</v>
      </c>
      <c r="AF197" s="3">
        <v>600000</v>
      </c>
      <c r="AG197" s="3">
        <v>700000</v>
      </c>
      <c r="AH197" s="2">
        <v>10.19</v>
      </c>
      <c r="AI197" s="5">
        <v>11.56</v>
      </c>
    </row>
    <row r="198" spans="1:35" x14ac:dyDescent="0.3">
      <c r="A198" s="4" t="str">
        <f>"210302"</f>
        <v>210302</v>
      </c>
      <c r="B198" s="2" t="s">
        <v>197</v>
      </c>
      <c r="C198" s="3">
        <v>18852160</v>
      </c>
      <c r="D198" s="3">
        <v>18988751</v>
      </c>
      <c r="E198" s="2">
        <v>0.72</v>
      </c>
      <c r="F198" s="3">
        <v>5139357</v>
      </c>
      <c r="G198" s="3">
        <v>5139357</v>
      </c>
      <c r="H198" s="3"/>
      <c r="I198" s="3"/>
      <c r="J198" s="3"/>
      <c r="K198" s="3"/>
      <c r="L198" s="3"/>
      <c r="M198" s="3"/>
      <c r="N198" s="3">
        <v>5139357</v>
      </c>
      <c r="O198" s="3">
        <v>5139357</v>
      </c>
      <c r="P198" s="2">
        <v>0</v>
      </c>
      <c r="Q198" s="3">
        <v>194121</v>
      </c>
      <c r="R198" s="3">
        <v>144842</v>
      </c>
      <c r="S198" s="3">
        <v>4945236</v>
      </c>
      <c r="T198" s="3">
        <v>4994515</v>
      </c>
      <c r="U198" s="3">
        <v>4945236</v>
      </c>
      <c r="V198" s="3">
        <v>4994515</v>
      </c>
      <c r="W198" s="3">
        <v>0</v>
      </c>
      <c r="X198" s="3">
        <v>0</v>
      </c>
      <c r="Y198" s="2">
        <v>654</v>
      </c>
      <c r="Z198" s="2">
        <v>641</v>
      </c>
      <c r="AA198" s="2">
        <v>-1.99</v>
      </c>
      <c r="AB198" s="3">
        <v>0</v>
      </c>
      <c r="AC198" s="3">
        <v>0</v>
      </c>
      <c r="AD198" s="3">
        <v>1448206</v>
      </c>
      <c r="AE198" s="3">
        <v>1199269</v>
      </c>
      <c r="AF198" s="3">
        <v>1705155</v>
      </c>
      <c r="AG198" s="3">
        <v>1500000</v>
      </c>
      <c r="AH198" s="2">
        <v>9.0399999999999991</v>
      </c>
      <c r="AI198" s="5">
        <v>7.9</v>
      </c>
    </row>
    <row r="199" spans="1:35" x14ac:dyDescent="0.3">
      <c r="A199" s="4" t="str">
        <f>"210402"</f>
        <v>210402</v>
      </c>
      <c r="B199" s="2" t="s">
        <v>198</v>
      </c>
      <c r="C199" s="3">
        <v>20191687</v>
      </c>
      <c r="D199" s="3">
        <v>20768066</v>
      </c>
      <c r="E199" s="2">
        <v>2.85</v>
      </c>
      <c r="F199" s="3">
        <v>7934543</v>
      </c>
      <c r="G199" s="3">
        <v>8083712</v>
      </c>
      <c r="H199" s="3"/>
      <c r="I199" s="3"/>
      <c r="J199" s="3"/>
      <c r="K199" s="3"/>
      <c r="L199" s="3"/>
      <c r="M199" s="3"/>
      <c r="N199" s="3">
        <v>7934543</v>
      </c>
      <c r="O199" s="3">
        <v>8083712</v>
      </c>
      <c r="P199" s="2">
        <v>1.88</v>
      </c>
      <c r="Q199" s="3">
        <v>133006</v>
      </c>
      <c r="R199" s="3">
        <v>120431</v>
      </c>
      <c r="S199" s="3">
        <v>7801537</v>
      </c>
      <c r="T199" s="3">
        <v>7899491</v>
      </c>
      <c r="U199" s="3">
        <v>7801537</v>
      </c>
      <c r="V199" s="3">
        <v>7963281</v>
      </c>
      <c r="W199" s="3">
        <v>0</v>
      </c>
      <c r="X199" s="3">
        <v>-63790</v>
      </c>
      <c r="Y199" s="2">
        <v>935</v>
      </c>
      <c r="Z199" s="2">
        <v>922</v>
      </c>
      <c r="AA199" s="2">
        <v>-1.39</v>
      </c>
      <c r="AB199" s="3">
        <v>6801253</v>
      </c>
      <c r="AC199" s="3">
        <v>5469525</v>
      </c>
      <c r="AD199" s="3">
        <v>1000000</v>
      </c>
      <c r="AE199" s="3">
        <v>615000</v>
      </c>
      <c r="AF199" s="3">
        <v>913648</v>
      </c>
      <c r="AG199" s="3">
        <v>990160</v>
      </c>
      <c r="AH199" s="2">
        <v>4.5199999999999996</v>
      </c>
      <c r="AI199" s="5">
        <v>4.7699999999999996</v>
      </c>
    </row>
    <row r="200" spans="1:35" x14ac:dyDescent="0.3">
      <c r="A200" s="4" t="str">
        <f>"210601"</f>
        <v>210601</v>
      </c>
      <c r="B200" s="2" t="s">
        <v>199</v>
      </c>
      <c r="C200" s="3">
        <v>25175000</v>
      </c>
      <c r="D200" s="3">
        <v>26414000</v>
      </c>
      <c r="E200" s="2">
        <v>4.92</v>
      </c>
      <c r="F200" s="3">
        <v>9451000</v>
      </c>
      <c r="G200" s="3">
        <v>9451000</v>
      </c>
      <c r="H200" s="3">
        <v>0</v>
      </c>
      <c r="I200" s="3"/>
      <c r="J200" s="3">
        <v>0</v>
      </c>
      <c r="K200" s="3"/>
      <c r="L200" s="3">
        <v>0</v>
      </c>
      <c r="M200" s="3"/>
      <c r="N200" s="3">
        <v>9451000</v>
      </c>
      <c r="O200" s="3">
        <v>9451000</v>
      </c>
      <c r="P200" s="2">
        <v>0</v>
      </c>
      <c r="Q200" s="3">
        <v>878000</v>
      </c>
      <c r="R200" s="3">
        <v>296280</v>
      </c>
      <c r="S200" s="3">
        <v>8606885</v>
      </c>
      <c r="T200" s="3">
        <v>8714277</v>
      </c>
      <c r="U200" s="3">
        <v>8573000</v>
      </c>
      <c r="V200" s="3">
        <v>9154720</v>
      </c>
      <c r="W200" s="3">
        <v>33885</v>
      </c>
      <c r="X200" s="3">
        <v>-440443</v>
      </c>
      <c r="Y200" s="2">
        <v>1050</v>
      </c>
      <c r="Z200" s="2">
        <v>1060</v>
      </c>
      <c r="AA200" s="2">
        <v>0.95</v>
      </c>
      <c r="AB200" s="3">
        <v>1869585</v>
      </c>
      <c r="AC200" s="3">
        <v>2647500</v>
      </c>
      <c r="AD200" s="3">
        <v>1100000</v>
      </c>
      <c r="AE200" s="3">
        <v>570000</v>
      </c>
      <c r="AF200" s="3">
        <v>1007000</v>
      </c>
      <c r="AG200" s="3">
        <v>2000000</v>
      </c>
      <c r="AH200" s="2">
        <v>4</v>
      </c>
      <c r="AI200" s="5">
        <v>7.57</v>
      </c>
    </row>
    <row r="201" spans="1:35" x14ac:dyDescent="0.3">
      <c r="A201" s="4" t="str">
        <f>"210800"</f>
        <v>210800</v>
      </c>
      <c r="B201" s="2" t="s">
        <v>200</v>
      </c>
      <c r="C201" s="3">
        <v>22499245</v>
      </c>
      <c r="D201" s="3">
        <v>26188901</v>
      </c>
      <c r="E201" s="2">
        <v>16.399999999999999</v>
      </c>
      <c r="F201" s="3">
        <v>8959487</v>
      </c>
      <c r="G201" s="3">
        <v>9046364</v>
      </c>
      <c r="H201" s="3"/>
      <c r="I201" s="3"/>
      <c r="J201" s="3"/>
      <c r="K201" s="3"/>
      <c r="L201" s="3"/>
      <c r="M201" s="3"/>
      <c r="N201" s="3">
        <v>8959487</v>
      </c>
      <c r="O201" s="3">
        <v>9046364</v>
      </c>
      <c r="P201" s="2">
        <v>0.97</v>
      </c>
      <c r="Q201" s="3">
        <v>5200</v>
      </c>
      <c r="R201" s="3">
        <v>144426</v>
      </c>
      <c r="S201" s="3">
        <v>8959487</v>
      </c>
      <c r="T201" s="3">
        <v>9046364</v>
      </c>
      <c r="U201" s="3">
        <v>8954287</v>
      </c>
      <c r="V201" s="3">
        <v>8901938</v>
      </c>
      <c r="W201" s="3">
        <v>5200</v>
      </c>
      <c r="X201" s="3">
        <v>144426</v>
      </c>
      <c r="Y201" s="2">
        <v>1093</v>
      </c>
      <c r="Z201" s="2">
        <v>1100</v>
      </c>
      <c r="AA201" s="2">
        <v>0.64</v>
      </c>
      <c r="AB201" s="3">
        <v>555506</v>
      </c>
      <c r="AC201" s="3">
        <v>555806</v>
      </c>
      <c r="AD201" s="3">
        <v>290000</v>
      </c>
      <c r="AE201" s="3">
        <v>0</v>
      </c>
      <c r="AF201" s="3">
        <v>3427146</v>
      </c>
      <c r="AG201" s="3">
        <v>3137146</v>
      </c>
      <c r="AH201" s="2">
        <v>15.23</v>
      </c>
      <c r="AI201" s="5">
        <v>11.98</v>
      </c>
    </row>
    <row r="202" spans="1:35" x14ac:dyDescent="0.3">
      <c r="A202" s="4" t="str">
        <f>"211003"</f>
        <v>211003</v>
      </c>
      <c r="B202" s="2" t="s">
        <v>201</v>
      </c>
      <c r="C202" s="3">
        <v>18518668</v>
      </c>
      <c r="D202" s="3">
        <v>18967328</v>
      </c>
      <c r="E202" s="2">
        <v>2.42</v>
      </c>
      <c r="F202" s="3">
        <v>4908342</v>
      </c>
      <c r="G202" s="3">
        <v>5093163</v>
      </c>
      <c r="H202" s="3">
        <v>27500</v>
      </c>
      <c r="I202" s="3">
        <v>27500</v>
      </c>
      <c r="J202" s="3">
        <v>0</v>
      </c>
      <c r="K202" s="3">
        <v>0</v>
      </c>
      <c r="L202" s="3">
        <v>0</v>
      </c>
      <c r="M202" s="3">
        <v>0</v>
      </c>
      <c r="N202" s="3">
        <v>4935842</v>
      </c>
      <c r="O202" s="3">
        <v>5120663</v>
      </c>
      <c r="P202" s="2">
        <v>3.74</v>
      </c>
      <c r="Q202" s="3">
        <v>153444</v>
      </c>
      <c r="R202" s="3">
        <v>263788</v>
      </c>
      <c r="S202" s="3">
        <v>4829375</v>
      </c>
      <c r="T202" s="3">
        <v>5093163</v>
      </c>
      <c r="U202" s="3">
        <v>4754898</v>
      </c>
      <c r="V202" s="3">
        <v>4829375</v>
      </c>
      <c r="W202" s="3">
        <v>74477</v>
      </c>
      <c r="X202" s="3">
        <v>263788</v>
      </c>
      <c r="Y202" s="2">
        <v>790</v>
      </c>
      <c r="Z202" s="2">
        <v>790</v>
      </c>
      <c r="AA202" s="2">
        <v>0</v>
      </c>
      <c r="AB202" s="3">
        <v>2909065</v>
      </c>
      <c r="AC202" s="3">
        <v>4109065</v>
      </c>
      <c r="AD202" s="3">
        <v>454600</v>
      </c>
      <c r="AE202" s="3">
        <v>222000</v>
      </c>
      <c r="AF202" s="3">
        <v>740747</v>
      </c>
      <c r="AG202" s="3">
        <v>758693</v>
      </c>
      <c r="AH202" s="2">
        <v>4</v>
      </c>
      <c r="AI202" s="5">
        <v>4</v>
      </c>
    </row>
    <row r="203" spans="1:35" x14ac:dyDescent="0.3">
      <c r="A203" s="4" t="str">
        <f>"211103"</f>
        <v>211103</v>
      </c>
      <c r="B203" s="2" t="s">
        <v>202</v>
      </c>
      <c r="C203" s="3">
        <v>16050933</v>
      </c>
      <c r="D203" s="3">
        <v>15964317</v>
      </c>
      <c r="E203" s="2">
        <v>-0.54</v>
      </c>
      <c r="F203" s="3">
        <v>7012538</v>
      </c>
      <c r="G203" s="3">
        <v>7012538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7012538</v>
      </c>
      <c r="O203" s="3">
        <v>7012538</v>
      </c>
      <c r="P203" s="2">
        <v>0</v>
      </c>
      <c r="Q203" s="3">
        <v>1016573</v>
      </c>
      <c r="R203" s="3">
        <v>740506</v>
      </c>
      <c r="S203" s="3">
        <v>6397165</v>
      </c>
      <c r="T203" s="3">
        <v>6091012</v>
      </c>
      <c r="U203" s="3">
        <v>5995965</v>
      </c>
      <c r="V203" s="3">
        <v>6272032</v>
      </c>
      <c r="W203" s="3">
        <v>401200</v>
      </c>
      <c r="X203" s="3">
        <v>-181020</v>
      </c>
      <c r="Y203" s="2">
        <v>540</v>
      </c>
      <c r="Z203" s="2">
        <v>535</v>
      </c>
      <c r="AA203" s="2">
        <v>-0.93</v>
      </c>
      <c r="AB203" s="3">
        <v>1063154</v>
      </c>
      <c r="AC203" s="3">
        <v>1063155</v>
      </c>
      <c r="AD203" s="3">
        <v>1218793</v>
      </c>
      <c r="AE203" s="3">
        <v>1104968</v>
      </c>
      <c r="AF203" s="3">
        <v>422121</v>
      </c>
      <c r="AG203" s="3">
        <v>415000</v>
      </c>
      <c r="AH203" s="2">
        <v>2.63</v>
      </c>
      <c r="AI203" s="5">
        <v>2.6</v>
      </c>
    </row>
    <row r="204" spans="1:35" x14ac:dyDescent="0.3">
      <c r="A204" s="4" t="str">
        <f>"211701"</f>
        <v>211701</v>
      </c>
      <c r="B204" s="2" t="s">
        <v>203</v>
      </c>
      <c r="C204" s="3">
        <v>6100000</v>
      </c>
      <c r="D204" s="3">
        <v>6400000</v>
      </c>
      <c r="E204" s="2">
        <v>4.92</v>
      </c>
      <c r="F204" s="3">
        <v>1874062</v>
      </c>
      <c r="G204" s="3">
        <v>1911545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1874062</v>
      </c>
      <c r="O204" s="3">
        <v>1911545</v>
      </c>
      <c r="P204" s="2">
        <v>2</v>
      </c>
      <c r="Q204" s="3">
        <v>101084</v>
      </c>
      <c r="R204" s="3">
        <v>219053</v>
      </c>
      <c r="S204" s="3">
        <v>1777926</v>
      </c>
      <c r="T204" s="3">
        <v>1806168</v>
      </c>
      <c r="U204" s="3">
        <v>1772978</v>
      </c>
      <c r="V204" s="3">
        <v>1692492</v>
      </c>
      <c r="W204" s="3">
        <v>4948</v>
      </c>
      <c r="X204" s="3">
        <v>113676</v>
      </c>
      <c r="Y204" s="2">
        <v>173</v>
      </c>
      <c r="Z204" s="2">
        <v>177</v>
      </c>
      <c r="AA204" s="2">
        <v>2.31</v>
      </c>
      <c r="AB204" s="3">
        <v>894583</v>
      </c>
      <c r="AC204" s="3">
        <v>1124583</v>
      </c>
      <c r="AD204" s="3">
        <v>380074</v>
      </c>
      <c r="AE204" s="3">
        <v>426032</v>
      </c>
      <c r="AF204" s="3">
        <v>1923929</v>
      </c>
      <c r="AG204" s="3">
        <v>1497897</v>
      </c>
      <c r="AH204" s="2">
        <v>31.54</v>
      </c>
      <c r="AI204" s="5">
        <v>23.4</v>
      </c>
    </row>
    <row r="205" spans="1:35" x14ac:dyDescent="0.3">
      <c r="A205" s="4" t="str">
        <f>"211901"</f>
        <v>211901</v>
      </c>
      <c r="B205" s="2" t="s">
        <v>204</v>
      </c>
      <c r="C205" s="3">
        <v>9669800</v>
      </c>
      <c r="D205" s="3">
        <v>9928300</v>
      </c>
      <c r="E205" s="2">
        <v>2.67</v>
      </c>
      <c r="F205" s="3">
        <v>6325000</v>
      </c>
      <c r="G205" s="3">
        <v>6426780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6325000</v>
      </c>
      <c r="O205" s="3">
        <v>6426780</v>
      </c>
      <c r="P205" s="2">
        <v>1.61</v>
      </c>
      <c r="Q205" s="3">
        <v>191004</v>
      </c>
      <c r="R205" s="3">
        <v>194961</v>
      </c>
      <c r="S205" s="3">
        <v>6287465</v>
      </c>
      <c r="T205" s="3">
        <v>6231819</v>
      </c>
      <c r="U205" s="3">
        <v>6133996</v>
      </c>
      <c r="V205" s="3">
        <v>6231819</v>
      </c>
      <c r="W205" s="3">
        <v>153469</v>
      </c>
      <c r="X205" s="3">
        <v>0</v>
      </c>
      <c r="Y205" s="2">
        <v>252</v>
      </c>
      <c r="Z205" s="2">
        <v>241</v>
      </c>
      <c r="AA205" s="2">
        <v>-4.37</v>
      </c>
      <c r="AB205" s="3">
        <v>3070057</v>
      </c>
      <c r="AC205" s="3">
        <v>2865611</v>
      </c>
      <c r="AD205" s="3">
        <v>1297726</v>
      </c>
      <c r="AE205" s="3">
        <v>1311454</v>
      </c>
      <c r="AF205" s="3">
        <v>1010247</v>
      </c>
      <c r="AG205" s="3">
        <v>914255</v>
      </c>
      <c r="AH205" s="2">
        <v>10.45</v>
      </c>
      <c r="AI205" s="5">
        <v>9.2100000000000009</v>
      </c>
    </row>
    <row r="206" spans="1:35" x14ac:dyDescent="0.3">
      <c r="A206" s="4" t="str">
        <f>"212001"</f>
        <v>212001</v>
      </c>
      <c r="B206" s="2" t="s">
        <v>205</v>
      </c>
      <c r="C206" s="3">
        <v>28096656</v>
      </c>
      <c r="D206" s="3">
        <v>28300088</v>
      </c>
      <c r="E206" s="2">
        <v>0.72</v>
      </c>
      <c r="F206" s="3">
        <v>7028483</v>
      </c>
      <c r="G206" s="3">
        <v>7169053</v>
      </c>
      <c r="H206" s="3"/>
      <c r="I206" s="3"/>
      <c r="J206" s="3"/>
      <c r="K206" s="3"/>
      <c r="L206" s="3"/>
      <c r="M206" s="3"/>
      <c r="N206" s="3">
        <v>7028483</v>
      </c>
      <c r="O206" s="3">
        <v>7169053</v>
      </c>
      <c r="P206" s="2">
        <v>2</v>
      </c>
      <c r="Q206" s="3">
        <v>235909</v>
      </c>
      <c r="R206" s="3">
        <v>248511</v>
      </c>
      <c r="S206" s="3">
        <v>6804486</v>
      </c>
      <c r="T206" s="3">
        <v>7126999</v>
      </c>
      <c r="U206" s="3">
        <v>6792574</v>
      </c>
      <c r="V206" s="3">
        <v>6920542</v>
      </c>
      <c r="W206" s="3">
        <v>11912</v>
      </c>
      <c r="X206" s="3">
        <v>206457</v>
      </c>
      <c r="Y206" s="2">
        <v>1094</v>
      </c>
      <c r="Z206" s="2">
        <v>1030</v>
      </c>
      <c r="AA206" s="2">
        <v>-5.85</v>
      </c>
      <c r="AB206" s="3">
        <v>6634264</v>
      </c>
      <c r="AC206" s="3">
        <v>6634264</v>
      </c>
      <c r="AD206" s="3">
        <v>1041377</v>
      </c>
      <c r="AE206" s="3">
        <v>1041377</v>
      </c>
      <c r="AF206" s="3">
        <v>2317946</v>
      </c>
      <c r="AG206" s="3">
        <v>1132004</v>
      </c>
      <c r="AH206" s="2">
        <v>8.25</v>
      </c>
      <c r="AI206" s="5">
        <v>4</v>
      </c>
    </row>
    <row r="207" spans="1:35" x14ac:dyDescent="0.3">
      <c r="A207" s="4" t="str">
        <f>"212101"</f>
        <v>212101</v>
      </c>
      <c r="B207" s="2" t="s">
        <v>206</v>
      </c>
      <c r="C207" s="3">
        <v>50476332</v>
      </c>
      <c r="D207" s="3">
        <v>51074162</v>
      </c>
      <c r="E207" s="2">
        <v>1.18</v>
      </c>
      <c r="F207" s="3">
        <v>8600000</v>
      </c>
      <c r="G207" s="3">
        <v>8725000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8600000</v>
      </c>
      <c r="O207" s="3">
        <v>8725000</v>
      </c>
      <c r="P207" s="2">
        <v>1.45</v>
      </c>
      <c r="Q207" s="3">
        <v>0</v>
      </c>
      <c r="R207" s="3">
        <v>0</v>
      </c>
      <c r="S207" s="3">
        <v>8602755</v>
      </c>
      <c r="T207" s="3">
        <v>8725108</v>
      </c>
      <c r="U207" s="3">
        <v>8600000</v>
      </c>
      <c r="V207" s="3">
        <v>8725000</v>
      </c>
      <c r="W207" s="3">
        <v>2755</v>
      </c>
      <c r="X207" s="3">
        <v>108</v>
      </c>
      <c r="Y207" s="2">
        <v>2206</v>
      </c>
      <c r="Z207" s="2">
        <v>2211</v>
      </c>
      <c r="AA207" s="2">
        <v>0.23</v>
      </c>
      <c r="AB207" s="3">
        <v>1800000</v>
      </c>
      <c r="AC207" s="3">
        <v>6800000</v>
      </c>
      <c r="AD207" s="3">
        <v>768087</v>
      </c>
      <c r="AE207" s="3">
        <v>89036</v>
      </c>
      <c r="AF207" s="3">
        <v>7401593</v>
      </c>
      <c r="AG207" s="3">
        <v>2151593</v>
      </c>
      <c r="AH207" s="2">
        <v>14.66</v>
      </c>
      <c r="AI207" s="5">
        <v>4.21</v>
      </c>
    </row>
    <row r="208" spans="1:35" x14ac:dyDescent="0.3">
      <c r="A208" s="4" t="str">
        <f>"220101"</f>
        <v>220101</v>
      </c>
      <c r="B208" s="2" t="s">
        <v>207</v>
      </c>
      <c r="C208" s="3">
        <v>36972338</v>
      </c>
      <c r="D208" s="3">
        <v>37241566</v>
      </c>
      <c r="E208" s="2">
        <v>0.73</v>
      </c>
      <c r="F208" s="3">
        <v>8144000</v>
      </c>
      <c r="G208" s="3">
        <v>8225440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8144000</v>
      </c>
      <c r="O208" s="3">
        <v>8225440</v>
      </c>
      <c r="P208" s="2">
        <v>1</v>
      </c>
      <c r="Q208" s="3">
        <v>224052</v>
      </c>
      <c r="R208" s="3">
        <v>136684</v>
      </c>
      <c r="S208" s="3">
        <v>7922169</v>
      </c>
      <c r="T208" s="3">
        <v>8088756</v>
      </c>
      <c r="U208" s="3">
        <v>7919948</v>
      </c>
      <c r="V208" s="3">
        <v>8088756</v>
      </c>
      <c r="W208" s="3">
        <v>2221</v>
      </c>
      <c r="X208" s="3">
        <v>0</v>
      </c>
      <c r="Y208" s="2">
        <v>1894</v>
      </c>
      <c r="Z208" s="2">
        <v>1894</v>
      </c>
      <c r="AA208" s="2">
        <v>0</v>
      </c>
      <c r="AB208" s="3">
        <v>282341</v>
      </c>
      <c r="AC208" s="3">
        <v>30524</v>
      </c>
      <c r="AD208" s="3">
        <v>2382775</v>
      </c>
      <c r="AE208" s="3">
        <v>2264011</v>
      </c>
      <c r="AF208" s="3">
        <v>2950404</v>
      </c>
      <c r="AG208" s="3">
        <v>2726695</v>
      </c>
      <c r="AH208" s="2">
        <v>7.98</v>
      </c>
      <c r="AI208" s="5">
        <v>7.32</v>
      </c>
    </row>
    <row r="209" spans="1:35" x14ac:dyDescent="0.3">
      <c r="A209" s="4" t="str">
        <f>"220202"</f>
        <v>220202</v>
      </c>
      <c r="B209" s="2" t="s">
        <v>208</v>
      </c>
      <c r="C209" s="3">
        <v>13939687</v>
      </c>
      <c r="D209" s="3">
        <v>14231186</v>
      </c>
      <c r="E209" s="2">
        <v>2.09</v>
      </c>
      <c r="F209" s="3">
        <v>7724152</v>
      </c>
      <c r="G209" s="3">
        <v>7859326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7724152</v>
      </c>
      <c r="O209" s="3">
        <v>7859326</v>
      </c>
      <c r="P209" s="2">
        <v>1.75</v>
      </c>
      <c r="Q209" s="3">
        <v>331992</v>
      </c>
      <c r="R209" s="3">
        <v>367888</v>
      </c>
      <c r="S209" s="3">
        <v>7370071</v>
      </c>
      <c r="T209" s="3">
        <v>7547300</v>
      </c>
      <c r="U209" s="3">
        <v>7392160</v>
      </c>
      <c r="V209" s="3">
        <v>7491438</v>
      </c>
      <c r="W209" s="3">
        <v>-22089</v>
      </c>
      <c r="X209" s="3">
        <v>55862</v>
      </c>
      <c r="Y209" s="2">
        <v>500</v>
      </c>
      <c r="Z209" s="2">
        <v>518</v>
      </c>
      <c r="AA209" s="2">
        <v>3.6</v>
      </c>
      <c r="AB209" s="3">
        <v>1389477</v>
      </c>
      <c r="AC209" s="3">
        <v>518824</v>
      </c>
      <c r="AD209" s="3">
        <v>1015768</v>
      </c>
      <c r="AE209" s="3">
        <v>1025000</v>
      </c>
      <c r="AF209" s="3">
        <v>1776732</v>
      </c>
      <c r="AG209" s="3">
        <v>1683239</v>
      </c>
      <c r="AH209" s="2">
        <v>12.75</v>
      </c>
      <c r="AI209" s="5">
        <v>11.83</v>
      </c>
    </row>
    <row r="210" spans="1:35" x14ac:dyDescent="0.3">
      <c r="A210" s="4" t="str">
        <f>"220301"</f>
        <v>220301</v>
      </c>
      <c r="B210" s="2" t="s">
        <v>209</v>
      </c>
      <c r="C210" s="3">
        <v>90680394</v>
      </c>
      <c r="D210" s="3">
        <v>89921500</v>
      </c>
      <c r="E210" s="2">
        <v>-0.84</v>
      </c>
      <c r="F210" s="3">
        <v>2507302</v>
      </c>
      <c r="G210" s="3">
        <v>2583574</v>
      </c>
      <c r="H210" s="3"/>
      <c r="I210" s="3"/>
      <c r="J210" s="3"/>
      <c r="K210" s="3"/>
      <c r="L210" s="3"/>
      <c r="M210" s="3"/>
      <c r="N210" s="3">
        <v>2507302</v>
      </c>
      <c r="O210" s="3">
        <v>2583574</v>
      </c>
      <c r="P210" s="2">
        <v>3.04</v>
      </c>
      <c r="Q210" s="3">
        <v>865363</v>
      </c>
      <c r="R210" s="3">
        <v>1176223</v>
      </c>
      <c r="S210" s="3">
        <v>2177523</v>
      </c>
      <c r="T210" s="3">
        <v>1680156</v>
      </c>
      <c r="U210" s="3">
        <v>1641939</v>
      </c>
      <c r="V210" s="3">
        <v>1407351</v>
      </c>
      <c r="W210" s="3">
        <v>535584</v>
      </c>
      <c r="X210" s="3">
        <v>272805</v>
      </c>
      <c r="Y210" s="2">
        <v>3744</v>
      </c>
      <c r="Z210" s="2">
        <v>3528</v>
      </c>
      <c r="AA210" s="2">
        <v>-5.77</v>
      </c>
      <c r="AB210" s="3">
        <v>10691473</v>
      </c>
      <c r="AC210" s="3">
        <v>18350000</v>
      </c>
      <c r="AD210" s="3">
        <v>19937092</v>
      </c>
      <c r="AE210" s="3">
        <v>18509228</v>
      </c>
      <c r="AF210" s="3">
        <v>11591596</v>
      </c>
      <c r="AG210" s="3">
        <v>9507344</v>
      </c>
      <c r="AH210" s="2">
        <v>12.78</v>
      </c>
      <c r="AI210" s="5">
        <v>10.57</v>
      </c>
    </row>
    <row r="211" spans="1:35" x14ac:dyDescent="0.3">
      <c r="A211" s="4" t="str">
        <f>"220401"</f>
        <v>220401</v>
      </c>
      <c r="B211" s="2" t="s">
        <v>210</v>
      </c>
      <c r="C211" s="3">
        <v>24334794</v>
      </c>
      <c r="D211" s="3">
        <v>25454592</v>
      </c>
      <c r="E211" s="2">
        <v>4.5999999999999996</v>
      </c>
      <c r="F211" s="3">
        <v>8280646</v>
      </c>
      <c r="G211" s="3">
        <v>8599810</v>
      </c>
      <c r="H211" s="3"/>
      <c r="I211" s="3"/>
      <c r="J211" s="3"/>
      <c r="K211" s="3"/>
      <c r="L211" s="3"/>
      <c r="M211" s="3"/>
      <c r="N211" s="3">
        <v>8280646</v>
      </c>
      <c r="O211" s="3">
        <v>8599810</v>
      </c>
      <c r="P211" s="2">
        <v>3.85</v>
      </c>
      <c r="Q211" s="3">
        <v>261385</v>
      </c>
      <c r="R211" s="3">
        <v>412871</v>
      </c>
      <c r="S211" s="3">
        <v>8019261</v>
      </c>
      <c r="T211" s="3">
        <v>8186939</v>
      </c>
      <c r="U211" s="3">
        <v>8019261</v>
      </c>
      <c r="V211" s="3">
        <v>8186939</v>
      </c>
      <c r="W211" s="3">
        <v>0</v>
      </c>
      <c r="X211" s="3">
        <v>0</v>
      </c>
      <c r="Y211" s="2">
        <v>1436</v>
      </c>
      <c r="Z211" s="2">
        <v>1447</v>
      </c>
      <c r="AA211" s="2">
        <v>0.77</v>
      </c>
      <c r="AB211" s="3">
        <v>3791190</v>
      </c>
      <c r="AC211" s="3">
        <v>4071000</v>
      </c>
      <c r="AD211" s="3">
        <v>1010918</v>
      </c>
      <c r="AE211" s="3">
        <v>1200000</v>
      </c>
      <c r="AF211" s="3">
        <v>2120689</v>
      </c>
      <c r="AG211" s="3">
        <v>2000000</v>
      </c>
      <c r="AH211" s="2">
        <v>8.7100000000000009</v>
      </c>
      <c r="AI211" s="5">
        <v>7.86</v>
      </c>
    </row>
    <row r="212" spans="1:35" x14ac:dyDescent="0.3">
      <c r="A212" s="4" t="str">
        <f>"220701"</f>
        <v>220701</v>
      </c>
      <c r="B212" s="2" t="s">
        <v>211</v>
      </c>
      <c r="C212" s="3">
        <v>23357642</v>
      </c>
      <c r="D212" s="3">
        <v>22922490</v>
      </c>
      <c r="E212" s="2">
        <v>-1.86</v>
      </c>
      <c r="F212" s="3">
        <v>11822499</v>
      </c>
      <c r="G212" s="3">
        <v>11822499</v>
      </c>
      <c r="H212" s="3"/>
      <c r="I212" s="3"/>
      <c r="J212" s="3"/>
      <c r="K212" s="3"/>
      <c r="L212" s="3"/>
      <c r="M212" s="3"/>
      <c r="N212" s="3">
        <v>11822499</v>
      </c>
      <c r="O212" s="3">
        <v>11822499</v>
      </c>
      <c r="P212" s="2">
        <v>0</v>
      </c>
      <c r="Q212" s="3">
        <v>562303</v>
      </c>
      <c r="R212" s="3">
        <v>680674</v>
      </c>
      <c r="S212" s="3">
        <v>11682174</v>
      </c>
      <c r="T212" s="3">
        <v>11474420</v>
      </c>
      <c r="U212" s="3">
        <v>11260196</v>
      </c>
      <c r="V212" s="3">
        <v>11141825</v>
      </c>
      <c r="W212" s="3">
        <v>421978</v>
      </c>
      <c r="X212" s="3">
        <v>332595</v>
      </c>
      <c r="Y212" s="2">
        <v>860</v>
      </c>
      <c r="Z212" s="2">
        <v>840</v>
      </c>
      <c r="AA212" s="2">
        <v>-2.33</v>
      </c>
      <c r="AB212" s="3">
        <v>3493120</v>
      </c>
      <c r="AC212" s="3">
        <v>4997000</v>
      </c>
      <c r="AD212" s="3">
        <v>1693467</v>
      </c>
      <c r="AE212" s="3">
        <v>796222</v>
      </c>
      <c r="AF212" s="3">
        <v>2992846</v>
      </c>
      <c r="AG212" s="3">
        <v>3126263</v>
      </c>
      <c r="AH212" s="2">
        <v>12.81</v>
      </c>
      <c r="AI212" s="5">
        <v>13.64</v>
      </c>
    </row>
    <row r="213" spans="1:35" x14ac:dyDescent="0.3">
      <c r="A213" s="4" t="str">
        <f>"220909"</f>
        <v>220909</v>
      </c>
      <c r="B213" s="2" t="s">
        <v>212</v>
      </c>
      <c r="C213" s="3">
        <v>10989021</v>
      </c>
      <c r="D213" s="3">
        <v>11374742</v>
      </c>
      <c r="E213" s="2">
        <v>3.51</v>
      </c>
      <c r="F213" s="3">
        <v>4787183</v>
      </c>
      <c r="G213" s="3">
        <v>4933977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4787183</v>
      </c>
      <c r="O213" s="3">
        <v>4933977</v>
      </c>
      <c r="P213" s="2">
        <v>3.07</v>
      </c>
      <c r="Q213" s="3">
        <v>199841</v>
      </c>
      <c r="R213" s="3">
        <v>280041</v>
      </c>
      <c r="S213" s="3">
        <v>4787183</v>
      </c>
      <c r="T213" s="3">
        <v>4933977</v>
      </c>
      <c r="U213" s="3">
        <v>4587342</v>
      </c>
      <c r="V213" s="3">
        <v>4653936</v>
      </c>
      <c r="W213" s="3">
        <v>199841</v>
      </c>
      <c r="X213" s="3">
        <v>280041</v>
      </c>
      <c r="Y213" s="2">
        <v>502</v>
      </c>
      <c r="Z213" s="2">
        <v>502</v>
      </c>
      <c r="AA213" s="2">
        <v>0</v>
      </c>
      <c r="AB213" s="3">
        <v>860412</v>
      </c>
      <c r="AC213" s="3">
        <v>1194412</v>
      </c>
      <c r="AD213" s="3">
        <v>695000</v>
      </c>
      <c r="AE213" s="3">
        <v>695000</v>
      </c>
      <c r="AF213" s="3">
        <v>545842</v>
      </c>
      <c r="AG213" s="3">
        <v>946343</v>
      </c>
      <c r="AH213" s="2">
        <v>4.97</v>
      </c>
      <c r="AI213" s="5">
        <v>8.32</v>
      </c>
    </row>
    <row r="214" spans="1:35" x14ac:dyDescent="0.3">
      <c r="A214" s="4" t="str">
        <f>"221001"</f>
        <v>221001</v>
      </c>
      <c r="B214" s="2" t="s">
        <v>213</v>
      </c>
      <c r="C214" s="3">
        <v>9226315</v>
      </c>
      <c r="D214" s="3">
        <v>9438235</v>
      </c>
      <c r="E214" s="2">
        <v>2.2999999999999998</v>
      </c>
      <c r="F214" s="3">
        <v>4308165</v>
      </c>
      <c r="G214" s="3">
        <v>4308165</v>
      </c>
      <c r="H214" s="3"/>
      <c r="I214" s="3"/>
      <c r="J214" s="3"/>
      <c r="K214" s="3"/>
      <c r="L214" s="3"/>
      <c r="M214" s="3"/>
      <c r="N214" s="3">
        <v>4308165</v>
      </c>
      <c r="O214" s="3">
        <v>4308165</v>
      </c>
      <c r="P214" s="2">
        <v>0</v>
      </c>
      <c r="Q214" s="3">
        <v>271326</v>
      </c>
      <c r="R214" s="3">
        <v>193638</v>
      </c>
      <c r="S214" s="3">
        <v>4183889</v>
      </c>
      <c r="T214" s="3">
        <v>4117354</v>
      </c>
      <c r="U214" s="3">
        <v>4036839</v>
      </c>
      <c r="V214" s="3">
        <v>4114527</v>
      </c>
      <c r="W214" s="3">
        <v>147050</v>
      </c>
      <c r="X214" s="3">
        <v>2827</v>
      </c>
      <c r="Y214" s="2">
        <v>419</v>
      </c>
      <c r="Z214" s="2">
        <v>392</v>
      </c>
      <c r="AA214" s="2">
        <v>-6.44</v>
      </c>
      <c r="AB214" s="3">
        <v>1119661</v>
      </c>
      <c r="AC214" s="3">
        <v>1620222</v>
      </c>
      <c r="AD214" s="3">
        <v>385000</v>
      </c>
      <c r="AE214" s="3">
        <v>385000</v>
      </c>
      <c r="AF214" s="3">
        <v>602554</v>
      </c>
      <c r="AG214" s="3">
        <v>366804</v>
      </c>
      <c r="AH214" s="2">
        <v>6.53</v>
      </c>
      <c r="AI214" s="5">
        <v>3.89</v>
      </c>
    </row>
    <row r="215" spans="1:35" x14ac:dyDescent="0.3">
      <c r="A215" s="4" t="str">
        <f>"221301"</f>
        <v>221301</v>
      </c>
      <c r="B215" s="2" t="s">
        <v>214</v>
      </c>
      <c r="C215" s="3">
        <v>8661976</v>
      </c>
      <c r="D215" s="3">
        <v>8825479</v>
      </c>
      <c r="E215" s="2">
        <v>1.89</v>
      </c>
      <c r="F215" s="3">
        <v>4206129</v>
      </c>
      <c r="G215" s="3">
        <v>4206129</v>
      </c>
      <c r="H215" s="3"/>
      <c r="I215" s="3"/>
      <c r="J215" s="3"/>
      <c r="K215" s="3"/>
      <c r="L215" s="3"/>
      <c r="M215" s="3"/>
      <c r="N215" s="3">
        <v>4206129</v>
      </c>
      <c r="O215" s="3">
        <v>4206129</v>
      </c>
      <c r="P215" s="2">
        <v>0</v>
      </c>
      <c r="Q215" s="3">
        <v>176407</v>
      </c>
      <c r="R215" s="3">
        <v>134451</v>
      </c>
      <c r="S215" s="3">
        <v>4029722</v>
      </c>
      <c r="T215" s="3">
        <v>4117183</v>
      </c>
      <c r="U215" s="3">
        <v>4029722</v>
      </c>
      <c r="V215" s="3">
        <v>4071678</v>
      </c>
      <c r="W215" s="3">
        <v>0</v>
      </c>
      <c r="X215" s="3">
        <v>45505</v>
      </c>
      <c r="Y215" s="2">
        <v>346</v>
      </c>
      <c r="Z215" s="2">
        <v>352</v>
      </c>
      <c r="AA215" s="2">
        <v>1.73</v>
      </c>
      <c r="AB215" s="3">
        <v>2431831</v>
      </c>
      <c r="AC215" s="3">
        <v>2438150</v>
      </c>
      <c r="AD215" s="3">
        <v>614548</v>
      </c>
      <c r="AE215" s="3">
        <v>780000</v>
      </c>
      <c r="AF215" s="3">
        <v>1346316</v>
      </c>
      <c r="AG215" s="3">
        <v>1193545</v>
      </c>
      <c r="AH215" s="2">
        <v>15.54</v>
      </c>
      <c r="AI215" s="5">
        <v>13.52</v>
      </c>
    </row>
    <row r="216" spans="1:35" x14ac:dyDescent="0.3">
      <c r="A216" s="4" t="str">
        <f>"221401"</f>
        <v>221401</v>
      </c>
      <c r="B216" s="2" t="s">
        <v>215</v>
      </c>
      <c r="C216" s="3">
        <v>12030084</v>
      </c>
      <c r="D216" s="3">
        <v>11900000</v>
      </c>
      <c r="E216" s="2">
        <v>-1.08</v>
      </c>
      <c r="F216" s="3">
        <v>4160120</v>
      </c>
      <c r="G216" s="3">
        <v>4160120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4160120</v>
      </c>
      <c r="O216" s="3">
        <v>4160120</v>
      </c>
      <c r="P216" s="2">
        <v>0</v>
      </c>
      <c r="Q216" s="3">
        <v>378676</v>
      </c>
      <c r="R216" s="3">
        <v>323249</v>
      </c>
      <c r="S216" s="3">
        <v>3781448</v>
      </c>
      <c r="T216" s="3">
        <v>3837272</v>
      </c>
      <c r="U216" s="3">
        <v>3781444</v>
      </c>
      <c r="V216" s="3">
        <v>3836871</v>
      </c>
      <c r="W216" s="3">
        <v>4</v>
      </c>
      <c r="X216" s="3">
        <v>401</v>
      </c>
      <c r="Y216" s="2">
        <v>504</v>
      </c>
      <c r="Z216" s="2">
        <v>504</v>
      </c>
      <c r="AA216" s="2">
        <v>0</v>
      </c>
      <c r="AB216" s="3">
        <v>3234339</v>
      </c>
      <c r="AC216" s="3">
        <v>3621708</v>
      </c>
      <c r="AD216" s="3">
        <v>935308</v>
      </c>
      <c r="AE216" s="3">
        <v>733795</v>
      </c>
      <c r="AF216" s="3">
        <v>398896</v>
      </c>
      <c r="AG216" s="3">
        <v>476000</v>
      </c>
      <c r="AH216" s="2">
        <v>3.32</v>
      </c>
      <c r="AI216" s="5">
        <v>4</v>
      </c>
    </row>
    <row r="217" spans="1:35" x14ac:dyDescent="0.3">
      <c r="A217" s="4" t="str">
        <f>"222000"</f>
        <v>222000</v>
      </c>
      <c r="B217" s="2" t="s">
        <v>216</v>
      </c>
      <c r="C217" s="3">
        <v>77006009</v>
      </c>
      <c r="D217" s="3">
        <v>78377057</v>
      </c>
      <c r="E217" s="2">
        <v>1.78</v>
      </c>
      <c r="F217" s="3">
        <v>16710509</v>
      </c>
      <c r="G217" s="3">
        <v>17011298</v>
      </c>
      <c r="H217" s="3"/>
      <c r="I217" s="3"/>
      <c r="J217" s="3"/>
      <c r="K217" s="3"/>
      <c r="L217" s="3"/>
      <c r="M217" s="3"/>
      <c r="N217" s="3">
        <v>16710509</v>
      </c>
      <c r="O217" s="3">
        <v>17011298</v>
      </c>
      <c r="P217" s="2">
        <v>1.8</v>
      </c>
      <c r="Q217" s="3">
        <v>207376</v>
      </c>
      <c r="R217" s="3">
        <v>199030</v>
      </c>
      <c r="S217" s="3">
        <v>16640458</v>
      </c>
      <c r="T217" s="3">
        <v>16815509</v>
      </c>
      <c r="U217" s="3">
        <v>16503133</v>
      </c>
      <c r="V217" s="3">
        <v>16812268</v>
      </c>
      <c r="W217" s="3">
        <v>137325</v>
      </c>
      <c r="X217" s="3">
        <v>3241</v>
      </c>
      <c r="Y217" s="2">
        <v>4100</v>
      </c>
      <c r="Z217" s="2">
        <v>4050</v>
      </c>
      <c r="AA217" s="2">
        <v>-1.22</v>
      </c>
      <c r="AB217" s="3">
        <v>4163977</v>
      </c>
      <c r="AC217" s="3">
        <v>4087786</v>
      </c>
      <c r="AD217" s="3">
        <v>9973103</v>
      </c>
      <c r="AE217" s="3">
        <v>9233770</v>
      </c>
      <c r="AF217" s="3">
        <v>5244829</v>
      </c>
      <c r="AG217" s="3">
        <v>4099985</v>
      </c>
      <c r="AH217" s="2">
        <v>6.81</v>
      </c>
      <c r="AI217" s="5">
        <v>5.23</v>
      </c>
    </row>
    <row r="218" spans="1:35" x14ac:dyDescent="0.3">
      <c r="A218" s="4" t="str">
        <f>"222201"</f>
        <v>222201</v>
      </c>
      <c r="B218" s="2" t="s">
        <v>217</v>
      </c>
      <c r="C218" s="3">
        <v>64535873</v>
      </c>
      <c r="D218" s="3">
        <v>65752853</v>
      </c>
      <c r="E218" s="2">
        <v>1.89</v>
      </c>
      <c r="F218" s="3">
        <v>6591154</v>
      </c>
      <c r="G218" s="3">
        <v>6591154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/>
      <c r="N218" s="3">
        <v>6591154</v>
      </c>
      <c r="O218" s="3">
        <v>6591154</v>
      </c>
      <c r="P218" s="2">
        <v>0</v>
      </c>
      <c r="Q218" s="3">
        <v>874823</v>
      </c>
      <c r="R218" s="3">
        <v>760434</v>
      </c>
      <c r="S218" s="3">
        <v>5719382</v>
      </c>
      <c r="T218" s="3">
        <v>5830720</v>
      </c>
      <c r="U218" s="3">
        <v>5716331</v>
      </c>
      <c r="V218" s="3">
        <v>5830720</v>
      </c>
      <c r="W218" s="3">
        <v>3051</v>
      </c>
      <c r="X218" s="3">
        <v>0</v>
      </c>
      <c r="Y218" s="2">
        <v>3300</v>
      </c>
      <c r="Z218" s="2">
        <v>2910</v>
      </c>
      <c r="AA218" s="2">
        <v>-11.82</v>
      </c>
      <c r="AB218" s="3">
        <v>7834175</v>
      </c>
      <c r="AC218" s="3">
        <v>8808132</v>
      </c>
      <c r="AD218" s="3">
        <v>3555827</v>
      </c>
      <c r="AE218" s="3">
        <v>6100000</v>
      </c>
      <c r="AF218" s="3">
        <v>22000000</v>
      </c>
      <c r="AG218" s="3">
        <v>19700000</v>
      </c>
      <c r="AH218" s="2">
        <v>34.090000000000003</v>
      </c>
      <c r="AI218" s="5">
        <v>29.96</v>
      </c>
    </row>
    <row r="219" spans="1:35" x14ac:dyDescent="0.3">
      <c r="A219" s="4" t="str">
        <f>"230201"</f>
        <v>230201</v>
      </c>
      <c r="B219" s="2" t="s">
        <v>218</v>
      </c>
      <c r="C219" s="3">
        <v>11207621</v>
      </c>
      <c r="D219" s="3">
        <v>11674922</v>
      </c>
      <c r="E219" s="2">
        <v>4.17</v>
      </c>
      <c r="F219" s="3">
        <v>1770754</v>
      </c>
      <c r="G219" s="3">
        <v>1788462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1770754</v>
      </c>
      <c r="O219" s="3">
        <v>1788462</v>
      </c>
      <c r="P219" s="2">
        <v>1</v>
      </c>
      <c r="Q219" s="3">
        <v>265589</v>
      </c>
      <c r="R219" s="3">
        <v>249621</v>
      </c>
      <c r="S219" s="3">
        <v>1788558</v>
      </c>
      <c r="T219" s="3">
        <v>1568385</v>
      </c>
      <c r="U219" s="3">
        <v>1505165</v>
      </c>
      <c r="V219" s="3">
        <v>1538841</v>
      </c>
      <c r="W219" s="3">
        <v>283393</v>
      </c>
      <c r="X219" s="3">
        <v>29544</v>
      </c>
      <c r="Y219" s="2">
        <v>461</v>
      </c>
      <c r="Z219" s="2">
        <v>475</v>
      </c>
      <c r="AA219" s="2">
        <v>3.04</v>
      </c>
      <c r="AB219" s="3">
        <v>1032662</v>
      </c>
      <c r="AC219" s="3">
        <v>1382662</v>
      </c>
      <c r="AD219" s="3">
        <v>810716</v>
      </c>
      <c r="AE219" s="3">
        <v>814679</v>
      </c>
      <c r="AF219" s="3">
        <v>1613913</v>
      </c>
      <c r="AG219" s="3">
        <v>1267877</v>
      </c>
      <c r="AH219" s="2">
        <v>14.4</v>
      </c>
      <c r="AI219" s="5">
        <v>10.86</v>
      </c>
    </row>
    <row r="220" spans="1:35" x14ac:dyDescent="0.3">
      <c r="A220" s="4" t="str">
        <f>"230301"</f>
        <v>230301</v>
      </c>
      <c r="B220" s="2" t="s">
        <v>219</v>
      </c>
      <c r="C220" s="3">
        <v>10944197</v>
      </c>
      <c r="D220" s="3">
        <v>11644734</v>
      </c>
      <c r="E220" s="2">
        <v>6.4</v>
      </c>
      <c r="F220" s="3">
        <v>4010770</v>
      </c>
      <c r="G220" s="3">
        <v>4027212</v>
      </c>
      <c r="H220" s="3"/>
      <c r="I220" s="3"/>
      <c r="J220" s="3"/>
      <c r="K220" s="3"/>
      <c r="L220" s="3"/>
      <c r="M220" s="3"/>
      <c r="N220" s="3">
        <v>4010770</v>
      </c>
      <c r="O220" s="3">
        <v>4027212</v>
      </c>
      <c r="P220" s="2">
        <v>0.41</v>
      </c>
      <c r="Q220" s="3">
        <v>232404</v>
      </c>
      <c r="R220" s="3">
        <v>187350</v>
      </c>
      <c r="S220" s="3">
        <v>3778366</v>
      </c>
      <c r="T220" s="3">
        <v>3839862</v>
      </c>
      <c r="U220" s="3">
        <v>3778366</v>
      </c>
      <c r="V220" s="3">
        <v>3839862</v>
      </c>
      <c r="W220" s="3">
        <v>0</v>
      </c>
      <c r="X220" s="3">
        <v>0</v>
      </c>
      <c r="Y220" s="2">
        <v>370</v>
      </c>
      <c r="Z220" s="2">
        <v>358</v>
      </c>
      <c r="AA220" s="2">
        <v>-3.24</v>
      </c>
      <c r="AB220" s="3">
        <v>1767741</v>
      </c>
      <c r="AC220" s="3">
        <v>1768064</v>
      </c>
      <c r="AD220" s="3">
        <v>571006</v>
      </c>
      <c r="AE220" s="3">
        <v>477364</v>
      </c>
      <c r="AF220" s="3">
        <v>192614</v>
      </c>
      <c r="AG220" s="3">
        <v>349342</v>
      </c>
      <c r="AH220" s="2">
        <v>1.76</v>
      </c>
      <c r="AI220" s="5">
        <v>3</v>
      </c>
    </row>
    <row r="221" spans="1:35" x14ac:dyDescent="0.3">
      <c r="A221" s="4" t="str">
        <f>"230901"</f>
        <v>230901</v>
      </c>
      <c r="B221" s="2" t="s">
        <v>220</v>
      </c>
      <c r="C221" s="3">
        <v>27689526</v>
      </c>
      <c r="D221" s="3">
        <v>28067434</v>
      </c>
      <c r="E221" s="2">
        <v>1.36</v>
      </c>
      <c r="F221" s="3">
        <v>4457333</v>
      </c>
      <c r="G221" s="3">
        <v>4546480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4457333</v>
      </c>
      <c r="O221" s="3">
        <v>4546480</v>
      </c>
      <c r="P221" s="2">
        <v>2</v>
      </c>
      <c r="Q221" s="3">
        <v>6569</v>
      </c>
      <c r="R221" s="3">
        <v>0</v>
      </c>
      <c r="S221" s="3">
        <v>5618379</v>
      </c>
      <c r="T221" s="3">
        <v>4832958</v>
      </c>
      <c r="U221" s="3">
        <v>4450764</v>
      </c>
      <c r="V221" s="3">
        <v>4546480</v>
      </c>
      <c r="W221" s="3">
        <v>1167615</v>
      </c>
      <c r="X221" s="3">
        <v>286478</v>
      </c>
      <c r="Y221" s="2">
        <v>1366</v>
      </c>
      <c r="Z221" s="2">
        <v>1259</v>
      </c>
      <c r="AA221" s="2">
        <v>-7.83</v>
      </c>
      <c r="AB221" s="3">
        <v>13024465</v>
      </c>
      <c r="AC221" s="3">
        <v>12924465</v>
      </c>
      <c r="AD221" s="3">
        <v>2150000</v>
      </c>
      <c r="AE221" s="3">
        <v>1725000</v>
      </c>
      <c r="AF221" s="3">
        <v>991434</v>
      </c>
      <c r="AG221" s="3">
        <v>856435</v>
      </c>
      <c r="AH221" s="2">
        <v>3.58</v>
      </c>
      <c r="AI221" s="5">
        <v>3.05</v>
      </c>
    </row>
    <row r="222" spans="1:35" x14ac:dyDescent="0.3">
      <c r="A222" s="4" t="str">
        <f>"231101"</f>
        <v>231101</v>
      </c>
      <c r="B222" s="2" t="s">
        <v>221</v>
      </c>
      <c r="C222" s="3">
        <v>26453524</v>
      </c>
      <c r="D222" s="3">
        <v>28000656</v>
      </c>
      <c r="E222" s="2">
        <v>5.85</v>
      </c>
      <c r="F222" s="3">
        <v>8817029</v>
      </c>
      <c r="G222" s="3">
        <v>9101819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8817029</v>
      </c>
      <c r="O222" s="3">
        <v>9101819</v>
      </c>
      <c r="P222" s="2">
        <v>3.23</v>
      </c>
      <c r="Q222" s="3">
        <v>102226</v>
      </c>
      <c r="R222" s="3">
        <v>1320547</v>
      </c>
      <c r="S222" s="3">
        <v>8748277</v>
      </c>
      <c r="T222" s="3">
        <v>8782486</v>
      </c>
      <c r="U222" s="3">
        <v>8714803</v>
      </c>
      <c r="V222" s="3">
        <v>7781272</v>
      </c>
      <c r="W222" s="3">
        <v>33474</v>
      </c>
      <c r="X222" s="3">
        <v>1001214</v>
      </c>
      <c r="Y222" s="2">
        <v>1023</v>
      </c>
      <c r="Z222" s="2">
        <v>1020</v>
      </c>
      <c r="AA222" s="2">
        <v>-0.28999999999999998</v>
      </c>
      <c r="AB222" s="3">
        <v>612759</v>
      </c>
      <c r="AC222" s="3">
        <v>1792000</v>
      </c>
      <c r="AD222" s="3">
        <v>1388965</v>
      </c>
      <c r="AE222" s="3">
        <v>710000</v>
      </c>
      <c r="AF222" s="3">
        <v>2427375</v>
      </c>
      <c r="AG222" s="3">
        <v>2100000</v>
      </c>
      <c r="AH222" s="2">
        <v>9.18</v>
      </c>
      <c r="AI222" s="5">
        <v>7.5</v>
      </c>
    </row>
    <row r="223" spans="1:35" x14ac:dyDescent="0.3">
      <c r="A223" s="4" t="str">
        <f>"231301"</f>
        <v>231301</v>
      </c>
      <c r="B223" s="2" t="s">
        <v>222</v>
      </c>
      <c r="C223" s="3">
        <v>17585015</v>
      </c>
      <c r="D223" s="3">
        <v>18241189</v>
      </c>
      <c r="E223" s="2">
        <v>3.73</v>
      </c>
      <c r="F223" s="3">
        <v>5510288</v>
      </c>
      <c r="G223" s="3">
        <v>5620494</v>
      </c>
      <c r="H223" s="3"/>
      <c r="I223" s="3"/>
      <c r="J223" s="3"/>
      <c r="K223" s="3"/>
      <c r="L223" s="3"/>
      <c r="M223" s="3"/>
      <c r="N223" s="3">
        <v>5510288</v>
      </c>
      <c r="O223" s="3">
        <v>5620494</v>
      </c>
      <c r="P223" s="2">
        <v>2</v>
      </c>
      <c r="Q223" s="3">
        <v>246793</v>
      </c>
      <c r="R223" s="3">
        <v>268115</v>
      </c>
      <c r="S223" s="3">
        <v>5517959</v>
      </c>
      <c r="T223" s="3">
        <v>5621908</v>
      </c>
      <c r="U223" s="3">
        <v>5263495</v>
      </c>
      <c r="V223" s="3">
        <v>5352379</v>
      </c>
      <c r="W223" s="3">
        <v>254464</v>
      </c>
      <c r="X223" s="3">
        <v>269529</v>
      </c>
      <c r="Y223" s="2">
        <v>889</v>
      </c>
      <c r="Z223" s="2">
        <v>803</v>
      </c>
      <c r="AA223" s="2">
        <v>-9.67</v>
      </c>
      <c r="AB223" s="3">
        <v>794793</v>
      </c>
      <c r="AC223" s="3">
        <v>1307160</v>
      </c>
      <c r="AD223" s="3">
        <v>1000000</v>
      </c>
      <c r="AE223" s="3">
        <v>1000000</v>
      </c>
      <c r="AF223" s="3">
        <v>2879352</v>
      </c>
      <c r="AG223" s="3">
        <v>2891129</v>
      </c>
      <c r="AH223" s="2">
        <v>16.37</v>
      </c>
      <c r="AI223" s="5">
        <v>15.85</v>
      </c>
    </row>
    <row r="224" spans="1:35" x14ac:dyDescent="0.3">
      <c r="A224" s="4" t="str">
        <f>"240101"</f>
        <v>240101</v>
      </c>
      <c r="B224" s="2" t="s">
        <v>223</v>
      </c>
      <c r="C224" s="3">
        <v>20756651</v>
      </c>
      <c r="D224" s="3">
        <v>21749604</v>
      </c>
      <c r="E224" s="2">
        <v>4.78</v>
      </c>
      <c r="F224" s="3">
        <v>10143951</v>
      </c>
      <c r="G224" s="3">
        <v>10250000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10143951</v>
      </c>
      <c r="O224" s="3">
        <v>10250000</v>
      </c>
      <c r="P224" s="2">
        <v>1.05</v>
      </c>
      <c r="Q224" s="3">
        <v>0</v>
      </c>
      <c r="R224" s="3">
        <v>0</v>
      </c>
      <c r="S224" s="3">
        <v>10324831</v>
      </c>
      <c r="T224" s="3">
        <v>10250372</v>
      </c>
      <c r="U224" s="3">
        <v>10143951</v>
      </c>
      <c r="V224" s="3">
        <v>10250000</v>
      </c>
      <c r="W224" s="3">
        <v>180880</v>
      </c>
      <c r="X224" s="3">
        <v>372</v>
      </c>
      <c r="Y224" s="2">
        <v>944</v>
      </c>
      <c r="Z224" s="2">
        <v>910</v>
      </c>
      <c r="AA224" s="2">
        <v>-3.6</v>
      </c>
      <c r="AB224" s="3">
        <v>9801209</v>
      </c>
      <c r="AC224" s="3">
        <v>10005016</v>
      </c>
      <c r="AD224" s="3">
        <v>422072</v>
      </c>
      <c r="AE224" s="3">
        <v>425000</v>
      </c>
      <c r="AF224" s="3">
        <v>830266</v>
      </c>
      <c r="AG224" s="3">
        <v>869984</v>
      </c>
      <c r="AH224" s="2">
        <v>4</v>
      </c>
      <c r="AI224" s="5">
        <v>4</v>
      </c>
    </row>
    <row r="225" spans="1:35" x14ac:dyDescent="0.3">
      <c r="A225" s="4" t="str">
        <f>"240201"</f>
        <v>240201</v>
      </c>
      <c r="B225" s="2" t="s">
        <v>224</v>
      </c>
      <c r="C225" s="3">
        <v>18796774</v>
      </c>
      <c r="D225" s="3">
        <v>19019383</v>
      </c>
      <c r="E225" s="2">
        <v>1.18</v>
      </c>
      <c r="F225" s="3">
        <v>7317824</v>
      </c>
      <c r="G225" s="3">
        <v>7427200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7317824</v>
      </c>
      <c r="O225" s="3">
        <v>7427200</v>
      </c>
      <c r="P225" s="2">
        <v>1.49</v>
      </c>
      <c r="Q225" s="3">
        <v>133192</v>
      </c>
      <c r="R225" s="3">
        <v>113320</v>
      </c>
      <c r="S225" s="3">
        <v>7190814</v>
      </c>
      <c r="T225" s="3">
        <v>7366917</v>
      </c>
      <c r="U225" s="3">
        <v>7184632</v>
      </c>
      <c r="V225" s="3">
        <v>7313880</v>
      </c>
      <c r="W225" s="3">
        <v>6182</v>
      </c>
      <c r="X225" s="3">
        <v>53037</v>
      </c>
      <c r="Y225" s="2">
        <v>799</v>
      </c>
      <c r="Z225" s="2">
        <v>796</v>
      </c>
      <c r="AA225" s="2">
        <v>-0.38</v>
      </c>
      <c r="AB225" s="3">
        <v>1872249</v>
      </c>
      <c r="AC225" s="3">
        <v>2450000</v>
      </c>
      <c r="AD225" s="3">
        <v>365000</v>
      </c>
      <c r="AE225" s="3">
        <v>365000</v>
      </c>
      <c r="AF225" s="3">
        <v>734712</v>
      </c>
      <c r="AG225" s="3">
        <v>760000</v>
      </c>
      <c r="AH225" s="2">
        <v>3.91</v>
      </c>
      <c r="AI225" s="5">
        <v>4</v>
      </c>
    </row>
    <row r="226" spans="1:35" x14ac:dyDescent="0.3">
      <c r="A226" s="4" t="str">
        <f>"240401"</f>
        <v>240401</v>
      </c>
      <c r="B226" s="2" t="s">
        <v>225</v>
      </c>
      <c r="C226" s="3">
        <v>21493578</v>
      </c>
      <c r="D226" s="3">
        <v>21456271</v>
      </c>
      <c r="E226" s="2">
        <v>-0.17</v>
      </c>
      <c r="F226" s="3">
        <v>11519079</v>
      </c>
      <c r="G226" s="3">
        <v>11634269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11519079</v>
      </c>
      <c r="O226" s="3">
        <v>11634269</v>
      </c>
      <c r="P226" s="2">
        <v>1</v>
      </c>
      <c r="Q226" s="3">
        <v>699711</v>
      </c>
      <c r="R226" s="3">
        <v>245290</v>
      </c>
      <c r="S226" s="3">
        <v>10819368</v>
      </c>
      <c r="T226" s="3">
        <v>10887314</v>
      </c>
      <c r="U226" s="3">
        <v>10819368</v>
      </c>
      <c r="V226" s="3">
        <v>11388979</v>
      </c>
      <c r="W226" s="3">
        <v>0</v>
      </c>
      <c r="X226" s="3">
        <v>-501665</v>
      </c>
      <c r="Y226" s="2">
        <v>861</v>
      </c>
      <c r="Z226" s="2">
        <v>842</v>
      </c>
      <c r="AA226" s="2">
        <v>-2.21</v>
      </c>
      <c r="AB226" s="3">
        <v>4953028</v>
      </c>
      <c r="AC226" s="3">
        <v>3967077</v>
      </c>
      <c r="AD226" s="3">
        <v>597737</v>
      </c>
      <c r="AE226" s="3">
        <v>502464</v>
      </c>
      <c r="AF226" s="3">
        <v>859743</v>
      </c>
      <c r="AG226" s="3">
        <v>858250</v>
      </c>
      <c r="AH226" s="2">
        <v>4</v>
      </c>
      <c r="AI226" s="5">
        <v>4</v>
      </c>
    </row>
    <row r="227" spans="1:35" x14ac:dyDescent="0.3">
      <c r="A227" s="4" t="str">
        <f>"240801"</f>
        <v>240801</v>
      </c>
      <c r="B227" s="2" t="s">
        <v>226</v>
      </c>
      <c r="C227" s="3">
        <v>34697053</v>
      </c>
      <c r="D227" s="3">
        <v>35399145</v>
      </c>
      <c r="E227" s="2">
        <v>2.02</v>
      </c>
      <c r="F227" s="3">
        <v>18313261</v>
      </c>
      <c r="G227" s="3">
        <v>18634745</v>
      </c>
      <c r="H227" s="3"/>
      <c r="I227" s="3"/>
      <c r="J227" s="3"/>
      <c r="K227" s="3"/>
      <c r="L227" s="3"/>
      <c r="M227" s="3"/>
      <c r="N227" s="3">
        <v>18313261</v>
      </c>
      <c r="O227" s="3">
        <v>18634745</v>
      </c>
      <c r="P227" s="2">
        <v>1.76</v>
      </c>
      <c r="Q227" s="3">
        <v>962182</v>
      </c>
      <c r="R227" s="3">
        <v>934089</v>
      </c>
      <c r="S227" s="3">
        <v>17351079</v>
      </c>
      <c r="T227" s="3">
        <v>17700656</v>
      </c>
      <c r="U227" s="3">
        <v>17351079</v>
      </c>
      <c r="V227" s="3">
        <v>17700656</v>
      </c>
      <c r="W227" s="3">
        <v>0</v>
      </c>
      <c r="X227" s="3">
        <v>0</v>
      </c>
      <c r="Y227" s="2">
        <v>1440</v>
      </c>
      <c r="Z227" s="2">
        <v>1429</v>
      </c>
      <c r="AA227" s="2">
        <v>-0.76</v>
      </c>
      <c r="AB227" s="3">
        <v>3520445</v>
      </c>
      <c r="AC227" s="3">
        <v>4520445</v>
      </c>
      <c r="AD227" s="3">
        <v>745000</v>
      </c>
      <c r="AE227" s="3">
        <v>911208</v>
      </c>
      <c r="AF227" s="3">
        <v>1387884</v>
      </c>
      <c r="AG227" s="3">
        <v>1415966</v>
      </c>
      <c r="AH227" s="2">
        <v>4</v>
      </c>
      <c r="AI227" s="5">
        <v>4</v>
      </c>
    </row>
    <row r="228" spans="1:35" x14ac:dyDescent="0.3">
      <c r="A228" s="4" t="str">
        <f>"240901"</f>
        <v>240901</v>
      </c>
      <c r="B228" s="2" t="s">
        <v>227</v>
      </c>
      <c r="C228" s="3">
        <v>15463449</v>
      </c>
      <c r="D228" s="3">
        <v>16450572</v>
      </c>
      <c r="E228" s="2">
        <v>6.38</v>
      </c>
      <c r="F228" s="3">
        <v>4150936</v>
      </c>
      <c r="G228" s="3">
        <v>4150936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4150936</v>
      </c>
      <c r="O228" s="3">
        <v>4150936</v>
      </c>
      <c r="P228" s="2">
        <v>0</v>
      </c>
      <c r="Q228" s="3">
        <v>86554</v>
      </c>
      <c r="R228" s="3">
        <v>71970</v>
      </c>
      <c r="S228" s="3">
        <v>4066892</v>
      </c>
      <c r="T228" s="3">
        <v>4095705</v>
      </c>
      <c r="U228" s="3">
        <v>4064382</v>
      </c>
      <c r="V228" s="3">
        <v>4078966</v>
      </c>
      <c r="W228" s="3">
        <v>2510</v>
      </c>
      <c r="X228" s="3">
        <v>16739</v>
      </c>
      <c r="Y228" s="2">
        <v>560</v>
      </c>
      <c r="Z228" s="2">
        <v>566</v>
      </c>
      <c r="AA228" s="2">
        <v>1.07</v>
      </c>
      <c r="AB228" s="3">
        <v>2397839</v>
      </c>
      <c r="AC228" s="3">
        <v>2484785</v>
      </c>
      <c r="AD228" s="3">
        <v>760260</v>
      </c>
      <c r="AE228" s="3">
        <v>798878</v>
      </c>
      <c r="AF228" s="3">
        <v>597028</v>
      </c>
      <c r="AG228" s="3">
        <v>1260017</v>
      </c>
      <c r="AH228" s="2">
        <v>3.86</v>
      </c>
      <c r="AI228" s="5">
        <v>7.66</v>
      </c>
    </row>
    <row r="229" spans="1:35" x14ac:dyDescent="0.3">
      <c r="A229" s="4" t="str">
        <f>"241001"</f>
        <v>241001</v>
      </c>
      <c r="B229" s="2" t="s">
        <v>228</v>
      </c>
      <c r="C229" s="3">
        <v>33616146</v>
      </c>
      <c r="D229" s="3">
        <v>36134180</v>
      </c>
      <c r="E229" s="2">
        <v>7.49</v>
      </c>
      <c r="F229" s="3">
        <v>8678470</v>
      </c>
      <c r="G229" s="3">
        <v>8836780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8678470</v>
      </c>
      <c r="O229" s="3">
        <v>8836780</v>
      </c>
      <c r="P229" s="2">
        <v>1.82</v>
      </c>
      <c r="Q229" s="3">
        <v>0</v>
      </c>
      <c r="R229" s="3">
        <v>0</v>
      </c>
      <c r="S229" s="3">
        <v>8726927</v>
      </c>
      <c r="T229" s="3">
        <v>8836782</v>
      </c>
      <c r="U229" s="3">
        <v>8678470</v>
      </c>
      <c r="V229" s="3">
        <v>8836780</v>
      </c>
      <c r="W229" s="3">
        <v>48457</v>
      </c>
      <c r="X229" s="3">
        <v>2</v>
      </c>
      <c r="Y229" s="2">
        <v>1345</v>
      </c>
      <c r="Z229" s="2">
        <v>1290</v>
      </c>
      <c r="AA229" s="2">
        <v>-4.09</v>
      </c>
      <c r="AB229" s="3">
        <v>4594982</v>
      </c>
      <c r="AC229" s="3">
        <v>4364786</v>
      </c>
      <c r="AD229" s="3">
        <v>1829254</v>
      </c>
      <c r="AE229" s="3">
        <v>1942740</v>
      </c>
      <c r="AF229" s="3">
        <v>1344646</v>
      </c>
      <c r="AG229" s="3">
        <v>1445367</v>
      </c>
      <c r="AH229" s="2">
        <v>4</v>
      </c>
      <c r="AI229" s="5">
        <v>4</v>
      </c>
    </row>
    <row r="230" spans="1:35" x14ac:dyDescent="0.3">
      <c r="A230" s="4" t="str">
        <f>"241101"</f>
        <v>241101</v>
      </c>
      <c r="B230" s="2" t="s">
        <v>229</v>
      </c>
      <c r="C230" s="3">
        <v>17313298</v>
      </c>
      <c r="D230" s="3">
        <v>18199486</v>
      </c>
      <c r="E230" s="2">
        <v>5.12</v>
      </c>
      <c r="F230" s="3">
        <v>5141024</v>
      </c>
      <c r="G230" s="3">
        <v>5230200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5141024</v>
      </c>
      <c r="O230" s="3">
        <v>5230200</v>
      </c>
      <c r="P230" s="2">
        <v>1.73</v>
      </c>
      <c r="Q230" s="3">
        <v>0</v>
      </c>
      <c r="R230" s="3">
        <v>0</v>
      </c>
      <c r="S230" s="3">
        <v>5168474</v>
      </c>
      <c r="T230" s="3">
        <v>5230200</v>
      </c>
      <c r="U230" s="3">
        <v>5141024</v>
      </c>
      <c r="V230" s="3">
        <v>5230200</v>
      </c>
      <c r="W230" s="3">
        <v>27450</v>
      </c>
      <c r="X230" s="3">
        <v>0</v>
      </c>
      <c r="Y230" s="2">
        <v>616</v>
      </c>
      <c r="Z230" s="2">
        <v>612</v>
      </c>
      <c r="AA230" s="2">
        <v>-0.65</v>
      </c>
      <c r="AB230" s="3">
        <v>13731975</v>
      </c>
      <c r="AC230" s="3">
        <v>15354931</v>
      </c>
      <c r="AD230" s="3">
        <v>122956</v>
      </c>
      <c r="AE230" s="3">
        <v>500000</v>
      </c>
      <c r="AF230" s="3">
        <v>674190</v>
      </c>
      <c r="AG230" s="3">
        <v>727979</v>
      </c>
      <c r="AH230" s="2">
        <v>3.89</v>
      </c>
      <c r="AI230" s="5">
        <v>4</v>
      </c>
    </row>
    <row r="231" spans="1:35" x14ac:dyDescent="0.3">
      <c r="A231" s="4" t="str">
        <f>"241701"</f>
        <v>241701</v>
      </c>
      <c r="B231" s="2" t="s">
        <v>230</v>
      </c>
      <c r="C231" s="3">
        <v>17463314</v>
      </c>
      <c r="D231" s="3">
        <v>17802581</v>
      </c>
      <c r="E231" s="2">
        <v>1.94</v>
      </c>
      <c r="F231" s="3">
        <v>5793459</v>
      </c>
      <c r="G231" s="3">
        <v>5851393</v>
      </c>
      <c r="H231" s="3"/>
      <c r="I231" s="3"/>
      <c r="J231" s="3"/>
      <c r="K231" s="3"/>
      <c r="L231" s="3"/>
      <c r="M231" s="3"/>
      <c r="N231" s="3">
        <v>5793459</v>
      </c>
      <c r="O231" s="3">
        <v>5851393</v>
      </c>
      <c r="P231" s="2">
        <v>1</v>
      </c>
      <c r="Q231" s="3">
        <v>145683</v>
      </c>
      <c r="R231" s="3">
        <v>106559</v>
      </c>
      <c r="S231" s="3">
        <v>5923219</v>
      </c>
      <c r="T231" s="3">
        <v>5930245</v>
      </c>
      <c r="U231" s="3">
        <v>5647776</v>
      </c>
      <c r="V231" s="3">
        <v>5744834</v>
      </c>
      <c r="W231" s="3">
        <v>275443</v>
      </c>
      <c r="X231" s="3">
        <v>185411</v>
      </c>
      <c r="Y231" s="2">
        <v>720</v>
      </c>
      <c r="Z231" s="2">
        <v>719</v>
      </c>
      <c r="AA231" s="2">
        <v>-0.14000000000000001</v>
      </c>
      <c r="AB231" s="3">
        <v>4300000</v>
      </c>
      <c r="AC231" s="3">
        <v>4571060</v>
      </c>
      <c r="AD231" s="3">
        <v>525000</v>
      </c>
      <c r="AE231" s="3">
        <v>550000</v>
      </c>
      <c r="AF231" s="3">
        <v>805059</v>
      </c>
      <c r="AG231" s="3">
        <v>1068155</v>
      </c>
      <c r="AH231" s="2">
        <v>4.6100000000000003</v>
      </c>
      <c r="AI231" s="5">
        <v>6</v>
      </c>
    </row>
    <row r="232" spans="1:35" x14ac:dyDescent="0.3">
      <c r="A232" s="4" t="str">
        <f>"250109"</f>
        <v>250109</v>
      </c>
      <c r="B232" s="2" t="s">
        <v>231</v>
      </c>
      <c r="C232" s="3">
        <v>7076100</v>
      </c>
      <c r="D232" s="3">
        <v>7108767</v>
      </c>
      <c r="E232" s="2">
        <v>0.46</v>
      </c>
      <c r="F232" s="3">
        <v>1559834</v>
      </c>
      <c r="G232" s="3">
        <v>1607000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1559834</v>
      </c>
      <c r="O232" s="3">
        <v>1607000</v>
      </c>
      <c r="P232" s="2">
        <v>3.02</v>
      </c>
      <c r="Q232" s="3">
        <v>17595</v>
      </c>
      <c r="R232" s="3">
        <v>38054</v>
      </c>
      <c r="S232" s="3">
        <v>1542239</v>
      </c>
      <c r="T232" s="3">
        <v>1587000</v>
      </c>
      <c r="U232" s="3">
        <v>1542239</v>
      </c>
      <c r="V232" s="3">
        <v>1568946</v>
      </c>
      <c r="W232" s="3">
        <v>0</v>
      </c>
      <c r="X232" s="3">
        <v>18054</v>
      </c>
      <c r="Y232" s="2">
        <v>237</v>
      </c>
      <c r="Z232" s="2">
        <v>241</v>
      </c>
      <c r="AA232" s="2">
        <v>1.69</v>
      </c>
      <c r="AB232" s="3">
        <v>198560</v>
      </c>
      <c r="AC232" s="3">
        <v>200000</v>
      </c>
      <c r="AD232" s="3">
        <v>653003</v>
      </c>
      <c r="AE232" s="3">
        <v>767000</v>
      </c>
      <c r="AF232" s="3">
        <v>456188</v>
      </c>
      <c r="AG232" s="3">
        <v>360000</v>
      </c>
      <c r="AH232" s="2">
        <v>6.45</v>
      </c>
      <c r="AI232" s="5">
        <v>5.0599999999999996</v>
      </c>
    </row>
    <row r="233" spans="1:35" x14ac:dyDescent="0.3">
      <c r="A233" s="4" t="str">
        <f>"250201"</f>
        <v>250201</v>
      </c>
      <c r="B233" s="2" t="s">
        <v>232</v>
      </c>
      <c r="C233" s="3">
        <v>31052000</v>
      </c>
      <c r="D233" s="3">
        <v>32746000</v>
      </c>
      <c r="E233" s="2">
        <v>5.46</v>
      </c>
      <c r="F233" s="3">
        <v>19856962</v>
      </c>
      <c r="G233" s="3">
        <v>20091709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19856962</v>
      </c>
      <c r="O233" s="3">
        <v>20091709</v>
      </c>
      <c r="P233" s="2">
        <v>1.18</v>
      </c>
      <c r="Q233" s="3">
        <v>1202581</v>
      </c>
      <c r="R233" s="3">
        <v>1119697</v>
      </c>
      <c r="S233" s="3">
        <v>18654381</v>
      </c>
      <c r="T233" s="3">
        <v>18972012</v>
      </c>
      <c r="U233" s="3">
        <v>18654381</v>
      </c>
      <c r="V233" s="3">
        <v>18972012</v>
      </c>
      <c r="W233" s="3">
        <v>0</v>
      </c>
      <c r="X233" s="3">
        <v>0</v>
      </c>
      <c r="Y233" s="2">
        <v>1386</v>
      </c>
      <c r="Z233" s="2">
        <v>1324</v>
      </c>
      <c r="AA233" s="2">
        <v>-4.47</v>
      </c>
      <c r="AB233" s="3">
        <v>5163704</v>
      </c>
      <c r="AC233" s="3">
        <v>6313799</v>
      </c>
      <c r="AD233" s="3">
        <v>633877</v>
      </c>
      <c r="AE233" s="3">
        <v>1304694</v>
      </c>
      <c r="AF233" s="3">
        <v>2877188</v>
      </c>
      <c r="AG233" s="3">
        <v>1309840</v>
      </c>
      <c r="AH233" s="2">
        <v>9.27</v>
      </c>
      <c r="AI233" s="5">
        <v>4</v>
      </c>
    </row>
    <row r="234" spans="1:35" x14ac:dyDescent="0.3">
      <c r="A234" s="4" t="str">
        <f>"250301"</f>
        <v>250301</v>
      </c>
      <c r="B234" s="2" t="s">
        <v>233</v>
      </c>
      <c r="C234" s="3">
        <v>11307426</v>
      </c>
      <c r="D234" s="3">
        <v>11895189</v>
      </c>
      <c r="E234" s="2">
        <v>5.2</v>
      </c>
      <c r="F234" s="3">
        <v>4216542</v>
      </c>
      <c r="G234" s="3">
        <v>4424972</v>
      </c>
      <c r="H234" s="3"/>
      <c r="I234" s="3"/>
      <c r="J234" s="3"/>
      <c r="K234" s="3"/>
      <c r="L234" s="3"/>
      <c r="M234" s="3"/>
      <c r="N234" s="3">
        <v>4216542</v>
      </c>
      <c r="O234" s="3">
        <v>4424972</v>
      </c>
      <c r="P234" s="2">
        <v>4.9400000000000004</v>
      </c>
      <c r="Q234" s="3">
        <v>221305</v>
      </c>
      <c r="R234" s="3">
        <v>438112</v>
      </c>
      <c r="S234" s="3">
        <v>4385489</v>
      </c>
      <c r="T234" s="3">
        <v>4510004</v>
      </c>
      <c r="U234" s="3">
        <v>3995237</v>
      </c>
      <c r="V234" s="3">
        <v>3986860</v>
      </c>
      <c r="W234" s="3">
        <v>390252</v>
      </c>
      <c r="X234" s="3">
        <v>523144</v>
      </c>
      <c r="Y234" s="2">
        <v>354</v>
      </c>
      <c r="Z234" s="2">
        <v>361</v>
      </c>
      <c r="AA234" s="2">
        <v>1.98</v>
      </c>
      <c r="AB234" s="3">
        <v>1341019</v>
      </c>
      <c r="AC234" s="3">
        <v>1421429</v>
      </c>
      <c r="AD234" s="3">
        <v>640215</v>
      </c>
      <c r="AE234" s="3">
        <v>414040</v>
      </c>
      <c r="AF234" s="3">
        <v>519041</v>
      </c>
      <c r="AG234" s="3">
        <v>475808</v>
      </c>
      <c r="AH234" s="2">
        <v>4.59</v>
      </c>
      <c r="AI234" s="5">
        <v>4</v>
      </c>
    </row>
    <row r="235" spans="1:35" x14ac:dyDescent="0.3">
      <c r="A235" s="4" t="str">
        <f>"250401"</f>
        <v>250401</v>
      </c>
      <c r="B235" s="2" t="s">
        <v>234</v>
      </c>
      <c r="C235" s="3">
        <v>17806978</v>
      </c>
      <c r="D235" s="3">
        <v>18388350</v>
      </c>
      <c r="E235" s="2">
        <v>3.26</v>
      </c>
      <c r="F235" s="3">
        <v>5008937</v>
      </c>
      <c r="G235" s="3">
        <v>5108116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5008937</v>
      </c>
      <c r="O235" s="3">
        <v>5108116</v>
      </c>
      <c r="P235" s="2">
        <v>1.98</v>
      </c>
      <c r="Q235" s="3">
        <v>0</v>
      </c>
      <c r="R235" s="3">
        <v>0</v>
      </c>
      <c r="S235" s="3">
        <v>5008937</v>
      </c>
      <c r="T235" s="3">
        <v>5112309</v>
      </c>
      <c r="U235" s="3">
        <v>5008937</v>
      </c>
      <c r="V235" s="3">
        <v>5108116</v>
      </c>
      <c r="W235" s="3">
        <v>0</v>
      </c>
      <c r="X235" s="3">
        <v>4193</v>
      </c>
      <c r="Y235" s="2">
        <v>615</v>
      </c>
      <c r="Z235" s="2">
        <v>617</v>
      </c>
      <c r="AA235" s="2">
        <v>0.33</v>
      </c>
      <c r="AB235" s="3">
        <v>812767</v>
      </c>
      <c r="AC235" s="3">
        <v>916832</v>
      </c>
      <c r="AD235" s="3">
        <v>550965</v>
      </c>
      <c r="AE235" s="3">
        <v>506183</v>
      </c>
      <c r="AF235" s="3">
        <v>556358</v>
      </c>
      <c r="AG235" s="3">
        <v>735354</v>
      </c>
      <c r="AH235" s="2">
        <v>3.12</v>
      </c>
      <c r="AI235" s="5">
        <v>4</v>
      </c>
    </row>
    <row r="236" spans="1:35" x14ac:dyDescent="0.3">
      <c r="A236" s="4" t="str">
        <f>"250701"</f>
        <v>250701</v>
      </c>
      <c r="B236" s="2" t="s">
        <v>235</v>
      </c>
      <c r="C236" s="3">
        <v>13395564</v>
      </c>
      <c r="D236" s="3">
        <v>14032840</v>
      </c>
      <c r="E236" s="2">
        <v>4.76</v>
      </c>
      <c r="F236" s="3">
        <v>7695195</v>
      </c>
      <c r="G236" s="3">
        <v>7818397</v>
      </c>
      <c r="H236" s="3">
        <v>139241</v>
      </c>
      <c r="I236" s="3">
        <v>139859</v>
      </c>
      <c r="J236" s="3">
        <v>0</v>
      </c>
      <c r="K236" s="3">
        <v>0</v>
      </c>
      <c r="L236" s="3">
        <v>0</v>
      </c>
      <c r="M236" s="3">
        <v>0</v>
      </c>
      <c r="N236" s="3">
        <v>7834436</v>
      </c>
      <c r="O236" s="3">
        <v>7958256</v>
      </c>
      <c r="P236" s="2">
        <v>1.58</v>
      </c>
      <c r="Q236" s="3">
        <v>275293</v>
      </c>
      <c r="R236" s="3">
        <v>272245</v>
      </c>
      <c r="S236" s="3">
        <v>7419902</v>
      </c>
      <c r="T236" s="3">
        <v>7546152</v>
      </c>
      <c r="U236" s="3">
        <v>7419902</v>
      </c>
      <c r="V236" s="3">
        <v>7546152</v>
      </c>
      <c r="W236" s="3">
        <v>0</v>
      </c>
      <c r="X236" s="3">
        <v>0</v>
      </c>
      <c r="Y236" s="2">
        <v>550</v>
      </c>
      <c r="Z236" s="2">
        <v>550</v>
      </c>
      <c r="AA236" s="2">
        <v>0</v>
      </c>
      <c r="AB236" s="3">
        <v>2183402</v>
      </c>
      <c r="AC236" s="3">
        <v>2242000</v>
      </c>
      <c r="AD236" s="3">
        <v>130000</v>
      </c>
      <c r="AE236" s="3">
        <v>130000</v>
      </c>
      <c r="AF236" s="3">
        <v>509613</v>
      </c>
      <c r="AG236" s="3">
        <v>560000</v>
      </c>
      <c r="AH236" s="2">
        <v>3.8</v>
      </c>
      <c r="AI236" s="5">
        <v>3.99</v>
      </c>
    </row>
    <row r="237" spans="1:35" x14ac:dyDescent="0.3">
      <c r="A237" s="4" t="str">
        <f>"250901"</f>
        <v>250901</v>
      </c>
      <c r="B237" s="2" t="s">
        <v>236</v>
      </c>
      <c r="C237" s="3">
        <v>31613948</v>
      </c>
      <c r="D237" s="3">
        <v>32812350</v>
      </c>
      <c r="E237" s="2">
        <v>3.79</v>
      </c>
      <c r="F237" s="3">
        <v>12685419</v>
      </c>
      <c r="G237" s="3">
        <v>12912527</v>
      </c>
      <c r="H237" s="3"/>
      <c r="I237" s="3"/>
      <c r="J237" s="3"/>
      <c r="K237" s="3"/>
      <c r="L237" s="3"/>
      <c r="M237" s="3"/>
      <c r="N237" s="3">
        <v>12685419</v>
      </c>
      <c r="O237" s="3">
        <v>12912527</v>
      </c>
      <c r="P237" s="2">
        <v>1.79</v>
      </c>
      <c r="Q237" s="3">
        <v>443140</v>
      </c>
      <c r="R237" s="3">
        <v>490361</v>
      </c>
      <c r="S237" s="3">
        <v>12242279</v>
      </c>
      <c r="T237" s="3">
        <v>12422166</v>
      </c>
      <c r="U237" s="3">
        <v>12242279</v>
      </c>
      <c r="V237" s="3">
        <v>12422166</v>
      </c>
      <c r="W237" s="3">
        <v>0</v>
      </c>
      <c r="X237" s="3">
        <v>0</v>
      </c>
      <c r="Y237" s="2">
        <v>1345</v>
      </c>
      <c r="Z237" s="2">
        <v>1305</v>
      </c>
      <c r="AA237" s="2">
        <v>-2.97</v>
      </c>
      <c r="AB237" s="3">
        <v>7424066</v>
      </c>
      <c r="AC237" s="3">
        <v>4752995</v>
      </c>
      <c r="AD237" s="3">
        <v>3200000</v>
      </c>
      <c r="AE237" s="3">
        <v>2136543</v>
      </c>
      <c r="AF237" s="3">
        <v>1281004</v>
      </c>
      <c r="AG237" s="3">
        <v>1264558</v>
      </c>
      <c r="AH237" s="2">
        <v>4.05</v>
      </c>
      <c r="AI237" s="5">
        <v>3.85</v>
      </c>
    </row>
    <row r="238" spans="1:35" x14ac:dyDescent="0.3">
      <c r="A238" s="4" t="str">
        <f>"251101"</f>
        <v>251101</v>
      </c>
      <c r="B238" s="2" t="s">
        <v>237</v>
      </c>
      <c r="C238" s="3">
        <v>10975715</v>
      </c>
      <c r="D238" s="3">
        <v>11181980</v>
      </c>
      <c r="E238" s="2">
        <v>1.88</v>
      </c>
      <c r="F238" s="3">
        <v>3405627</v>
      </c>
      <c r="G238" s="3">
        <v>3405627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3405627</v>
      </c>
      <c r="O238" s="3">
        <v>3405627</v>
      </c>
      <c r="P238" s="2">
        <v>0</v>
      </c>
      <c r="Q238" s="3">
        <v>52642</v>
      </c>
      <c r="R238" s="3">
        <v>0</v>
      </c>
      <c r="S238" s="3">
        <v>3352985</v>
      </c>
      <c r="T238" s="3">
        <v>3420392</v>
      </c>
      <c r="U238" s="3">
        <v>3532985</v>
      </c>
      <c r="V238" s="3">
        <v>3405627</v>
      </c>
      <c r="W238" s="3">
        <v>0</v>
      </c>
      <c r="X238" s="3">
        <v>14765</v>
      </c>
      <c r="Y238" s="2">
        <v>471</v>
      </c>
      <c r="Z238" s="2">
        <v>477</v>
      </c>
      <c r="AA238" s="2">
        <v>1.27</v>
      </c>
      <c r="AB238" s="3">
        <v>1775247</v>
      </c>
      <c r="AC238" s="3">
        <v>1894501</v>
      </c>
      <c r="AD238" s="3">
        <v>450000</v>
      </c>
      <c r="AE238" s="3">
        <v>150000</v>
      </c>
      <c r="AF238" s="3">
        <v>635854</v>
      </c>
      <c r="AG238" s="3">
        <v>742588</v>
      </c>
      <c r="AH238" s="2">
        <v>5.79</v>
      </c>
      <c r="AI238" s="5">
        <v>6.64</v>
      </c>
    </row>
    <row r="239" spans="1:35" x14ac:dyDescent="0.3">
      <c r="A239" s="4" t="str">
        <f>"251400"</f>
        <v>251400</v>
      </c>
      <c r="B239" s="2" t="s">
        <v>238</v>
      </c>
      <c r="C239" s="3">
        <v>46654593</v>
      </c>
      <c r="D239" s="3">
        <v>48072943</v>
      </c>
      <c r="E239" s="2">
        <v>3.04</v>
      </c>
      <c r="F239" s="3">
        <v>18122794</v>
      </c>
      <c r="G239" s="3">
        <v>18459676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18122794</v>
      </c>
      <c r="O239" s="3">
        <v>18459676</v>
      </c>
      <c r="P239" s="2">
        <v>1.86</v>
      </c>
      <c r="Q239" s="3">
        <v>452434</v>
      </c>
      <c r="R239" s="3">
        <v>590492</v>
      </c>
      <c r="S239" s="3">
        <v>17670360</v>
      </c>
      <c r="T239" s="3">
        <v>17869184</v>
      </c>
      <c r="U239" s="3">
        <v>17670360</v>
      </c>
      <c r="V239" s="3">
        <v>17869184</v>
      </c>
      <c r="W239" s="3">
        <v>0</v>
      </c>
      <c r="X239" s="3">
        <v>0</v>
      </c>
      <c r="Y239" s="2">
        <v>1912</v>
      </c>
      <c r="Z239" s="2">
        <v>1858</v>
      </c>
      <c r="AA239" s="2">
        <v>-2.82</v>
      </c>
      <c r="AB239" s="3">
        <v>5638273</v>
      </c>
      <c r="AC239" s="3">
        <v>6228181</v>
      </c>
      <c r="AD239" s="3">
        <v>2432433</v>
      </c>
      <c r="AE239" s="3">
        <v>2928040</v>
      </c>
      <c r="AF239" s="3">
        <v>3147016</v>
      </c>
      <c r="AG239" s="3">
        <v>3251409</v>
      </c>
      <c r="AH239" s="2">
        <v>6.75</v>
      </c>
      <c r="AI239" s="5">
        <v>6.76</v>
      </c>
    </row>
    <row r="240" spans="1:35" x14ac:dyDescent="0.3">
      <c r="A240" s="4" t="str">
        <f>"251501"</f>
        <v>251501</v>
      </c>
      <c r="B240" s="2" t="s">
        <v>239</v>
      </c>
      <c r="C240" s="3">
        <v>11755782</v>
      </c>
      <c r="D240" s="3">
        <v>11954120</v>
      </c>
      <c r="E240" s="2">
        <v>1.69</v>
      </c>
      <c r="F240" s="3">
        <v>2393352</v>
      </c>
      <c r="G240" s="3">
        <v>2445898</v>
      </c>
      <c r="H240" s="3"/>
      <c r="I240" s="3"/>
      <c r="J240" s="3"/>
      <c r="K240" s="3"/>
      <c r="L240" s="3"/>
      <c r="M240" s="3"/>
      <c r="N240" s="3">
        <v>2393352</v>
      </c>
      <c r="O240" s="3">
        <v>2445898</v>
      </c>
      <c r="P240" s="2">
        <v>2.2000000000000002</v>
      </c>
      <c r="Q240" s="3">
        <v>379</v>
      </c>
      <c r="R240" s="3">
        <v>0</v>
      </c>
      <c r="S240" s="3">
        <v>2398315</v>
      </c>
      <c r="T240" s="3">
        <v>2445898</v>
      </c>
      <c r="U240" s="3">
        <v>2392973</v>
      </c>
      <c r="V240" s="3">
        <v>2445898</v>
      </c>
      <c r="W240" s="3">
        <v>5342</v>
      </c>
      <c r="X240" s="3">
        <v>0</v>
      </c>
      <c r="Y240" s="2">
        <v>422</v>
      </c>
      <c r="Z240" s="2">
        <v>426</v>
      </c>
      <c r="AA240" s="2">
        <v>0.95</v>
      </c>
      <c r="AB240" s="3">
        <v>2876633</v>
      </c>
      <c r="AC240" s="3">
        <v>2747996</v>
      </c>
      <c r="AD240" s="3">
        <v>425000</v>
      </c>
      <c r="AE240" s="3">
        <v>425000</v>
      </c>
      <c r="AF240" s="3">
        <v>466812</v>
      </c>
      <c r="AG240" s="3">
        <v>478085</v>
      </c>
      <c r="AH240" s="2">
        <v>3.97</v>
      </c>
      <c r="AI240" s="5">
        <v>4</v>
      </c>
    </row>
    <row r="241" spans="1:35" x14ac:dyDescent="0.3">
      <c r="A241" s="4" t="str">
        <f>"251601"</f>
        <v>251601</v>
      </c>
      <c r="B241" s="2" t="s">
        <v>240</v>
      </c>
      <c r="C241" s="3">
        <v>41293559</v>
      </c>
      <c r="D241" s="3">
        <v>42012243</v>
      </c>
      <c r="E241" s="2">
        <v>1.74</v>
      </c>
      <c r="F241" s="3">
        <v>18521285</v>
      </c>
      <c r="G241" s="3">
        <v>18882450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18521285</v>
      </c>
      <c r="O241" s="3">
        <v>18882450</v>
      </c>
      <c r="P241" s="2">
        <v>1.95</v>
      </c>
      <c r="Q241" s="3">
        <v>369826</v>
      </c>
      <c r="R241" s="3">
        <v>497338</v>
      </c>
      <c r="S241" s="3">
        <v>18151459</v>
      </c>
      <c r="T241" s="3">
        <v>18385112</v>
      </c>
      <c r="U241" s="3">
        <v>18151459</v>
      </c>
      <c r="V241" s="3">
        <v>18385112</v>
      </c>
      <c r="W241" s="3">
        <v>0</v>
      </c>
      <c r="X241" s="3">
        <v>0</v>
      </c>
      <c r="Y241" s="2">
        <v>1899</v>
      </c>
      <c r="Z241" s="2">
        <v>1878</v>
      </c>
      <c r="AA241" s="2">
        <v>-1.1100000000000001</v>
      </c>
      <c r="AB241" s="3">
        <v>8750000</v>
      </c>
      <c r="AC241" s="3">
        <v>8450000</v>
      </c>
      <c r="AD241" s="3">
        <v>1262351</v>
      </c>
      <c r="AE241" s="3">
        <v>1241766</v>
      </c>
      <c r="AF241" s="3">
        <v>1651740</v>
      </c>
      <c r="AG241" s="3">
        <v>1680494</v>
      </c>
      <c r="AH241" s="2">
        <v>4</v>
      </c>
      <c r="AI241" s="5">
        <v>4</v>
      </c>
    </row>
    <row r="242" spans="1:35" x14ac:dyDescent="0.3">
      <c r="A242" s="4" t="str">
        <f>"260101"</f>
        <v>260101</v>
      </c>
      <c r="B242" s="2" t="s">
        <v>241</v>
      </c>
      <c r="C242" s="3">
        <v>82943949</v>
      </c>
      <c r="D242" s="3">
        <v>87686048</v>
      </c>
      <c r="E242" s="2">
        <v>5.72</v>
      </c>
      <c r="F242" s="3">
        <v>55545890</v>
      </c>
      <c r="G242" s="3">
        <v>57129971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55545890</v>
      </c>
      <c r="O242" s="3">
        <v>57129971</v>
      </c>
      <c r="P242" s="2">
        <v>2.85</v>
      </c>
      <c r="Q242" s="3">
        <v>1002895</v>
      </c>
      <c r="R242" s="3">
        <v>1708730</v>
      </c>
      <c r="S242" s="3">
        <v>54542995</v>
      </c>
      <c r="T242" s="3">
        <v>55421241</v>
      </c>
      <c r="U242" s="3">
        <v>54542995</v>
      </c>
      <c r="V242" s="3">
        <v>55421241</v>
      </c>
      <c r="W242" s="3">
        <v>0</v>
      </c>
      <c r="X242" s="3">
        <v>0</v>
      </c>
      <c r="Y242" s="2">
        <v>3378</v>
      </c>
      <c r="Z242" s="2">
        <v>3519</v>
      </c>
      <c r="AA242" s="2">
        <v>4.17</v>
      </c>
      <c r="AB242" s="3">
        <v>19276783</v>
      </c>
      <c r="AC242" s="3">
        <v>20250917</v>
      </c>
      <c r="AD242" s="3">
        <v>2600000</v>
      </c>
      <c r="AE242" s="3">
        <v>2900000</v>
      </c>
      <c r="AF242" s="3">
        <v>3317758</v>
      </c>
      <c r="AG242" s="3">
        <v>3507442</v>
      </c>
      <c r="AH242" s="2">
        <v>4</v>
      </c>
      <c r="AI242" s="5">
        <v>4</v>
      </c>
    </row>
    <row r="243" spans="1:35" x14ac:dyDescent="0.3">
      <c r="A243" s="4" t="str">
        <f>"260401"</f>
        <v>260401</v>
      </c>
      <c r="B243" s="2" t="s">
        <v>242</v>
      </c>
      <c r="C243" s="3">
        <v>113424313</v>
      </c>
      <c r="D243" s="3">
        <v>117882045</v>
      </c>
      <c r="E243" s="2">
        <v>3.93</v>
      </c>
      <c r="F243" s="3">
        <v>55821084</v>
      </c>
      <c r="G243" s="3">
        <v>56958890</v>
      </c>
      <c r="H243" s="3"/>
      <c r="I243" s="3"/>
      <c r="J243" s="3"/>
      <c r="K243" s="3"/>
      <c r="L243" s="3"/>
      <c r="M243" s="3"/>
      <c r="N243" s="3">
        <v>55821084</v>
      </c>
      <c r="O243" s="3">
        <v>56958890</v>
      </c>
      <c r="P243" s="2">
        <v>2.04</v>
      </c>
      <c r="Q243" s="3">
        <v>3395794</v>
      </c>
      <c r="R243" s="3">
        <v>3490346</v>
      </c>
      <c r="S243" s="3">
        <v>52425290</v>
      </c>
      <c r="T243" s="3">
        <v>53468544</v>
      </c>
      <c r="U243" s="3">
        <v>52425290</v>
      </c>
      <c r="V243" s="3">
        <v>53468544</v>
      </c>
      <c r="W243" s="3">
        <v>0</v>
      </c>
      <c r="X243" s="3">
        <v>0</v>
      </c>
      <c r="Y243" s="2">
        <v>3698</v>
      </c>
      <c r="Z243" s="2">
        <v>3684</v>
      </c>
      <c r="AA243" s="2">
        <v>-0.38</v>
      </c>
      <c r="AB243" s="3">
        <v>26955386</v>
      </c>
      <c r="AC243" s="3">
        <v>30880000</v>
      </c>
      <c r="AD243" s="3">
        <v>2800000</v>
      </c>
      <c r="AE243" s="3">
        <v>2800000</v>
      </c>
      <c r="AF243" s="3">
        <v>4536973</v>
      </c>
      <c r="AG243" s="3">
        <v>4715282</v>
      </c>
      <c r="AH243" s="2">
        <v>4</v>
      </c>
      <c r="AI243" s="5">
        <v>4</v>
      </c>
    </row>
    <row r="244" spans="1:35" x14ac:dyDescent="0.3">
      <c r="A244" s="4" t="str">
        <f>"260501"</f>
        <v>260501</v>
      </c>
      <c r="B244" s="2" t="s">
        <v>243</v>
      </c>
      <c r="C244" s="3">
        <v>240685600</v>
      </c>
      <c r="D244" s="3">
        <v>247185100</v>
      </c>
      <c r="E244" s="2">
        <v>2.7</v>
      </c>
      <c r="F244" s="3">
        <v>115810598</v>
      </c>
      <c r="G244" s="3">
        <v>117380260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115810598</v>
      </c>
      <c r="O244" s="3">
        <v>117380260</v>
      </c>
      <c r="P244" s="2">
        <v>1.36</v>
      </c>
      <c r="Q244" s="3">
        <v>2912315</v>
      </c>
      <c r="R244" s="3">
        <v>2902181</v>
      </c>
      <c r="S244" s="3">
        <v>112898284</v>
      </c>
      <c r="T244" s="3">
        <v>114478080</v>
      </c>
      <c r="U244" s="3">
        <v>112898283</v>
      </c>
      <c r="V244" s="3">
        <v>114478079</v>
      </c>
      <c r="W244" s="3">
        <v>1</v>
      </c>
      <c r="X244" s="3">
        <v>1</v>
      </c>
      <c r="Y244" s="2">
        <v>10434</v>
      </c>
      <c r="Z244" s="2">
        <v>10401</v>
      </c>
      <c r="AA244" s="2">
        <v>-0.32</v>
      </c>
      <c r="AB244" s="3">
        <v>27622152</v>
      </c>
      <c r="AC244" s="3">
        <v>38063160</v>
      </c>
      <c r="AD244" s="3">
        <v>6300000</v>
      </c>
      <c r="AE244" s="3">
        <v>4300000</v>
      </c>
      <c r="AF244" s="3">
        <v>9625185</v>
      </c>
      <c r="AG244" s="3">
        <v>9887000</v>
      </c>
      <c r="AH244" s="2">
        <v>4</v>
      </c>
      <c r="AI244" s="5">
        <v>4</v>
      </c>
    </row>
    <row r="245" spans="1:35" x14ac:dyDescent="0.3">
      <c r="A245" s="4" t="str">
        <f>"260801"</f>
        <v>260801</v>
      </c>
      <c r="B245" s="2" t="s">
        <v>244</v>
      </c>
      <c r="C245" s="3">
        <v>84576653</v>
      </c>
      <c r="D245" s="3">
        <v>86563388</v>
      </c>
      <c r="E245" s="2">
        <v>2.35</v>
      </c>
      <c r="F245" s="3">
        <v>43853896</v>
      </c>
      <c r="G245" s="3">
        <v>44685589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43853896</v>
      </c>
      <c r="O245" s="3">
        <v>44685589</v>
      </c>
      <c r="P245" s="2">
        <v>1.9</v>
      </c>
      <c r="Q245" s="3">
        <v>340372</v>
      </c>
      <c r="R245" s="3">
        <v>586393</v>
      </c>
      <c r="S245" s="3">
        <v>43513524</v>
      </c>
      <c r="T245" s="3">
        <v>44099197</v>
      </c>
      <c r="U245" s="3">
        <v>43513524</v>
      </c>
      <c r="V245" s="3">
        <v>44099196</v>
      </c>
      <c r="W245" s="3">
        <v>0</v>
      </c>
      <c r="X245" s="3">
        <v>1</v>
      </c>
      <c r="Y245" s="2">
        <v>3080</v>
      </c>
      <c r="Z245" s="2">
        <v>2927</v>
      </c>
      <c r="AA245" s="2">
        <v>-4.97</v>
      </c>
      <c r="AB245" s="3">
        <v>33441312</v>
      </c>
      <c r="AC245" s="3">
        <v>34735411</v>
      </c>
      <c r="AD245" s="3">
        <v>6222995</v>
      </c>
      <c r="AE245" s="3">
        <v>978586</v>
      </c>
      <c r="AF245" s="3">
        <v>3383069</v>
      </c>
      <c r="AG245" s="3">
        <v>3462536</v>
      </c>
      <c r="AH245" s="2">
        <v>4</v>
      </c>
      <c r="AI245" s="5">
        <v>4</v>
      </c>
    </row>
    <row r="246" spans="1:35" x14ac:dyDescent="0.3">
      <c r="A246" s="4" t="str">
        <f>"260803"</f>
        <v>260803</v>
      </c>
      <c r="B246" s="2" t="s">
        <v>245</v>
      </c>
      <c r="C246" s="3">
        <v>75440052</v>
      </c>
      <c r="D246" s="3">
        <v>77452765</v>
      </c>
      <c r="E246" s="2">
        <v>2.67</v>
      </c>
      <c r="F246" s="3">
        <v>40978320</v>
      </c>
      <c r="G246" s="3">
        <v>41273363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40978320</v>
      </c>
      <c r="O246" s="3">
        <v>41273363</v>
      </c>
      <c r="P246" s="2">
        <v>0.72</v>
      </c>
      <c r="Q246" s="3">
        <v>0</v>
      </c>
      <c r="R246" s="3">
        <v>0</v>
      </c>
      <c r="S246" s="3">
        <v>40978320</v>
      </c>
      <c r="T246" s="3">
        <v>41568693</v>
      </c>
      <c r="U246" s="3">
        <v>40978320</v>
      </c>
      <c r="V246" s="3">
        <v>41273363</v>
      </c>
      <c r="W246" s="3">
        <v>0</v>
      </c>
      <c r="X246" s="3">
        <v>295330</v>
      </c>
      <c r="Y246" s="2">
        <v>3600</v>
      </c>
      <c r="Z246" s="2">
        <v>3630</v>
      </c>
      <c r="AA246" s="2">
        <v>0.83</v>
      </c>
      <c r="AB246" s="3">
        <v>10445612</v>
      </c>
      <c r="AC246" s="3">
        <v>10445612</v>
      </c>
      <c r="AD246" s="3">
        <v>2666300</v>
      </c>
      <c r="AE246" s="3">
        <v>971306</v>
      </c>
      <c r="AF246" s="3">
        <v>3017602</v>
      </c>
      <c r="AG246" s="3">
        <v>3098110</v>
      </c>
      <c r="AH246" s="2">
        <v>4</v>
      </c>
      <c r="AI246" s="5">
        <v>4</v>
      </c>
    </row>
    <row r="247" spans="1:35" x14ac:dyDescent="0.3">
      <c r="A247" s="4" t="str">
        <f>"260901"</f>
        <v>260901</v>
      </c>
      <c r="B247" s="2" t="s">
        <v>246</v>
      </c>
      <c r="C247" s="3">
        <v>53336420</v>
      </c>
      <c r="D247" s="3">
        <v>55489110</v>
      </c>
      <c r="E247" s="2">
        <v>4.04</v>
      </c>
      <c r="F247" s="3">
        <v>30303774</v>
      </c>
      <c r="G247" s="3">
        <v>30899655</v>
      </c>
      <c r="H247" s="3"/>
      <c r="I247" s="3"/>
      <c r="J247" s="3"/>
      <c r="K247" s="3"/>
      <c r="L247" s="3"/>
      <c r="M247" s="3"/>
      <c r="N247" s="3">
        <v>30303774</v>
      </c>
      <c r="O247" s="3">
        <v>30899655</v>
      </c>
      <c r="P247" s="2">
        <v>1.97</v>
      </c>
      <c r="Q247" s="3">
        <v>233695</v>
      </c>
      <c r="R247" s="3">
        <v>265052</v>
      </c>
      <c r="S247" s="3">
        <v>30070080</v>
      </c>
      <c r="T247" s="3">
        <v>30634679</v>
      </c>
      <c r="U247" s="3">
        <v>30070079</v>
      </c>
      <c r="V247" s="3">
        <v>30634603</v>
      </c>
      <c r="W247" s="3">
        <v>1</v>
      </c>
      <c r="X247" s="3">
        <v>76</v>
      </c>
      <c r="Y247" s="2">
        <v>2089</v>
      </c>
      <c r="Z247" s="2">
        <v>2046</v>
      </c>
      <c r="AA247" s="2">
        <v>-2.06</v>
      </c>
      <c r="AB247" s="3">
        <v>8264401</v>
      </c>
      <c r="AC247" s="3">
        <v>8808260</v>
      </c>
      <c r="AD247" s="3">
        <v>840000</v>
      </c>
      <c r="AE247" s="3">
        <v>1317364</v>
      </c>
      <c r="AF247" s="3">
        <v>2133457</v>
      </c>
      <c r="AG247" s="3">
        <v>2219564</v>
      </c>
      <c r="AH247" s="2">
        <v>4</v>
      </c>
      <c r="AI247" s="5">
        <v>4</v>
      </c>
    </row>
    <row r="248" spans="1:35" x14ac:dyDescent="0.3">
      <c r="A248" s="4" t="str">
        <f>"261001"</f>
        <v>261001</v>
      </c>
      <c r="B248" s="2" t="s">
        <v>247</v>
      </c>
      <c r="C248" s="3">
        <v>84539080</v>
      </c>
      <c r="D248" s="3">
        <v>87434885</v>
      </c>
      <c r="E248" s="2">
        <v>3.43</v>
      </c>
      <c r="F248" s="3">
        <v>39229379</v>
      </c>
      <c r="G248" s="3">
        <v>40233431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39229379</v>
      </c>
      <c r="O248" s="3">
        <v>40233431</v>
      </c>
      <c r="P248" s="2">
        <v>2.56</v>
      </c>
      <c r="Q248" s="3">
        <v>282081</v>
      </c>
      <c r="R248" s="3">
        <v>299768</v>
      </c>
      <c r="S248" s="3">
        <v>38947871</v>
      </c>
      <c r="T248" s="3">
        <v>39933663</v>
      </c>
      <c r="U248" s="3">
        <v>38947298</v>
      </c>
      <c r="V248" s="3">
        <v>39933663</v>
      </c>
      <c r="W248" s="3">
        <v>573</v>
      </c>
      <c r="X248" s="3">
        <v>0</v>
      </c>
      <c r="Y248" s="2">
        <v>3535</v>
      </c>
      <c r="Z248" s="2">
        <v>3610</v>
      </c>
      <c r="AA248" s="2">
        <v>2.12</v>
      </c>
      <c r="AB248" s="3">
        <v>15167968</v>
      </c>
      <c r="AC248" s="3">
        <v>15429535</v>
      </c>
      <c r="AD248" s="3">
        <v>0</v>
      </c>
      <c r="AE248" s="3">
        <v>0</v>
      </c>
      <c r="AF248" s="3">
        <v>3381563</v>
      </c>
      <c r="AG248" s="3">
        <v>3497395</v>
      </c>
      <c r="AH248" s="2">
        <v>4</v>
      </c>
      <c r="AI248" s="5">
        <v>4</v>
      </c>
    </row>
    <row r="249" spans="1:35" x14ac:dyDescent="0.3">
      <c r="A249" s="4" t="str">
        <f>"261101"</f>
        <v>261101</v>
      </c>
      <c r="B249" s="2" t="s">
        <v>248</v>
      </c>
      <c r="C249" s="3">
        <v>84467153</v>
      </c>
      <c r="D249" s="3">
        <v>87378298</v>
      </c>
      <c r="E249" s="2">
        <v>3.45</v>
      </c>
      <c r="F249" s="3">
        <v>40920293</v>
      </c>
      <c r="G249" s="3">
        <v>41667602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40920293</v>
      </c>
      <c r="O249" s="3">
        <v>41667602</v>
      </c>
      <c r="P249" s="2">
        <v>1.83</v>
      </c>
      <c r="Q249" s="3">
        <v>998394</v>
      </c>
      <c r="R249" s="3">
        <v>835146</v>
      </c>
      <c r="S249" s="3">
        <v>39921899</v>
      </c>
      <c r="T249" s="3">
        <v>40832456</v>
      </c>
      <c r="U249" s="3">
        <v>39921899</v>
      </c>
      <c r="V249" s="3">
        <v>40832456</v>
      </c>
      <c r="W249" s="3">
        <v>0</v>
      </c>
      <c r="X249" s="3">
        <v>0</v>
      </c>
      <c r="Y249" s="2">
        <v>4254</v>
      </c>
      <c r="Z249" s="2">
        <v>4127</v>
      </c>
      <c r="AA249" s="2">
        <v>-2.99</v>
      </c>
      <c r="AB249" s="3">
        <v>10181921</v>
      </c>
      <c r="AC249" s="3">
        <v>11487390</v>
      </c>
      <c r="AD249" s="3">
        <v>557108</v>
      </c>
      <c r="AE249" s="3">
        <v>557108</v>
      </c>
      <c r="AF249" s="3">
        <v>3378686</v>
      </c>
      <c r="AG249" s="3">
        <v>3495132</v>
      </c>
      <c r="AH249" s="2">
        <v>4</v>
      </c>
      <c r="AI249" s="5">
        <v>4</v>
      </c>
    </row>
    <row r="250" spans="1:35" x14ac:dyDescent="0.3">
      <c r="A250" s="4" t="str">
        <f>"261201"</f>
        <v>261201</v>
      </c>
      <c r="B250" s="2" t="s">
        <v>249</v>
      </c>
      <c r="C250" s="3">
        <v>102615305</v>
      </c>
      <c r="D250" s="3">
        <v>104343650</v>
      </c>
      <c r="E250" s="2">
        <v>1.68</v>
      </c>
      <c r="F250" s="3">
        <v>66895988</v>
      </c>
      <c r="G250" s="3">
        <v>66895988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66895988</v>
      </c>
      <c r="O250" s="3">
        <v>66895988</v>
      </c>
      <c r="P250" s="2">
        <v>0</v>
      </c>
      <c r="Q250" s="3">
        <v>0</v>
      </c>
      <c r="R250" s="3">
        <v>0</v>
      </c>
      <c r="S250" s="3">
        <v>66895988</v>
      </c>
      <c r="T250" s="3">
        <v>68213558</v>
      </c>
      <c r="U250" s="3">
        <v>66895988</v>
      </c>
      <c r="V250" s="3">
        <v>66895988</v>
      </c>
      <c r="W250" s="3">
        <v>0</v>
      </c>
      <c r="X250" s="3">
        <v>1317570</v>
      </c>
      <c r="Y250" s="2">
        <v>4456</v>
      </c>
      <c r="Z250" s="2">
        <v>4463</v>
      </c>
      <c r="AA250" s="2">
        <v>0.16</v>
      </c>
      <c r="AB250" s="3">
        <v>39121194</v>
      </c>
      <c r="AC250" s="3">
        <v>48949737</v>
      </c>
      <c r="AD250" s="3">
        <v>2071599</v>
      </c>
      <c r="AE250" s="3">
        <v>459437</v>
      </c>
      <c r="AF250" s="3">
        <v>4104612</v>
      </c>
      <c r="AG250" s="3">
        <v>4173746</v>
      </c>
      <c r="AH250" s="2">
        <v>4</v>
      </c>
      <c r="AI250" s="5">
        <v>4</v>
      </c>
    </row>
    <row r="251" spans="1:35" x14ac:dyDescent="0.3">
      <c r="A251" s="4" t="str">
        <f>"261301"</f>
        <v>261301</v>
      </c>
      <c r="B251" s="2" t="s">
        <v>250</v>
      </c>
      <c r="C251" s="3">
        <v>135165721</v>
      </c>
      <c r="D251" s="3">
        <v>138667456</v>
      </c>
      <c r="E251" s="2">
        <v>2.59</v>
      </c>
      <c r="F251" s="3">
        <v>79121017</v>
      </c>
      <c r="G251" s="3">
        <v>80749659</v>
      </c>
      <c r="H251" s="3">
        <v>392988</v>
      </c>
      <c r="I251" s="3">
        <v>391388</v>
      </c>
      <c r="J251" s="3"/>
      <c r="K251" s="3"/>
      <c r="L251" s="3"/>
      <c r="M251" s="3"/>
      <c r="N251" s="3">
        <v>79514005</v>
      </c>
      <c r="O251" s="3">
        <v>81141047</v>
      </c>
      <c r="P251" s="2">
        <v>2.0499999999999998</v>
      </c>
      <c r="Q251" s="3">
        <v>1157129</v>
      </c>
      <c r="R251" s="3">
        <v>1524824</v>
      </c>
      <c r="S251" s="3">
        <v>78356876</v>
      </c>
      <c r="T251" s="3">
        <v>79616223</v>
      </c>
      <c r="U251" s="3">
        <v>77963888</v>
      </c>
      <c r="V251" s="3">
        <v>79224835</v>
      </c>
      <c r="W251" s="3">
        <v>392988</v>
      </c>
      <c r="X251" s="3">
        <v>391388</v>
      </c>
      <c r="Y251" s="2">
        <v>5467</v>
      </c>
      <c r="Z251" s="2">
        <v>5518</v>
      </c>
      <c r="AA251" s="2">
        <v>0.93</v>
      </c>
      <c r="AB251" s="3">
        <v>35004324</v>
      </c>
      <c r="AC251" s="3">
        <v>30435000</v>
      </c>
      <c r="AD251" s="3">
        <v>4241529</v>
      </c>
      <c r="AE251" s="3">
        <v>4056645</v>
      </c>
      <c r="AF251" s="3">
        <v>5406629</v>
      </c>
      <c r="AG251" s="3">
        <v>5546698</v>
      </c>
      <c r="AH251" s="2">
        <v>4</v>
      </c>
      <c r="AI251" s="5">
        <v>4</v>
      </c>
    </row>
    <row r="252" spans="1:35" x14ac:dyDescent="0.3">
      <c r="A252" s="4" t="str">
        <f>"261313"</f>
        <v>261313</v>
      </c>
      <c r="B252" s="2" t="s">
        <v>251</v>
      </c>
      <c r="C252" s="3">
        <v>29433954</v>
      </c>
      <c r="D252" s="3">
        <v>29368320</v>
      </c>
      <c r="E252" s="2">
        <v>-0.22</v>
      </c>
      <c r="F252" s="3">
        <v>14724821</v>
      </c>
      <c r="G252" s="3">
        <v>14931606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14724821</v>
      </c>
      <c r="O252" s="3">
        <v>14931606</v>
      </c>
      <c r="P252" s="2">
        <v>1.4</v>
      </c>
      <c r="Q252" s="3">
        <v>0</v>
      </c>
      <c r="R252" s="3">
        <v>0</v>
      </c>
      <c r="S252" s="3">
        <v>14724821</v>
      </c>
      <c r="T252" s="3">
        <v>14931606</v>
      </c>
      <c r="U252" s="3">
        <v>14724821</v>
      </c>
      <c r="V252" s="3">
        <v>14931606</v>
      </c>
      <c r="W252" s="3">
        <v>0</v>
      </c>
      <c r="X252" s="3">
        <v>0</v>
      </c>
      <c r="Y252" s="2">
        <v>1048</v>
      </c>
      <c r="Z252" s="2">
        <v>1056</v>
      </c>
      <c r="AA252" s="2">
        <v>0.76</v>
      </c>
      <c r="AB252" s="3">
        <v>15827279</v>
      </c>
      <c r="AC252" s="3">
        <v>17093461</v>
      </c>
      <c r="AD252" s="3">
        <v>1974508</v>
      </c>
      <c r="AE252" s="3">
        <v>740000</v>
      </c>
      <c r="AF252" s="3">
        <v>1176795</v>
      </c>
      <c r="AG252" s="3">
        <v>1174733</v>
      </c>
      <c r="AH252" s="2">
        <v>4</v>
      </c>
      <c r="AI252" s="5">
        <v>4</v>
      </c>
    </row>
    <row r="253" spans="1:35" x14ac:dyDescent="0.3">
      <c r="A253" s="4" t="str">
        <f>"261401"</f>
        <v>261401</v>
      </c>
      <c r="B253" s="2" t="s">
        <v>252</v>
      </c>
      <c r="C253" s="3">
        <v>140328172</v>
      </c>
      <c r="D253" s="3">
        <v>143925548</v>
      </c>
      <c r="E253" s="2">
        <v>2.56</v>
      </c>
      <c r="F253" s="3">
        <v>107023924</v>
      </c>
      <c r="G253" s="3">
        <v>109113596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107023924</v>
      </c>
      <c r="O253" s="3">
        <v>109113596</v>
      </c>
      <c r="P253" s="2">
        <v>1.95</v>
      </c>
      <c r="Q253" s="3">
        <v>5102816</v>
      </c>
      <c r="R253" s="3">
        <v>5536335</v>
      </c>
      <c r="S253" s="3">
        <v>101921108</v>
      </c>
      <c r="T253" s="3">
        <v>103577261</v>
      </c>
      <c r="U253" s="3">
        <v>101921108</v>
      </c>
      <c r="V253" s="3">
        <v>103577261</v>
      </c>
      <c r="W253" s="3">
        <v>0</v>
      </c>
      <c r="X253" s="3">
        <v>0</v>
      </c>
      <c r="Y253" s="2">
        <v>5682</v>
      </c>
      <c r="Z253" s="2">
        <v>5554</v>
      </c>
      <c r="AA253" s="2">
        <v>-2.25</v>
      </c>
      <c r="AB253" s="3">
        <v>38224435</v>
      </c>
      <c r="AC253" s="3">
        <v>35486554</v>
      </c>
      <c r="AD253" s="3">
        <v>1586390</v>
      </c>
      <c r="AE253" s="3">
        <v>1541746</v>
      </c>
      <c r="AF253" s="3">
        <v>5529682</v>
      </c>
      <c r="AG253" s="3">
        <v>5757022</v>
      </c>
      <c r="AH253" s="2">
        <v>3.94</v>
      </c>
      <c r="AI253" s="5">
        <v>4</v>
      </c>
    </row>
    <row r="254" spans="1:35" x14ac:dyDescent="0.3">
      <c r="A254" s="4" t="str">
        <f>"261501"</f>
        <v>261501</v>
      </c>
      <c r="B254" s="2" t="s">
        <v>253</v>
      </c>
      <c r="C254" s="3">
        <v>88467407</v>
      </c>
      <c r="D254" s="3">
        <v>91602093</v>
      </c>
      <c r="E254" s="2">
        <v>3.54</v>
      </c>
      <c r="F254" s="3">
        <v>38213370</v>
      </c>
      <c r="G254" s="3">
        <v>38979091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38213370</v>
      </c>
      <c r="O254" s="3">
        <v>38979091</v>
      </c>
      <c r="P254" s="2">
        <v>2</v>
      </c>
      <c r="Q254" s="3">
        <v>0</v>
      </c>
      <c r="R254" s="3">
        <v>0</v>
      </c>
      <c r="S254" s="3">
        <v>38604670</v>
      </c>
      <c r="T254" s="3">
        <v>39230983</v>
      </c>
      <c r="U254" s="3">
        <v>38213370</v>
      </c>
      <c r="V254" s="3">
        <v>38979091</v>
      </c>
      <c r="W254" s="3">
        <v>391300</v>
      </c>
      <c r="X254" s="3">
        <v>251892</v>
      </c>
      <c r="Y254" s="2">
        <v>3774</v>
      </c>
      <c r="Z254" s="2">
        <v>3676</v>
      </c>
      <c r="AA254" s="2">
        <v>-2.6</v>
      </c>
      <c r="AB254" s="3">
        <v>31042365</v>
      </c>
      <c r="AC254" s="3">
        <v>31647211</v>
      </c>
      <c r="AD254" s="3">
        <v>2479493</v>
      </c>
      <c r="AE254" s="3">
        <v>2479493</v>
      </c>
      <c r="AF254" s="3">
        <v>3425551</v>
      </c>
      <c r="AG254" s="3">
        <v>3664084</v>
      </c>
      <c r="AH254" s="2">
        <v>3.87</v>
      </c>
      <c r="AI254" s="5">
        <v>4</v>
      </c>
    </row>
    <row r="255" spans="1:35" x14ac:dyDescent="0.3">
      <c r="A255" s="4" t="str">
        <f>"261701"</f>
        <v>261701</v>
      </c>
      <c r="B255" s="2" t="s">
        <v>254</v>
      </c>
      <c r="C255" s="3">
        <v>135305000</v>
      </c>
      <c r="D255" s="3">
        <v>141093300</v>
      </c>
      <c r="E255" s="2">
        <v>4.28</v>
      </c>
      <c r="F255" s="3">
        <v>82899357</v>
      </c>
      <c r="G255" s="3">
        <v>84575050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82899357</v>
      </c>
      <c r="O255" s="3">
        <v>84575050</v>
      </c>
      <c r="P255" s="2">
        <v>2.02</v>
      </c>
      <c r="Q255" s="3">
        <v>0</v>
      </c>
      <c r="R255" s="3">
        <v>0</v>
      </c>
      <c r="S255" s="3">
        <v>82899357</v>
      </c>
      <c r="T255" s="3">
        <v>84575050</v>
      </c>
      <c r="U255" s="3">
        <v>82899357</v>
      </c>
      <c r="V255" s="3">
        <v>84575050</v>
      </c>
      <c r="W255" s="3">
        <v>0</v>
      </c>
      <c r="X255" s="3">
        <v>0</v>
      </c>
      <c r="Y255" s="2">
        <v>5390</v>
      </c>
      <c r="Z255" s="2">
        <v>5461</v>
      </c>
      <c r="AA255" s="2">
        <v>1.32</v>
      </c>
      <c r="AB255" s="3">
        <v>32244893</v>
      </c>
      <c r="AC255" s="3">
        <v>31844893</v>
      </c>
      <c r="AD255" s="3">
        <v>2800000</v>
      </c>
      <c r="AE255" s="3">
        <v>2600000</v>
      </c>
      <c r="AF255" s="3">
        <v>5412200</v>
      </c>
      <c r="AG255" s="3">
        <v>5643732</v>
      </c>
      <c r="AH255" s="2">
        <v>4</v>
      </c>
      <c r="AI255" s="5">
        <v>4</v>
      </c>
    </row>
    <row r="256" spans="1:35" x14ac:dyDescent="0.3">
      <c r="A256" s="4" t="str">
        <f>"261801"</f>
        <v>261801</v>
      </c>
      <c r="B256" s="2" t="s">
        <v>255</v>
      </c>
      <c r="C256" s="3">
        <v>84197910</v>
      </c>
      <c r="D256" s="3">
        <v>86288688</v>
      </c>
      <c r="E256" s="2">
        <v>2.48</v>
      </c>
      <c r="F256" s="3">
        <v>33523258</v>
      </c>
      <c r="G256" s="3">
        <v>34093153</v>
      </c>
      <c r="H256" s="3"/>
      <c r="I256" s="3"/>
      <c r="J256" s="3"/>
      <c r="K256" s="3"/>
      <c r="L256" s="3"/>
      <c r="M256" s="3"/>
      <c r="N256" s="3">
        <v>33523258</v>
      </c>
      <c r="O256" s="3">
        <v>34093153</v>
      </c>
      <c r="P256" s="2">
        <v>1.7</v>
      </c>
      <c r="Q256" s="3">
        <v>721536</v>
      </c>
      <c r="R256" s="3">
        <v>723598</v>
      </c>
      <c r="S256" s="3">
        <v>32803936</v>
      </c>
      <c r="T256" s="3">
        <v>33371359</v>
      </c>
      <c r="U256" s="3">
        <v>32801722</v>
      </c>
      <c r="V256" s="3">
        <v>33369555</v>
      </c>
      <c r="W256" s="3">
        <v>2214</v>
      </c>
      <c r="X256" s="3">
        <v>1804</v>
      </c>
      <c r="Y256" s="2">
        <v>3036</v>
      </c>
      <c r="Z256" s="2">
        <v>2949</v>
      </c>
      <c r="AA256" s="2">
        <v>-2.87</v>
      </c>
      <c r="AB256" s="3">
        <v>26788328</v>
      </c>
      <c r="AC256" s="3">
        <v>25238328</v>
      </c>
      <c r="AD256" s="3">
        <v>5138345</v>
      </c>
      <c r="AE256" s="3">
        <v>3045764</v>
      </c>
      <c r="AF256" s="3">
        <v>3367916</v>
      </c>
      <c r="AG256" s="3">
        <v>3451547</v>
      </c>
      <c r="AH256" s="2">
        <v>4</v>
      </c>
      <c r="AI256" s="5">
        <v>4</v>
      </c>
    </row>
    <row r="257" spans="1:35" x14ac:dyDescent="0.3">
      <c r="A257" s="4" t="str">
        <f>"261901"</f>
        <v>261901</v>
      </c>
      <c r="B257" s="2" t="s">
        <v>256</v>
      </c>
      <c r="C257" s="3">
        <v>183278876</v>
      </c>
      <c r="D257" s="3">
        <v>188814445</v>
      </c>
      <c r="E257" s="2">
        <v>3.02</v>
      </c>
      <c r="F257" s="3">
        <v>111092837</v>
      </c>
      <c r="G257" s="3">
        <v>114626807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111092837</v>
      </c>
      <c r="O257" s="3">
        <v>114626807</v>
      </c>
      <c r="P257" s="2">
        <v>3.18</v>
      </c>
      <c r="Q257" s="3">
        <v>3171531</v>
      </c>
      <c r="R257" s="3">
        <v>4123338</v>
      </c>
      <c r="S257" s="3">
        <v>107921305</v>
      </c>
      <c r="T257" s="3">
        <v>110503469</v>
      </c>
      <c r="U257" s="3">
        <v>107921306</v>
      </c>
      <c r="V257" s="3">
        <v>110503469</v>
      </c>
      <c r="W257" s="3">
        <v>-1</v>
      </c>
      <c r="X257" s="3">
        <v>0</v>
      </c>
      <c r="Y257" s="2">
        <v>8500</v>
      </c>
      <c r="Z257" s="2">
        <v>8400</v>
      </c>
      <c r="AA257" s="2">
        <v>-1.18</v>
      </c>
      <c r="AB257" s="3">
        <v>21259591</v>
      </c>
      <c r="AC257" s="3">
        <v>26700000</v>
      </c>
      <c r="AD257" s="3">
        <v>5500000</v>
      </c>
      <c r="AE257" s="3">
        <v>5500000</v>
      </c>
      <c r="AF257" s="3">
        <v>6538144</v>
      </c>
      <c r="AG257" s="3">
        <v>7552578</v>
      </c>
      <c r="AH257" s="2">
        <v>3.57</v>
      </c>
      <c r="AI257" s="5">
        <v>4</v>
      </c>
    </row>
    <row r="258" spans="1:35" x14ac:dyDescent="0.3">
      <c r="A258" s="4" t="str">
        <f>"262001"</f>
        <v>262001</v>
      </c>
      <c r="B258" s="2" t="s">
        <v>257</v>
      </c>
      <c r="C258" s="3">
        <v>20411470</v>
      </c>
      <c r="D258" s="3">
        <v>20909493</v>
      </c>
      <c r="E258" s="2">
        <v>2.44</v>
      </c>
      <c r="F258" s="3">
        <v>9683360</v>
      </c>
      <c r="G258" s="3">
        <v>9804107</v>
      </c>
      <c r="H258" s="3"/>
      <c r="I258" s="3"/>
      <c r="J258" s="3"/>
      <c r="K258" s="3"/>
      <c r="L258" s="3"/>
      <c r="M258" s="3"/>
      <c r="N258" s="3">
        <v>9683360</v>
      </c>
      <c r="O258" s="3">
        <v>9804107</v>
      </c>
      <c r="P258" s="2">
        <v>1.25</v>
      </c>
      <c r="Q258" s="3">
        <v>164090</v>
      </c>
      <c r="R258" s="3">
        <v>156597</v>
      </c>
      <c r="S258" s="3">
        <v>9519270</v>
      </c>
      <c r="T258" s="3">
        <v>9647510</v>
      </c>
      <c r="U258" s="3">
        <v>9519270</v>
      </c>
      <c r="V258" s="3">
        <v>9647510</v>
      </c>
      <c r="W258" s="3">
        <v>0</v>
      </c>
      <c r="X258" s="3">
        <v>0</v>
      </c>
      <c r="Y258" s="2">
        <v>641</v>
      </c>
      <c r="Z258" s="2">
        <v>634</v>
      </c>
      <c r="AA258" s="2">
        <v>-1.0900000000000001</v>
      </c>
      <c r="AB258" s="3">
        <v>2299511</v>
      </c>
      <c r="AC258" s="3">
        <v>2419510</v>
      </c>
      <c r="AD258" s="3">
        <v>398953</v>
      </c>
      <c r="AE258" s="3">
        <v>520000</v>
      </c>
      <c r="AF258" s="3">
        <v>1178528</v>
      </c>
      <c r="AG258" s="3">
        <v>836380</v>
      </c>
      <c r="AH258" s="2">
        <v>5.77</v>
      </c>
      <c r="AI258" s="5">
        <v>4</v>
      </c>
    </row>
    <row r="259" spans="1:35" x14ac:dyDescent="0.3">
      <c r="A259" s="4" t="str">
        <f>"270100"</f>
        <v>270100</v>
      </c>
      <c r="B259" s="2" t="s">
        <v>258</v>
      </c>
      <c r="C259" s="3">
        <v>75918919</v>
      </c>
      <c r="D259" s="3">
        <v>79310319</v>
      </c>
      <c r="E259" s="2">
        <v>4.47</v>
      </c>
      <c r="F259" s="3">
        <v>21501377</v>
      </c>
      <c r="G259" s="3">
        <v>21501377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21501377</v>
      </c>
      <c r="O259" s="3">
        <v>21501377</v>
      </c>
      <c r="P259" s="2">
        <v>0</v>
      </c>
      <c r="Q259" s="3">
        <v>862123</v>
      </c>
      <c r="R259" s="3">
        <v>2203393</v>
      </c>
      <c r="S259" s="3">
        <v>21812346</v>
      </c>
      <c r="T259" s="3">
        <v>19864793</v>
      </c>
      <c r="U259" s="3">
        <v>20639254</v>
      </c>
      <c r="V259" s="3">
        <v>19297984</v>
      </c>
      <c r="W259" s="3">
        <v>1173092</v>
      </c>
      <c r="X259" s="3">
        <v>566809</v>
      </c>
      <c r="Y259" s="2">
        <v>3670</v>
      </c>
      <c r="Z259" s="2">
        <v>3700</v>
      </c>
      <c r="AA259" s="2">
        <v>0.82</v>
      </c>
      <c r="AB259" s="3">
        <v>7093765</v>
      </c>
      <c r="AC259" s="3">
        <v>7683210</v>
      </c>
      <c r="AD259" s="3">
        <v>3054446</v>
      </c>
      <c r="AE259" s="3">
        <v>320236</v>
      </c>
      <c r="AF259" s="3">
        <v>13848441</v>
      </c>
      <c r="AG259" s="3">
        <v>14528205</v>
      </c>
      <c r="AH259" s="2">
        <v>18.239999999999998</v>
      </c>
      <c r="AI259" s="5">
        <v>18.32</v>
      </c>
    </row>
    <row r="260" spans="1:35" x14ac:dyDescent="0.3">
      <c r="A260" s="4" t="str">
        <f>"270301"</f>
        <v>270301</v>
      </c>
      <c r="B260" s="2" t="s">
        <v>259</v>
      </c>
      <c r="C260" s="3">
        <v>22610925</v>
      </c>
      <c r="D260" s="3">
        <v>23125725</v>
      </c>
      <c r="E260" s="2">
        <v>2.2799999999999998</v>
      </c>
      <c r="F260" s="3">
        <v>7554520</v>
      </c>
      <c r="G260" s="3">
        <v>7554520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7554520</v>
      </c>
      <c r="O260" s="3">
        <v>7554520</v>
      </c>
      <c r="P260" s="2">
        <v>0</v>
      </c>
      <c r="Q260" s="3">
        <v>0</v>
      </c>
      <c r="R260" s="3">
        <v>0</v>
      </c>
      <c r="S260" s="3">
        <v>7561438</v>
      </c>
      <c r="T260" s="3">
        <v>8183531</v>
      </c>
      <c r="U260" s="3">
        <v>7554520</v>
      </c>
      <c r="V260" s="3">
        <v>7554520</v>
      </c>
      <c r="W260" s="3">
        <v>6918</v>
      </c>
      <c r="X260" s="3">
        <v>629011</v>
      </c>
      <c r="Y260" s="2">
        <v>933</v>
      </c>
      <c r="Z260" s="2">
        <v>904</v>
      </c>
      <c r="AA260" s="2">
        <v>-3.11</v>
      </c>
      <c r="AB260" s="3">
        <v>1830555</v>
      </c>
      <c r="AC260" s="3">
        <v>1917450</v>
      </c>
      <c r="AD260" s="3">
        <v>1093069</v>
      </c>
      <c r="AE260" s="3">
        <v>150000</v>
      </c>
      <c r="AF260" s="3">
        <v>2779359</v>
      </c>
      <c r="AG260" s="3">
        <v>2800000</v>
      </c>
      <c r="AH260" s="2">
        <v>12.29</v>
      </c>
      <c r="AI260" s="5">
        <v>12.11</v>
      </c>
    </row>
    <row r="261" spans="1:35" x14ac:dyDescent="0.3">
      <c r="A261" s="4" t="str">
        <f>"270601"</f>
        <v>270601</v>
      </c>
      <c r="B261" s="2" t="s">
        <v>260</v>
      </c>
      <c r="C261" s="3">
        <v>29847711</v>
      </c>
      <c r="D261" s="3">
        <v>30844918</v>
      </c>
      <c r="E261" s="2">
        <v>3.34</v>
      </c>
      <c r="F261" s="3">
        <v>10827752</v>
      </c>
      <c r="G261" s="3">
        <v>10839722</v>
      </c>
      <c r="H261" s="3">
        <v>34675</v>
      </c>
      <c r="I261" s="3">
        <v>54058</v>
      </c>
      <c r="J261" s="3">
        <v>0</v>
      </c>
      <c r="K261" s="3">
        <v>0</v>
      </c>
      <c r="L261" s="3">
        <v>0</v>
      </c>
      <c r="M261" s="3">
        <v>0</v>
      </c>
      <c r="N261" s="3">
        <v>10862427</v>
      </c>
      <c r="O261" s="3">
        <v>10893780</v>
      </c>
      <c r="P261" s="2">
        <v>0.28999999999999998</v>
      </c>
      <c r="Q261" s="3">
        <v>412644</v>
      </c>
      <c r="R261" s="3">
        <v>343439</v>
      </c>
      <c r="S261" s="3">
        <v>10742362</v>
      </c>
      <c r="T261" s="3">
        <v>10550341</v>
      </c>
      <c r="U261" s="3">
        <v>10415108</v>
      </c>
      <c r="V261" s="3">
        <v>10496283</v>
      </c>
      <c r="W261" s="3">
        <v>327254</v>
      </c>
      <c r="X261" s="3">
        <v>54058</v>
      </c>
      <c r="Y261" s="2">
        <v>1340</v>
      </c>
      <c r="Z261" s="2">
        <v>1340</v>
      </c>
      <c r="AA261" s="2">
        <v>0</v>
      </c>
      <c r="AB261" s="3">
        <v>2802663</v>
      </c>
      <c r="AC261" s="3">
        <v>2802663</v>
      </c>
      <c r="AD261" s="3">
        <v>1735498</v>
      </c>
      <c r="AE261" s="3">
        <v>1092259</v>
      </c>
      <c r="AF261" s="3">
        <v>1193906</v>
      </c>
      <c r="AG261" s="3">
        <v>1233797</v>
      </c>
      <c r="AH261" s="2">
        <v>4</v>
      </c>
      <c r="AI261" s="5">
        <v>4</v>
      </c>
    </row>
    <row r="262" spans="1:35" x14ac:dyDescent="0.3">
      <c r="A262" s="4" t="str">
        <f>"270701"</f>
        <v>270701</v>
      </c>
      <c r="B262" s="2" t="s">
        <v>261</v>
      </c>
      <c r="C262" s="3">
        <v>21375000</v>
      </c>
      <c r="D262" s="3">
        <v>21875000</v>
      </c>
      <c r="E262" s="2">
        <v>2.34</v>
      </c>
      <c r="F262" s="3">
        <v>5765920</v>
      </c>
      <c r="G262" s="3">
        <v>5765920</v>
      </c>
      <c r="H262" s="3">
        <v>85000</v>
      </c>
      <c r="I262" s="3">
        <v>85000</v>
      </c>
      <c r="J262" s="3">
        <v>0</v>
      </c>
      <c r="K262" s="3">
        <v>0</v>
      </c>
      <c r="L262" s="3">
        <v>0</v>
      </c>
      <c r="M262" s="3">
        <v>0</v>
      </c>
      <c r="N262" s="3">
        <v>5850920</v>
      </c>
      <c r="O262" s="3">
        <v>5850920</v>
      </c>
      <c r="P262" s="2">
        <v>0</v>
      </c>
      <c r="Q262" s="3">
        <v>23226</v>
      </c>
      <c r="R262" s="3">
        <v>20833</v>
      </c>
      <c r="S262" s="3">
        <v>5832702</v>
      </c>
      <c r="T262" s="3">
        <v>5880111</v>
      </c>
      <c r="U262" s="3">
        <v>5742694</v>
      </c>
      <c r="V262" s="3">
        <v>5745087</v>
      </c>
      <c r="W262" s="3">
        <v>90008</v>
      </c>
      <c r="X262" s="3">
        <v>135024</v>
      </c>
      <c r="Y262" s="2">
        <v>821</v>
      </c>
      <c r="Z262" s="2">
        <v>819</v>
      </c>
      <c r="AA262" s="2">
        <v>-0.24</v>
      </c>
      <c r="AB262" s="3">
        <v>4678993</v>
      </c>
      <c r="AC262" s="3">
        <v>4678993</v>
      </c>
      <c r="AD262" s="3">
        <v>500000</v>
      </c>
      <c r="AE262" s="3">
        <v>500000</v>
      </c>
      <c r="AF262" s="3">
        <v>855000</v>
      </c>
      <c r="AG262" s="3">
        <v>875000</v>
      </c>
      <c r="AH262" s="2">
        <v>4</v>
      </c>
      <c r="AI262" s="5">
        <v>4</v>
      </c>
    </row>
    <row r="263" spans="1:35" x14ac:dyDescent="0.3">
      <c r="A263" s="4" t="str">
        <f>"271201"</f>
        <v>271201</v>
      </c>
      <c r="B263" s="2" t="s">
        <v>262</v>
      </c>
      <c r="C263" s="3">
        <v>21297061</v>
      </c>
      <c r="D263" s="3">
        <v>21297061</v>
      </c>
      <c r="E263" s="2">
        <v>0</v>
      </c>
      <c r="F263" s="3">
        <v>4992857</v>
      </c>
      <c r="G263" s="3">
        <v>4992857</v>
      </c>
      <c r="H263" s="3"/>
      <c r="I263" s="3"/>
      <c r="J263" s="3"/>
      <c r="K263" s="3"/>
      <c r="L263" s="3"/>
      <c r="M263" s="3"/>
      <c r="N263" s="3">
        <v>4992857</v>
      </c>
      <c r="O263" s="3">
        <v>4992857</v>
      </c>
      <c r="P263" s="2">
        <v>0</v>
      </c>
      <c r="Q263" s="3">
        <v>0</v>
      </c>
      <c r="R263" s="3">
        <v>0</v>
      </c>
      <c r="S263" s="3">
        <v>4992857</v>
      </c>
      <c r="T263" s="3">
        <v>5059358</v>
      </c>
      <c r="U263" s="3">
        <v>4992857</v>
      </c>
      <c r="V263" s="3">
        <v>4992857</v>
      </c>
      <c r="W263" s="3">
        <v>0</v>
      </c>
      <c r="X263" s="3">
        <v>66501</v>
      </c>
      <c r="Y263" s="2">
        <v>722</v>
      </c>
      <c r="Z263" s="2">
        <v>731</v>
      </c>
      <c r="AA263" s="2">
        <v>1.25</v>
      </c>
      <c r="AB263" s="3">
        <v>12674726</v>
      </c>
      <c r="AC263" s="3">
        <v>9006932</v>
      </c>
      <c r="AD263" s="3">
        <v>200000</v>
      </c>
      <c r="AE263" s="3">
        <v>1200000</v>
      </c>
      <c r="AF263" s="3">
        <v>851882</v>
      </c>
      <c r="AG263" s="3">
        <v>851882</v>
      </c>
      <c r="AH263" s="2">
        <v>4</v>
      </c>
      <c r="AI263" s="5">
        <v>4</v>
      </c>
    </row>
    <row r="264" spans="1:35" x14ac:dyDescent="0.3">
      <c r="A264" s="4" t="str">
        <f>"280100"</f>
        <v>280100</v>
      </c>
      <c r="B264" s="2" t="s">
        <v>263</v>
      </c>
      <c r="C264" s="3">
        <v>92474208</v>
      </c>
      <c r="D264" s="3">
        <v>95746755</v>
      </c>
      <c r="E264" s="2">
        <v>3.54</v>
      </c>
      <c r="F264" s="3">
        <v>70894685</v>
      </c>
      <c r="G264" s="3">
        <v>72070116</v>
      </c>
      <c r="H264" s="3"/>
      <c r="I264" s="3"/>
      <c r="J264" s="3"/>
      <c r="K264" s="3"/>
      <c r="L264" s="3"/>
      <c r="M264" s="3"/>
      <c r="N264" s="3">
        <v>70894685</v>
      </c>
      <c r="O264" s="3">
        <v>72070116</v>
      </c>
      <c r="P264" s="2">
        <v>1.66</v>
      </c>
      <c r="Q264" s="3">
        <v>1143850</v>
      </c>
      <c r="R264" s="3">
        <v>1405698</v>
      </c>
      <c r="S264" s="3">
        <v>69750835</v>
      </c>
      <c r="T264" s="3">
        <v>70664418</v>
      </c>
      <c r="U264" s="3">
        <v>69750835</v>
      </c>
      <c r="V264" s="3">
        <v>70664418</v>
      </c>
      <c r="W264" s="3">
        <v>0</v>
      </c>
      <c r="X264" s="3">
        <v>0</v>
      </c>
      <c r="Y264" s="2">
        <v>3191</v>
      </c>
      <c r="Z264" s="2">
        <v>3062</v>
      </c>
      <c r="AA264" s="2">
        <v>-4.04</v>
      </c>
      <c r="AB264" s="3">
        <v>17500000</v>
      </c>
      <c r="AC264" s="3">
        <v>21500000</v>
      </c>
      <c r="AD264" s="3">
        <v>2390000</v>
      </c>
      <c r="AE264" s="3">
        <v>2980419</v>
      </c>
      <c r="AF264" s="3">
        <v>3698968</v>
      </c>
      <c r="AG264" s="3">
        <v>3829870</v>
      </c>
      <c r="AH264" s="2">
        <v>4</v>
      </c>
      <c r="AI264" s="5">
        <v>4</v>
      </c>
    </row>
    <row r="265" spans="1:35" x14ac:dyDescent="0.3">
      <c r="A265" s="4" t="str">
        <f>"280201"</f>
        <v>280201</v>
      </c>
      <c r="B265" s="2" t="s">
        <v>264</v>
      </c>
      <c r="C265" s="3">
        <v>225364654</v>
      </c>
      <c r="D265" s="3">
        <v>247223026</v>
      </c>
      <c r="E265" s="2">
        <v>9.6999999999999993</v>
      </c>
      <c r="F265" s="3">
        <v>75934370</v>
      </c>
      <c r="G265" s="3">
        <v>75934370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75934370</v>
      </c>
      <c r="O265" s="3">
        <v>75934370</v>
      </c>
      <c r="P265" s="2">
        <v>0</v>
      </c>
      <c r="Q265" s="3">
        <v>1927992</v>
      </c>
      <c r="R265" s="3">
        <v>1927992</v>
      </c>
      <c r="S265" s="3">
        <v>75731890</v>
      </c>
      <c r="T265" s="3">
        <v>75731890</v>
      </c>
      <c r="U265" s="3">
        <v>74006378</v>
      </c>
      <c r="V265" s="3">
        <v>74006378</v>
      </c>
      <c r="W265" s="3">
        <v>1725512</v>
      </c>
      <c r="X265" s="3">
        <v>1725512</v>
      </c>
      <c r="Y265" s="2">
        <v>6274</v>
      </c>
      <c r="Z265" s="2">
        <v>6600</v>
      </c>
      <c r="AA265" s="2">
        <v>5.2</v>
      </c>
      <c r="AB265" s="3">
        <v>6546938</v>
      </c>
      <c r="AC265" s="3">
        <v>3893965</v>
      </c>
      <c r="AD265" s="3">
        <v>1600000</v>
      </c>
      <c r="AE265" s="3">
        <v>2100000</v>
      </c>
      <c r="AF265" s="3">
        <v>5392650</v>
      </c>
      <c r="AG265" s="3">
        <v>4892650</v>
      </c>
      <c r="AH265" s="2">
        <v>2.39</v>
      </c>
      <c r="AI265" s="5">
        <v>1.98</v>
      </c>
    </row>
    <row r="266" spans="1:35" x14ac:dyDescent="0.3">
      <c r="A266" s="4" t="str">
        <f>"280202"</f>
        <v>280202</v>
      </c>
      <c r="B266" s="2" t="s">
        <v>265</v>
      </c>
      <c r="C266" s="3">
        <v>211098056</v>
      </c>
      <c r="D266" s="3">
        <v>221303686</v>
      </c>
      <c r="E266" s="2">
        <v>4.83</v>
      </c>
      <c r="F266" s="3">
        <v>125852550</v>
      </c>
      <c r="G266" s="3">
        <v>125852550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125852550</v>
      </c>
      <c r="O266" s="3">
        <v>125852550</v>
      </c>
      <c r="P266" s="2">
        <v>0</v>
      </c>
      <c r="Q266" s="3">
        <v>0</v>
      </c>
      <c r="R266" s="3">
        <v>2030776</v>
      </c>
      <c r="S266" s="3">
        <v>127779244</v>
      </c>
      <c r="T266" s="3">
        <v>129896706</v>
      </c>
      <c r="U266" s="3">
        <v>125852550</v>
      </c>
      <c r="V266" s="3">
        <v>123821774</v>
      </c>
      <c r="W266" s="3">
        <v>1926694</v>
      </c>
      <c r="X266" s="3">
        <v>6074932</v>
      </c>
      <c r="Y266" s="2">
        <v>6696</v>
      </c>
      <c r="Z266" s="2">
        <v>6829</v>
      </c>
      <c r="AA266" s="2">
        <v>1.99</v>
      </c>
      <c r="AB266" s="3">
        <v>24454118</v>
      </c>
      <c r="AC266" s="3">
        <v>24254118</v>
      </c>
      <c r="AD266" s="3">
        <v>5890867</v>
      </c>
      <c r="AE266" s="3">
        <v>5850622</v>
      </c>
      <c r="AF266" s="3">
        <v>8443921</v>
      </c>
      <c r="AG266" s="3">
        <v>8852147</v>
      </c>
      <c r="AH266" s="2">
        <v>4</v>
      </c>
      <c r="AI266" s="5">
        <v>4</v>
      </c>
    </row>
    <row r="267" spans="1:35" x14ac:dyDescent="0.3">
      <c r="A267" s="4" t="str">
        <f>"280203"</f>
        <v>280203</v>
      </c>
      <c r="B267" s="2" t="s">
        <v>266</v>
      </c>
      <c r="C267" s="3">
        <v>214179803</v>
      </c>
      <c r="D267" s="3">
        <v>218857635</v>
      </c>
      <c r="E267" s="2">
        <v>2.1800000000000002</v>
      </c>
      <c r="F267" s="3">
        <v>143099792</v>
      </c>
      <c r="G267" s="3">
        <v>145246146</v>
      </c>
      <c r="H267" s="3"/>
      <c r="I267" s="3"/>
      <c r="J267" s="3"/>
      <c r="K267" s="3"/>
      <c r="L267" s="3"/>
      <c r="M267" s="3"/>
      <c r="N267" s="3">
        <v>143099792</v>
      </c>
      <c r="O267" s="3">
        <v>145246146</v>
      </c>
      <c r="P267" s="2">
        <v>1.5</v>
      </c>
      <c r="Q267" s="3">
        <v>5303603</v>
      </c>
      <c r="R267" s="3">
        <v>6058612</v>
      </c>
      <c r="S267" s="3">
        <v>137796189</v>
      </c>
      <c r="T267" s="3">
        <v>139729451</v>
      </c>
      <c r="U267" s="3">
        <v>137796189</v>
      </c>
      <c r="V267" s="3">
        <v>139187534</v>
      </c>
      <c r="W267" s="3">
        <v>0</v>
      </c>
      <c r="X267" s="3">
        <v>541917</v>
      </c>
      <c r="Y267" s="2">
        <v>7243</v>
      </c>
      <c r="Z267" s="2">
        <v>7277</v>
      </c>
      <c r="AA267" s="2">
        <v>0.47</v>
      </c>
      <c r="AB267" s="3">
        <v>19265849</v>
      </c>
      <c r="AC267" s="3">
        <v>17161774</v>
      </c>
      <c r="AD267" s="3">
        <v>13728292</v>
      </c>
      <c r="AE267" s="3">
        <v>9590491</v>
      </c>
      <c r="AF267" s="3">
        <v>8527640</v>
      </c>
      <c r="AG267" s="3">
        <v>8754305</v>
      </c>
      <c r="AH267" s="2">
        <v>3.98</v>
      </c>
      <c r="AI267" s="5">
        <v>4</v>
      </c>
    </row>
    <row r="268" spans="1:35" x14ac:dyDescent="0.3">
      <c r="A268" s="4" t="str">
        <f>"280204"</f>
        <v>280204</v>
      </c>
      <c r="B268" s="2" t="s">
        <v>267</v>
      </c>
      <c r="C268" s="3">
        <v>58039655</v>
      </c>
      <c r="D268" s="3">
        <v>59193419</v>
      </c>
      <c r="E268" s="2">
        <v>1.99</v>
      </c>
      <c r="F268" s="3">
        <v>40327037</v>
      </c>
      <c r="G268" s="3">
        <v>40948156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40327037</v>
      </c>
      <c r="O268" s="3">
        <v>40948156</v>
      </c>
      <c r="P268" s="2">
        <v>1.54</v>
      </c>
      <c r="Q268" s="3">
        <v>48877</v>
      </c>
      <c r="R268" s="3">
        <v>131419</v>
      </c>
      <c r="S268" s="3">
        <v>40278160</v>
      </c>
      <c r="T268" s="3">
        <v>40816737</v>
      </c>
      <c r="U268" s="3">
        <v>40278160</v>
      </c>
      <c r="V268" s="3">
        <v>40816737</v>
      </c>
      <c r="W268" s="3">
        <v>0</v>
      </c>
      <c r="X268" s="3">
        <v>0</v>
      </c>
      <c r="Y268" s="2">
        <v>2046</v>
      </c>
      <c r="Z268" s="2">
        <v>2035</v>
      </c>
      <c r="AA268" s="2">
        <v>-0.54</v>
      </c>
      <c r="AB268" s="3">
        <v>5249643</v>
      </c>
      <c r="AC268" s="3">
        <v>13250000</v>
      </c>
      <c r="AD268" s="3">
        <v>1600000</v>
      </c>
      <c r="AE268" s="3">
        <v>1200000</v>
      </c>
      <c r="AF268" s="3">
        <v>6553155</v>
      </c>
      <c r="AG268" s="3">
        <v>2367737</v>
      </c>
      <c r="AH268" s="2">
        <v>11.29</v>
      </c>
      <c r="AI268" s="5">
        <v>4</v>
      </c>
    </row>
    <row r="269" spans="1:35" x14ac:dyDescent="0.3">
      <c r="A269" s="4" t="str">
        <f>"280205"</f>
        <v>280205</v>
      </c>
      <c r="B269" s="2" t="s">
        <v>268</v>
      </c>
      <c r="C269" s="3">
        <v>227434141</v>
      </c>
      <c r="D269" s="3">
        <v>232482693</v>
      </c>
      <c r="E269" s="2">
        <v>2.2200000000000002</v>
      </c>
      <c r="F269" s="3">
        <v>146293986</v>
      </c>
      <c r="G269" s="3">
        <v>149140845</v>
      </c>
      <c r="H269" s="3"/>
      <c r="I269" s="3"/>
      <c r="J269" s="3"/>
      <c r="K269" s="3"/>
      <c r="L269" s="3"/>
      <c r="M269" s="3"/>
      <c r="N269" s="3">
        <v>146293986</v>
      </c>
      <c r="O269" s="3">
        <v>149140845</v>
      </c>
      <c r="P269" s="2">
        <v>1.95</v>
      </c>
      <c r="Q269" s="3">
        <v>1391738</v>
      </c>
      <c r="R269" s="3">
        <v>2158164</v>
      </c>
      <c r="S269" s="3">
        <v>144902248</v>
      </c>
      <c r="T269" s="3">
        <v>146982681</v>
      </c>
      <c r="U269" s="3">
        <v>144902248</v>
      </c>
      <c r="V269" s="3">
        <v>146982681</v>
      </c>
      <c r="W269" s="3">
        <v>0</v>
      </c>
      <c r="X269" s="3">
        <v>0</v>
      </c>
      <c r="Y269" s="2">
        <v>7074</v>
      </c>
      <c r="Z269" s="2">
        <v>7084</v>
      </c>
      <c r="AA269" s="2">
        <v>0.14000000000000001</v>
      </c>
      <c r="AB269" s="3">
        <v>30718594</v>
      </c>
      <c r="AC269" s="3">
        <v>23355032</v>
      </c>
      <c r="AD269" s="3">
        <v>12000000</v>
      </c>
      <c r="AE269" s="3">
        <v>11000000</v>
      </c>
      <c r="AF269" s="3">
        <v>11289993</v>
      </c>
      <c r="AG269" s="3">
        <v>9299307</v>
      </c>
      <c r="AH269" s="2">
        <v>4.96</v>
      </c>
      <c r="AI269" s="5">
        <v>4</v>
      </c>
    </row>
    <row r="270" spans="1:35" x14ac:dyDescent="0.3">
      <c r="A270" s="4" t="str">
        <f>"280206"</f>
        <v>280206</v>
      </c>
      <c r="B270" s="2" t="s">
        <v>269</v>
      </c>
      <c r="C270" s="3">
        <v>73005631</v>
      </c>
      <c r="D270" s="3">
        <v>74717812</v>
      </c>
      <c r="E270" s="2">
        <v>2.35</v>
      </c>
      <c r="F270" s="3">
        <v>55047849</v>
      </c>
      <c r="G270" s="3">
        <v>55871869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55047849</v>
      </c>
      <c r="O270" s="3">
        <v>55871869</v>
      </c>
      <c r="P270" s="2">
        <v>1.5</v>
      </c>
      <c r="Q270" s="3">
        <v>1138472</v>
      </c>
      <c r="R270" s="3">
        <v>1150585</v>
      </c>
      <c r="S270" s="3">
        <v>53909377</v>
      </c>
      <c r="T270" s="3">
        <v>54721284</v>
      </c>
      <c r="U270" s="3">
        <v>53909377</v>
      </c>
      <c r="V270" s="3">
        <v>54721284</v>
      </c>
      <c r="W270" s="3">
        <v>0</v>
      </c>
      <c r="X270" s="3">
        <v>0</v>
      </c>
      <c r="Y270" s="2">
        <v>2195</v>
      </c>
      <c r="Z270" s="2">
        <v>2174</v>
      </c>
      <c r="AA270" s="2">
        <v>-0.96</v>
      </c>
      <c r="AB270" s="3">
        <v>16827305</v>
      </c>
      <c r="AC270" s="3">
        <v>18018794</v>
      </c>
      <c r="AD270" s="3">
        <v>650000</v>
      </c>
      <c r="AE270" s="3">
        <v>847574</v>
      </c>
      <c r="AF270" s="3">
        <v>2903584</v>
      </c>
      <c r="AG270" s="3">
        <v>2988712</v>
      </c>
      <c r="AH270" s="2">
        <v>3.98</v>
      </c>
      <c r="AI270" s="5">
        <v>4</v>
      </c>
    </row>
    <row r="271" spans="1:35" x14ac:dyDescent="0.3">
      <c r="A271" s="4" t="str">
        <f>"280207"</f>
        <v>280207</v>
      </c>
      <c r="B271" s="2" t="s">
        <v>270</v>
      </c>
      <c r="C271" s="3">
        <v>36918122</v>
      </c>
      <c r="D271" s="3">
        <v>37266532</v>
      </c>
      <c r="E271" s="2">
        <v>0.94</v>
      </c>
      <c r="F271" s="3">
        <v>26271667</v>
      </c>
      <c r="G271" s="3">
        <v>26583621</v>
      </c>
      <c r="H271" s="3"/>
      <c r="I271" s="3"/>
      <c r="J271" s="3"/>
      <c r="K271" s="3"/>
      <c r="L271" s="3"/>
      <c r="M271" s="3"/>
      <c r="N271" s="3">
        <v>26271667</v>
      </c>
      <c r="O271" s="3">
        <v>26583621</v>
      </c>
      <c r="P271" s="2">
        <v>1.19</v>
      </c>
      <c r="Q271" s="3">
        <v>782652</v>
      </c>
      <c r="R271" s="3">
        <v>759593</v>
      </c>
      <c r="S271" s="3">
        <v>25501529</v>
      </c>
      <c r="T271" s="3">
        <v>25828183</v>
      </c>
      <c r="U271" s="3">
        <v>25489015</v>
      </c>
      <c r="V271" s="3">
        <v>25824028</v>
      </c>
      <c r="W271" s="3">
        <v>12514</v>
      </c>
      <c r="X271" s="3">
        <v>4155</v>
      </c>
      <c r="Y271" s="2">
        <v>1030</v>
      </c>
      <c r="Z271" s="2">
        <v>1022</v>
      </c>
      <c r="AA271" s="2">
        <v>-0.78</v>
      </c>
      <c r="AB271" s="3">
        <v>6170450</v>
      </c>
      <c r="AC271" s="3">
        <v>6067647</v>
      </c>
      <c r="AD271" s="3">
        <v>2398732</v>
      </c>
      <c r="AE271" s="3">
        <v>2218039</v>
      </c>
      <c r="AF271" s="3">
        <v>2233828</v>
      </c>
      <c r="AG271" s="3">
        <v>1490661</v>
      </c>
      <c r="AH271" s="2">
        <v>6.05</v>
      </c>
      <c r="AI271" s="5">
        <v>4</v>
      </c>
    </row>
    <row r="272" spans="1:35" x14ac:dyDescent="0.3">
      <c r="A272" s="4" t="str">
        <f>"280208"</f>
        <v>280208</v>
      </c>
      <c r="B272" s="2" t="s">
        <v>271</v>
      </c>
      <c r="C272" s="3">
        <v>106869229</v>
      </c>
      <c r="D272" s="3">
        <v>110981941</v>
      </c>
      <c r="E272" s="2">
        <v>3.85</v>
      </c>
      <c r="F272" s="3">
        <v>23448002</v>
      </c>
      <c r="G272" s="3">
        <v>23448002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23448002</v>
      </c>
      <c r="O272" s="3">
        <v>23448002</v>
      </c>
      <c r="P272" s="2">
        <v>0</v>
      </c>
      <c r="Q272" s="3">
        <v>0</v>
      </c>
      <c r="R272" s="3">
        <v>0</v>
      </c>
      <c r="S272" s="3">
        <v>23517658</v>
      </c>
      <c r="T272" s="3">
        <v>23874278</v>
      </c>
      <c r="U272" s="3">
        <v>23448002</v>
      </c>
      <c r="V272" s="3">
        <v>23448002</v>
      </c>
      <c r="W272" s="3">
        <v>69656</v>
      </c>
      <c r="X272" s="3">
        <v>426276</v>
      </c>
      <c r="Y272" s="2">
        <v>3434</v>
      </c>
      <c r="Z272" s="2">
        <v>3352</v>
      </c>
      <c r="AA272" s="2">
        <v>-2.39</v>
      </c>
      <c r="AB272" s="3">
        <v>18537343</v>
      </c>
      <c r="AC272" s="3">
        <v>19312343</v>
      </c>
      <c r="AD272" s="3">
        <v>1600000</v>
      </c>
      <c r="AE272" s="3">
        <v>2000000</v>
      </c>
      <c r="AF272" s="3">
        <v>8024837</v>
      </c>
      <c r="AG272" s="3">
        <v>5379837</v>
      </c>
      <c r="AH272" s="2">
        <v>7.51</v>
      </c>
      <c r="AI272" s="5">
        <v>4.8499999999999996</v>
      </c>
    </row>
    <row r="273" spans="1:35" x14ac:dyDescent="0.3">
      <c r="A273" s="4" t="str">
        <f>"280209"</f>
        <v>280209</v>
      </c>
      <c r="B273" s="2" t="s">
        <v>272</v>
      </c>
      <c r="C273" s="3">
        <v>188263107</v>
      </c>
      <c r="D273" s="3">
        <v>195649933</v>
      </c>
      <c r="E273" s="2">
        <v>3.92</v>
      </c>
      <c r="F273" s="3">
        <v>89373917</v>
      </c>
      <c r="G273" s="3">
        <v>89266668</v>
      </c>
      <c r="H273" s="3"/>
      <c r="I273" s="3"/>
      <c r="J273" s="3"/>
      <c r="K273" s="3"/>
      <c r="L273" s="3"/>
      <c r="M273" s="3"/>
      <c r="N273" s="3">
        <v>89373917</v>
      </c>
      <c r="O273" s="3">
        <v>89266668</v>
      </c>
      <c r="P273" s="2">
        <v>-0.12</v>
      </c>
      <c r="Q273" s="3">
        <v>1306083</v>
      </c>
      <c r="R273" s="3">
        <v>1096947</v>
      </c>
      <c r="S273" s="3">
        <v>90741030</v>
      </c>
      <c r="T273" s="3">
        <v>90633966</v>
      </c>
      <c r="U273" s="3">
        <v>88067834</v>
      </c>
      <c r="V273" s="3">
        <v>88169721</v>
      </c>
      <c r="W273" s="3">
        <v>2673196</v>
      </c>
      <c r="X273" s="3">
        <v>2464245</v>
      </c>
      <c r="Y273" s="2">
        <v>6864</v>
      </c>
      <c r="Z273" s="2">
        <v>6980</v>
      </c>
      <c r="AA273" s="2">
        <v>1.69</v>
      </c>
      <c r="AB273" s="3">
        <v>43475478</v>
      </c>
      <c r="AC273" s="3">
        <v>44270997</v>
      </c>
      <c r="AD273" s="3">
        <v>9500000</v>
      </c>
      <c r="AE273" s="3">
        <v>8500000</v>
      </c>
      <c r="AF273" s="3">
        <v>12948507</v>
      </c>
      <c r="AG273" s="3">
        <v>11347695</v>
      </c>
      <c r="AH273" s="2">
        <v>6.88</v>
      </c>
      <c r="AI273" s="5">
        <v>5.8</v>
      </c>
    </row>
    <row r="274" spans="1:35" x14ac:dyDescent="0.3">
      <c r="A274" s="4" t="str">
        <f>"280210"</f>
        <v>280210</v>
      </c>
      <c r="B274" s="2" t="s">
        <v>273</v>
      </c>
      <c r="C274" s="3">
        <v>138401294</v>
      </c>
      <c r="D274" s="3">
        <v>142453425</v>
      </c>
      <c r="E274" s="2">
        <v>2.93</v>
      </c>
      <c r="F274" s="3">
        <v>98286817</v>
      </c>
      <c r="G274" s="3">
        <v>99994496</v>
      </c>
      <c r="H274" s="3"/>
      <c r="I274" s="3"/>
      <c r="J274" s="3"/>
      <c r="K274" s="3"/>
      <c r="L274" s="3"/>
      <c r="M274" s="3"/>
      <c r="N274" s="3">
        <v>98286817</v>
      </c>
      <c r="O274" s="3">
        <v>99994496</v>
      </c>
      <c r="P274" s="2">
        <v>1.74</v>
      </c>
      <c r="Q274" s="3">
        <v>1610741</v>
      </c>
      <c r="R274" s="3">
        <v>1913746</v>
      </c>
      <c r="S274" s="3">
        <v>96676076</v>
      </c>
      <c r="T274" s="3">
        <v>98080750</v>
      </c>
      <c r="U274" s="3">
        <v>96676076</v>
      </c>
      <c r="V274" s="3">
        <v>98080750</v>
      </c>
      <c r="W274" s="3">
        <v>0</v>
      </c>
      <c r="X274" s="3">
        <v>0</v>
      </c>
      <c r="Y274" s="2">
        <v>4500</v>
      </c>
      <c r="Z274" s="2">
        <v>4528</v>
      </c>
      <c r="AA274" s="2">
        <v>0.62</v>
      </c>
      <c r="AB274" s="3">
        <v>27939400</v>
      </c>
      <c r="AC274" s="3">
        <v>31607400</v>
      </c>
      <c r="AD274" s="3">
        <v>2000000</v>
      </c>
      <c r="AE274" s="3">
        <v>2000000</v>
      </c>
      <c r="AF274" s="3">
        <v>9484130</v>
      </c>
      <c r="AG274" s="3">
        <v>5698137</v>
      </c>
      <c r="AH274" s="2">
        <v>6.85</v>
      </c>
      <c r="AI274" s="5">
        <v>4</v>
      </c>
    </row>
    <row r="275" spans="1:35" x14ac:dyDescent="0.3">
      <c r="A275" s="4" t="str">
        <f>"280211"</f>
        <v>280211</v>
      </c>
      <c r="B275" s="2" t="s">
        <v>274</v>
      </c>
      <c r="C275" s="3">
        <v>160876408</v>
      </c>
      <c r="D275" s="3">
        <v>163403521</v>
      </c>
      <c r="E275" s="2">
        <v>1.57</v>
      </c>
      <c r="F275" s="3">
        <v>130128054</v>
      </c>
      <c r="G275" s="3">
        <v>132739385</v>
      </c>
      <c r="H275" s="3"/>
      <c r="I275" s="3"/>
      <c r="J275" s="3"/>
      <c r="K275" s="3"/>
      <c r="L275" s="3"/>
      <c r="M275" s="3"/>
      <c r="N275" s="3">
        <v>130128054</v>
      </c>
      <c r="O275" s="3">
        <v>132739385</v>
      </c>
      <c r="P275" s="2">
        <v>2.0099999999999998</v>
      </c>
      <c r="Q275" s="3">
        <v>4653383</v>
      </c>
      <c r="R275" s="3">
        <v>5004130</v>
      </c>
      <c r="S275" s="3">
        <v>125632535</v>
      </c>
      <c r="T275" s="3">
        <v>127784259</v>
      </c>
      <c r="U275" s="3">
        <v>125474671</v>
      </c>
      <c r="V275" s="3">
        <v>127735255</v>
      </c>
      <c r="W275" s="3">
        <v>157864</v>
      </c>
      <c r="X275" s="3">
        <v>49004</v>
      </c>
      <c r="Y275" s="2">
        <v>5525</v>
      </c>
      <c r="Z275" s="2">
        <v>5520</v>
      </c>
      <c r="AA275" s="2">
        <v>-0.09</v>
      </c>
      <c r="AB275" s="3">
        <v>23159768</v>
      </c>
      <c r="AC275" s="3">
        <v>28159768</v>
      </c>
      <c r="AD275" s="3">
        <v>3266172</v>
      </c>
      <c r="AE275" s="3">
        <v>3050000</v>
      </c>
      <c r="AF275" s="3">
        <v>6435057</v>
      </c>
      <c r="AG275" s="3">
        <v>6536141</v>
      </c>
      <c r="AH275" s="2">
        <v>4</v>
      </c>
      <c r="AI275" s="5">
        <v>4</v>
      </c>
    </row>
    <row r="276" spans="1:35" x14ac:dyDescent="0.3">
      <c r="A276" s="4" t="str">
        <f>"280212"</f>
        <v>280212</v>
      </c>
      <c r="B276" s="2" t="s">
        <v>275</v>
      </c>
      <c r="C276" s="3">
        <v>59853972</v>
      </c>
      <c r="D276" s="3">
        <v>61957097</v>
      </c>
      <c r="E276" s="2">
        <v>3.51</v>
      </c>
      <c r="F276" s="3">
        <v>45232815</v>
      </c>
      <c r="G276" s="3">
        <v>45922615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45232815</v>
      </c>
      <c r="O276" s="3">
        <v>45922615</v>
      </c>
      <c r="P276" s="2">
        <v>1.52</v>
      </c>
      <c r="Q276" s="3">
        <v>1492316</v>
      </c>
      <c r="R276" s="3">
        <v>1499894</v>
      </c>
      <c r="S276" s="3">
        <v>43741084</v>
      </c>
      <c r="T276" s="3">
        <v>44425844</v>
      </c>
      <c r="U276" s="3">
        <v>43740499</v>
      </c>
      <c r="V276" s="3">
        <v>44422721</v>
      </c>
      <c r="W276" s="3">
        <v>585</v>
      </c>
      <c r="X276" s="3">
        <v>3123</v>
      </c>
      <c r="Y276" s="2">
        <v>1740</v>
      </c>
      <c r="Z276" s="2">
        <v>1745</v>
      </c>
      <c r="AA276" s="2">
        <v>0.28999999999999998</v>
      </c>
      <c r="AB276" s="3">
        <v>8051440</v>
      </c>
      <c r="AC276" s="3">
        <v>6774407</v>
      </c>
      <c r="AD276" s="3">
        <v>1232290</v>
      </c>
      <c r="AE276" s="3">
        <v>620000</v>
      </c>
      <c r="AF276" s="3">
        <v>2394158</v>
      </c>
      <c r="AG276" s="3">
        <v>2478283</v>
      </c>
      <c r="AH276" s="2">
        <v>4</v>
      </c>
      <c r="AI276" s="5">
        <v>4</v>
      </c>
    </row>
    <row r="277" spans="1:35" x14ac:dyDescent="0.3">
      <c r="A277" s="4" t="str">
        <f>"280213"</f>
        <v>280213</v>
      </c>
      <c r="B277" s="2" t="s">
        <v>276</v>
      </c>
      <c r="C277" s="3">
        <v>54423813</v>
      </c>
      <c r="D277" s="3">
        <v>55526830</v>
      </c>
      <c r="E277" s="2">
        <v>2.0299999999999998</v>
      </c>
      <c r="F277" s="3">
        <v>37808506</v>
      </c>
      <c r="G277" s="3">
        <v>37997549</v>
      </c>
      <c r="H277" s="3"/>
      <c r="I277" s="3"/>
      <c r="J277" s="3"/>
      <c r="K277" s="3"/>
      <c r="L277" s="3"/>
      <c r="M277" s="3"/>
      <c r="N277" s="3">
        <v>37808506</v>
      </c>
      <c r="O277" s="3">
        <v>37997549</v>
      </c>
      <c r="P277" s="2">
        <v>0.5</v>
      </c>
      <c r="Q277" s="3">
        <v>962412</v>
      </c>
      <c r="R277" s="3">
        <v>1101623</v>
      </c>
      <c r="S277" s="3">
        <v>38179287</v>
      </c>
      <c r="T277" s="3">
        <v>38473071</v>
      </c>
      <c r="U277" s="3">
        <v>36846094</v>
      </c>
      <c r="V277" s="3">
        <v>36895926</v>
      </c>
      <c r="W277" s="3">
        <v>1333193</v>
      </c>
      <c r="X277" s="3">
        <v>1577145</v>
      </c>
      <c r="Y277" s="2">
        <v>2025</v>
      </c>
      <c r="Z277" s="2">
        <v>1990</v>
      </c>
      <c r="AA277" s="2">
        <v>-1.73</v>
      </c>
      <c r="AB277" s="3">
        <v>10333326</v>
      </c>
      <c r="AC277" s="3">
        <v>9873530</v>
      </c>
      <c r="AD277" s="3">
        <v>1875000</v>
      </c>
      <c r="AE277" s="3">
        <v>1875000</v>
      </c>
      <c r="AF277" s="3">
        <v>2176952</v>
      </c>
      <c r="AG277" s="3">
        <v>2221073</v>
      </c>
      <c r="AH277" s="2">
        <v>4</v>
      </c>
      <c r="AI277" s="5">
        <v>4</v>
      </c>
    </row>
    <row r="278" spans="1:35" x14ac:dyDescent="0.3">
      <c r="A278" s="4" t="str">
        <f>"280214"</f>
        <v>280214</v>
      </c>
      <c r="B278" s="2" t="s">
        <v>277</v>
      </c>
      <c r="C278" s="3">
        <v>126882632</v>
      </c>
      <c r="D278" s="3">
        <v>129358256</v>
      </c>
      <c r="E278" s="2">
        <v>1.95</v>
      </c>
      <c r="F278" s="3">
        <v>106273125</v>
      </c>
      <c r="G278" s="3">
        <v>108341484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106273125</v>
      </c>
      <c r="O278" s="3">
        <v>108341484</v>
      </c>
      <c r="P278" s="2">
        <v>1.95</v>
      </c>
      <c r="Q278" s="3">
        <v>5847209</v>
      </c>
      <c r="R278" s="3">
        <v>6724662</v>
      </c>
      <c r="S278" s="3">
        <v>101335477</v>
      </c>
      <c r="T278" s="3">
        <v>102343790</v>
      </c>
      <c r="U278" s="3">
        <v>100425916</v>
      </c>
      <c r="V278" s="3">
        <v>101616822</v>
      </c>
      <c r="W278" s="3">
        <v>909561</v>
      </c>
      <c r="X278" s="3">
        <v>726968</v>
      </c>
      <c r="Y278" s="2">
        <v>2922</v>
      </c>
      <c r="Z278" s="2">
        <v>2854</v>
      </c>
      <c r="AA278" s="2">
        <v>-2.33</v>
      </c>
      <c r="AB278" s="3">
        <v>58738793</v>
      </c>
      <c r="AC278" s="3">
        <v>62545272</v>
      </c>
      <c r="AD278" s="3">
        <v>2068592</v>
      </c>
      <c r="AE278" s="3">
        <v>2068592</v>
      </c>
      <c r="AF278" s="3">
        <v>4821538</v>
      </c>
      <c r="AG278" s="3">
        <v>5174330</v>
      </c>
      <c r="AH278" s="2">
        <v>3.8</v>
      </c>
      <c r="AI278" s="5">
        <v>4</v>
      </c>
    </row>
    <row r="279" spans="1:35" x14ac:dyDescent="0.3">
      <c r="A279" s="4" t="str">
        <f>"280215"</f>
        <v>280215</v>
      </c>
      <c r="B279" s="2" t="s">
        <v>278</v>
      </c>
      <c r="C279" s="3">
        <v>102490053</v>
      </c>
      <c r="D279" s="3">
        <v>102490053</v>
      </c>
      <c r="E279" s="2">
        <v>0</v>
      </c>
      <c r="F279" s="3">
        <v>85954300</v>
      </c>
      <c r="G279" s="3">
        <v>85954300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85954300</v>
      </c>
      <c r="O279" s="3">
        <v>85954300</v>
      </c>
      <c r="P279" s="2">
        <v>0</v>
      </c>
      <c r="Q279" s="3">
        <v>0</v>
      </c>
      <c r="R279" s="3">
        <v>0</v>
      </c>
      <c r="S279" s="3">
        <v>88441020</v>
      </c>
      <c r="T279" s="3">
        <v>87144763</v>
      </c>
      <c r="U279" s="3">
        <v>85954300</v>
      </c>
      <c r="V279" s="3">
        <v>85954300</v>
      </c>
      <c r="W279" s="3">
        <v>2486720</v>
      </c>
      <c r="X279" s="3">
        <v>1190463</v>
      </c>
      <c r="Y279" s="2">
        <v>2551</v>
      </c>
      <c r="Z279" s="2">
        <v>2392</v>
      </c>
      <c r="AA279" s="2">
        <v>-6.23</v>
      </c>
      <c r="AB279" s="3">
        <v>4405277</v>
      </c>
      <c r="AC279" s="3">
        <v>4405277</v>
      </c>
      <c r="AD279" s="3">
        <v>0</v>
      </c>
      <c r="AE279" s="3">
        <v>0</v>
      </c>
      <c r="AF279" s="3">
        <v>4099599</v>
      </c>
      <c r="AG279" s="3">
        <v>4099599</v>
      </c>
      <c r="AH279" s="2">
        <v>4</v>
      </c>
      <c r="AI279" s="5">
        <v>4</v>
      </c>
    </row>
    <row r="280" spans="1:35" x14ac:dyDescent="0.3">
      <c r="A280" s="4" t="str">
        <f>"280216"</f>
        <v>280216</v>
      </c>
      <c r="B280" s="2" t="s">
        <v>279</v>
      </c>
      <c r="C280" s="3">
        <v>94465873</v>
      </c>
      <c r="D280" s="3">
        <v>96906276</v>
      </c>
      <c r="E280" s="2">
        <v>2.58</v>
      </c>
      <c r="F280" s="3">
        <v>55681591</v>
      </c>
      <c r="G280" s="3">
        <v>55651008</v>
      </c>
      <c r="H280" s="3">
        <v>1006688</v>
      </c>
      <c r="I280" s="3">
        <v>1011438</v>
      </c>
      <c r="J280" s="3">
        <v>0</v>
      </c>
      <c r="K280" s="3">
        <v>0</v>
      </c>
      <c r="L280" s="3">
        <v>0</v>
      </c>
      <c r="M280" s="3">
        <v>0</v>
      </c>
      <c r="N280" s="3">
        <v>56688279</v>
      </c>
      <c r="O280" s="3">
        <v>56662446</v>
      </c>
      <c r="P280" s="2">
        <v>-0.05</v>
      </c>
      <c r="Q280" s="3">
        <v>2807215</v>
      </c>
      <c r="R280" s="3">
        <v>2246896</v>
      </c>
      <c r="S280" s="3">
        <v>54320937</v>
      </c>
      <c r="T280" s="3">
        <v>53470056</v>
      </c>
      <c r="U280" s="3">
        <v>52874376</v>
      </c>
      <c r="V280" s="3">
        <v>53404112</v>
      </c>
      <c r="W280" s="3">
        <v>1446561</v>
      </c>
      <c r="X280" s="3">
        <v>65944</v>
      </c>
      <c r="Y280" s="2">
        <v>3211</v>
      </c>
      <c r="Z280" s="2">
        <v>3250</v>
      </c>
      <c r="AA280" s="2">
        <v>1.21</v>
      </c>
      <c r="AB280" s="3">
        <v>6433003</v>
      </c>
      <c r="AC280" s="3">
        <v>7133566</v>
      </c>
      <c r="AD280" s="3">
        <v>7703009</v>
      </c>
      <c r="AE280" s="3">
        <v>9203009</v>
      </c>
      <c r="AF280" s="3">
        <v>2468496</v>
      </c>
      <c r="AG280" s="3">
        <v>1208761</v>
      </c>
      <c r="AH280" s="2">
        <v>2.61</v>
      </c>
      <c r="AI280" s="5">
        <v>1.25</v>
      </c>
    </row>
    <row r="281" spans="1:35" x14ac:dyDescent="0.3">
      <c r="A281" s="4" t="str">
        <f>"280217"</f>
        <v>280217</v>
      </c>
      <c r="B281" s="2" t="s">
        <v>280</v>
      </c>
      <c r="C281" s="3">
        <v>40163500</v>
      </c>
      <c r="D281" s="3">
        <v>41497000</v>
      </c>
      <c r="E281" s="2">
        <v>3.32</v>
      </c>
      <c r="F281" s="3">
        <v>29003151</v>
      </c>
      <c r="G281" s="3">
        <v>29410022</v>
      </c>
      <c r="H281" s="3"/>
      <c r="I281" s="3"/>
      <c r="J281" s="3"/>
      <c r="K281" s="3"/>
      <c r="L281" s="3"/>
      <c r="M281" s="3"/>
      <c r="N281" s="3">
        <v>29003151</v>
      </c>
      <c r="O281" s="3">
        <v>29410022</v>
      </c>
      <c r="P281" s="2">
        <v>1.4</v>
      </c>
      <c r="Q281" s="3">
        <v>765215</v>
      </c>
      <c r="R281" s="3">
        <v>781658</v>
      </c>
      <c r="S281" s="3">
        <v>28237936</v>
      </c>
      <c r="T281" s="3">
        <v>28628364</v>
      </c>
      <c r="U281" s="3">
        <v>28237936</v>
      </c>
      <c r="V281" s="3">
        <v>28628364</v>
      </c>
      <c r="W281" s="3">
        <v>0</v>
      </c>
      <c r="X281" s="3">
        <v>0</v>
      </c>
      <c r="Y281" s="2">
        <v>1968</v>
      </c>
      <c r="Z281" s="2">
        <v>2007</v>
      </c>
      <c r="AA281" s="2">
        <v>1.98</v>
      </c>
      <c r="AB281" s="3">
        <v>10379820</v>
      </c>
      <c r="AC281" s="3">
        <v>5179820</v>
      </c>
      <c r="AD281" s="3">
        <v>1256500</v>
      </c>
      <c r="AE281" s="3">
        <v>1056500</v>
      </c>
      <c r="AF281" s="3">
        <v>1606540</v>
      </c>
      <c r="AG281" s="3">
        <v>1659880</v>
      </c>
      <c r="AH281" s="2">
        <v>4</v>
      </c>
      <c r="AI281" s="5">
        <v>4</v>
      </c>
    </row>
    <row r="282" spans="1:35" x14ac:dyDescent="0.3">
      <c r="A282" s="4" t="str">
        <f>"280218"</f>
        <v>280218</v>
      </c>
      <c r="B282" s="2" t="s">
        <v>281</v>
      </c>
      <c r="C282" s="3">
        <v>120913141</v>
      </c>
      <c r="D282" s="3">
        <v>122381487</v>
      </c>
      <c r="E282" s="2">
        <v>1.21</v>
      </c>
      <c r="F282" s="3">
        <v>104547393</v>
      </c>
      <c r="G282" s="3">
        <v>105425384</v>
      </c>
      <c r="H282" s="3"/>
      <c r="I282" s="3"/>
      <c r="J282" s="3"/>
      <c r="K282" s="3"/>
      <c r="L282" s="3"/>
      <c r="M282" s="3"/>
      <c r="N282" s="3">
        <v>104547393</v>
      </c>
      <c r="O282" s="3">
        <v>105425384</v>
      </c>
      <c r="P282" s="2">
        <v>0.84</v>
      </c>
      <c r="Q282" s="3">
        <v>5576770</v>
      </c>
      <c r="R282" s="3">
        <v>5126422</v>
      </c>
      <c r="S282" s="3">
        <v>98973366</v>
      </c>
      <c r="T282" s="3">
        <v>100299616</v>
      </c>
      <c r="U282" s="3">
        <v>98970623</v>
      </c>
      <c r="V282" s="3">
        <v>100298962</v>
      </c>
      <c r="W282" s="3">
        <v>2743</v>
      </c>
      <c r="X282" s="3">
        <v>654</v>
      </c>
      <c r="Y282" s="2">
        <v>3956</v>
      </c>
      <c r="Z282" s="2">
        <v>3932</v>
      </c>
      <c r="AA282" s="2">
        <v>-0.61</v>
      </c>
      <c r="AB282" s="3">
        <v>28897077</v>
      </c>
      <c r="AC282" s="3">
        <v>29323171</v>
      </c>
      <c r="AD282" s="3">
        <v>2680000</v>
      </c>
      <c r="AE282" s="3">
        <v>2836250</v>
      </c>
      <c r="AF282" s="3">
        <v>4836526</v>
      </c>
      <c r="AG282" s="3">
        <v>4895259</v>
      </c>
      <c r="AH282" s="2">
        <v>4</v>
      </c>
      <c r="AI282" s="5">
        <v>4</v>
      </c>
    </row>
    <row r="283" spans="1:35" x14ac:dyDescent="0.3">
      <c r="A283" s="4" t="str">
        <f>"280219"</f>
        <v>280219</v>
      </c>
      <c r="B283" s="2" t="s">
        <v>282</v>
      </c>
      <c r="C283" s="3">
        <v>41217426</v>
      </c>
      <c r="D283" s="3">
        <v>41764646</v>
      </c>
      <c r="E283" s="2">
        <v>1.33</v>
      </c>
      <c r="F283" s="3">
        <v>31366918</v>
      </c>
      <c r="G283" s="3">
        <v>31870299</v>
      </c>
      <c r="H283" s="3"/>
      <c r="I283" s="3"/>
      <c r="J283" s="3"/>
      <c r="K283" s="3"/>
      <c r="L283" s="3"/>
      <c r="M283" s="3"/>
      <c r="N283" s="3">
        <v>31366918</v>
      </c>
      <c r="O283" s="3">
        <v>31870299</v>
      </c>
      <c r="P283" s="2">
        <v>1.6</v>
      </c>
      <c r="Q283" s="3">
        <v>1032232</v>
      </c>
      <c r="R283" s="3">
        <v>1028969</v>
      </c>
      <c r="S283" s="3">
        <v>30334687</v>
      </c>
      <c r="T283" s="3">
        <v>31153340</v>
      </c>
      <c r="U283" s="3">
        <v>30334686</v>
      </c>
      <c r="V283" s="3">
        <v>30841330</v>
      </c>
      <c r="W283" s="3">
        <v>1</v>
      </c>
      <c r="X283" s="3">
        <v>312010</v>
      </c>
      <c r="Y283" s="2">
        <v>1124</v>
      </c>
      <c r="Z283" s="2">
        <v>1116</v>
      </c>
      <c r="AA283" s="2">
        <v>-0.71</v>
      </c>
      <c r="AB283" s="3">
        <v>12046924</v>
      </c>
      <c r="AC283" s="3">
        <v>13355370</v>
      </c>
      <c r="AD283" s="3">
        <v>760000</v>
      </c>
      <c r="AE283" s="3">
        <v>1105000</v>
      </c>
      <c r="AF283" s="3">
        <v>2935306</v>
      </c>
      <c r="AG283" s="3">
        <v>1670586</v>
      </c>
      <c r="AH283" s="2">
        <v>7.12</v>
      </c>
      <c r="AI283" s="5">
        <v>4</v>
      </c>
    </row>
    <row r="284" spans="1:35" x14ac:dyDescent="0.3">
      <c r="A284" s="4" t="str">
        <f>"280220"</f>
        <v>280220</v>
      </c>
      <c r="B284" s="2" t="s">
        <v>283</v>
      </c>
      <c r="C284" s="3">
        <v>91427854</v>
      </c>
      <c r="D284" s="3">
        <v>92907426</v>
      </c>
      <c r="E284" s="2">
        <v>1.62</v>
      </c>
      <c r="F284" s="3">
        <v>71224469</v>
      </c>
      <c r="G284" s="3">
        <v>71922469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71224469</v>
      </c>
      <c r="O284" s="3">
        <v>71922469</v>
      </c>
      <c r="P284" s="2">
        <v>0.98</v>
      </c>
      <c r="Q284" s="3">
        <v>1088715</v>
      </c>
      <c r="R284" s="3">
        <v>1488980</v>
      </c>
      <c r="S284" s="3">
        <v>70135754</v>
      </c>
      <c r="T284" s="3">
        <v>71077919</v>
      </c>
      <c r="U284" s="3">
        <v>70135754</v>
      </c>
      <c r="V284" s="3">
        <v>70433489</v>
      </c>
      <c r="W284" s="3">
        <v>0</v>
      </c>
      <c r="X284" s="3">
        <v>644430</v>
      </c>
      <c r="Y284" s="2">
        <v>2791</v>
      </c>
      <c r="Z284" s="2">
        <v>2762</v>
      </c>
      <c r="AA284" s="2">
        <v>-1.04</v>
      </c>
      <c r="AB284" s="3">
        <v>22775836</v>
      </c>
      <c r="AC284" s="3">
        <v>25425588</v>
      </c>
      <c r="AD284" s="3">
        <v>1500000</v>
      </c>
      <c r="AE284" s="3">
        <v>1500000</v>
      </c>
      <c r="AF284" s="3">
        <v>4243782</v>
      </c>
      <c r="AG284" s="3">
        <v>3716297</v>
      </c>
      <c r="AH284" s="2">
        <v>4.6399999999999997</v>
      </c>
      <c r="AI284" s="5">
        <v>4</v>
      </c>
    </row>
    <row r="285" spans="1:35" x14ac:dyDescent="0.3">
      <c r="A285" s="4" t="str">
        <f>"280221"</f>
        <v>280221</v>
      </c>
      <c r="B285" s="2" t="s">
        <v>284</v>
      </c>
      <c r="C285" s="3">
        <v>122866992</v>
      </c>
      <c r="D285" s="3">
        <v>124098943</v>
      </c>
      <c r="E285" s="2">
        <v>1</v>
      </c>
      <c r="F285" s="3">
        <v>99750000</v>
      </c>
      <c r="G285" s="3">
        <v>99750000</v>
      </c>
      <c r="H285" s="3"/>
      <c r="I285" s="3"/>
      <c r="J285" s="3"/>
      <c r="K285" s="3"/>
      <c r="L285" s="3"/>
      <c r="M285" s="3"/>
      <c r="N285" s="3">
        <v>99750000</v>
      </c>
      <c r="O285" s="3">
        <v>99750000</v>
      </c>
      <c r="P285" s="2">
        <v>0</v>
      </c>
      <c r="Q285" s="3">
        <v>4069316</v>
      </c>
      <c r="R285" s="3">
        <v>3090603</v>
      </c>
      <c r="S285" s="3">
        <v>95692198</v>
      </c>
      <c r="T285" s="3">
        <v>96987023</v>
      </c>
      <c r="U285" s="3">
        <v>95680684</v>
      </c>
      <c r="V285" s="3">
        <v>96659397</v>
      </c>
      <c r="W285" s="3">
        <v>11514</v>
      </c>
      <c r="X285" s="3">
        <v>327626</v>
      </c>
      <c r="Y285" s="2">
        <v>3497</v>
      </c>
      <c r="Z285" s="2">
        <v>3471</v>
      </c>
      <c r="AA285" s="2">
        <v>-0.74</v>
      </c>
      <c r="AB285" s="3">
        <v>7121832</v>
      </c>
      <c r="AC285" s="3">
        <v>8116000</v>
      </c>
      <c r="AD285" s="3">
        <v>2808132</v>
      </c>
      <c r="AE285" s="3">
        <v>2800000</v>
      </c>
      <c r="AF285" s="3">
        <v>4102889</v>
      </c>
      <c r="AG285" s="3">
        <v>4711853</v>
      </c>
      <c r="AH285" s="2">
        <v>3.34</v>
      </c>
      <c r="AI285" s="5">
        <v>3.8</v>
      </c>
    </row>
    <row r="286" spans="1:35" x14ac:dyDescent="0.3">
      <c r="A286" s="4" t="str">
        <f>"280222"</f>
        <v>280222</v>
      </c>
      <c r="B286" s="2" t="s">
        <v>285</v>
      </c>
      <c r="C286" s="3">
        <v>32454520</v>
      </c>
      <c r="D286" s="3">
        <v>34174462</v>
      </c>
      <c r="E286" s="2">
        <v>5.3</v>
      </c>
      <c r="F286" s="3">
        <v>24677559</v>
      </c>
      <c r="G286" s="3">
        <v>25632717</v>
      </c>
      <c r="H286" s="3"/>
      <c r="I286" s="3"/>
      <c r="J286" s="3"/>
      <c r="K286" s="3"/>
      <c r="L286" s="3"/>
      <c r="M286" s="3"/>
      <c r="N286" s="3">
        <v>24677559</v>
      </c>
      <c r="O286" s="3">
        <v>25632717</v>
      </c>
      <c r="P286" s="2">
        <v>3.87</v>
      </c>
      <c r="Q286" s="3">
        <v>737169</v>
      </c>
      <c r="R286" s="3">
        <v>1264779</v>
      </c>
      <c r="S286" s="3">
        <v>23940400</v>
      </c>
      <c r="T286" s="3">
        <v>24392938</v>
      </c>
      <c r="U286" s="3">
        <v>23940390</v>
      </c>
      <c r="V286" s="3">
        <v>24367938</v>
      </c>
      <c r="W286" s="3">
        <v>10</v>
      </c>
      <c r="X286" s="3">
        <v>25000</v>
      </c>
      <c r="Y286" s="2">
        <v>1515</v>
      </c>
      <c r="Z286" s="2">
        <v>1546</v>
      </c>
      <c r="AA286" s="2">
        <v>2.0499999999999998</v>
      </c>
      <c r="AB286" s="3">
        <v>3085128</v>
      </c>
      <c r="AC286" s="3">
        <v>4921000</v>
      </c>
      <c r="AD286" s="3">
        <v>2150071</v>
      </c>
      <c r="AE286" s="3">
        <v>1300000</v>
      </c>
      <c r="AF286" s="3">
        <v>1298180</v>
      </c>
      <c r="AG286" s="3">
        <v>1366978</v>
      </c>
      <c r="AH286" s="2">
        <v>4</v>
      </c>
      <c r="AI286" s="5">
        <v>4</v>
      </c>
    </row>
    <row r="287" spans="1:35" x14ac:dyDescent="0.3">
      <c r="A287" s="4" t="str">
        <f>"280223"</f>
        <v>280223</v>
      </c>
      <c r="B287" s="2" t="s">
        <v>286</v>
      </c>
      <c r="C287" s="3">
        <v>81227910</v>
      </c>
      <c r="D287" s="3">
        <v>83515890</v>
      </c>
      <c r="E287" s="2">
        <v>2.82</v>
      </c>
      <c r="F287" s="3">
        <v>61123989</v>
      </c>
      <c r="G287" s="3">
        <v>63458381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61123989</v>
      </c>
      <c r="O287" s="3">
        <v>63458381</v>
      </c>
      <c r="P287" s="2">
        <v>3.82</v>
      </c>
      <c r="Q287" s="3">
        <v>2360957</v>
      </c>
      <c r="R287" s="3">
        <v>1199098</v>
      </c>
      <c r="S287" s="3">
        <v>58763032</v>
      </c>
      <c r="T287" s="3">
        <v>59549107</v>
      </c>
      <c r="U287" s="3">
        <v>58763032</v>
      </c>
      <c r="V287" s="3">
        <v>62259283</v>
      </c>
      <c r="W287" s="3">
        <v>0</v>
      </c>
      <c r="X287" s="3">
        <v>-2710176</v>
      </c>
      <c r="Y287" s="2">
        <v>2755</v>
      </c>
      <c r="Z287" s="2">
        <v>2694</v>
      </c>
      <c r="AA287" s="2">
        <v>-2.21</v>
      </c>
      <c r="AB287" s="3">
        <v>3724289</v>
      </c>
      <c r="AC287" s="3">
        <v>4486000</v>
      </c>
      <c r="AD287" s="3">
        <v>0</v>
      </c>
      <c r="AE287" s="3">
        <v>0</v>
      </c>
      <c r="AF287" s="3">
        <v>1828601</v>
      </c>
      <c r="AG287" s="3">
        <v>3340635</v>
      </c>
      <c r="AH287" s="2">
        <v>2.25</v>
      </c>
      <c r="AI287" s="5">
        <v>4</v>
      </c>
    </row>
    <row r="288" spans="1:35" x14ac:dyDescent="0.3">
      <c r="A288" s="4" t="str">
        <f>"280224"</f>
        <v>280224</v>
      </c>
      <c r="B288" s="2" t="s">
        <v>276</v>
      </c>
      <c r="C288" s="3">
        <v>30952398</v>
      </c>
      <c r="D288" s="3">
        <v>31787655</v>
      </c>
      <c r="E288" s="2">
        <v>2.7</v>
      </c>
      <c r="F288" s="3">
        <v>21754290</v>
      </c>
      <c r="G288" s="3">
        <v>21995845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21754290</v>
      </c>
      <c r="O288" s="3">
        <v>21995845</v>
      </c>
      <c r="P288" s="2">
        <v>1.1100000000000001</v>
      </c>
      <c r="Q288" s="3">
        <v>351110</v>
      </c>
      <c r="R288" s="3">
        <v>279835</v>
      </c>
      <c r="S288" s="3">
        <v>21403180</v>
      </c>
      <c r="T288" s="3">
        <v>21720010</v>
      </c>
      <c r="U288" s="3">
        <v>21403180</v>
      </c>
      <c r="V288" s="3">
        <v>21716010</v>
      </c>
      <c r="W288" s="3">
        <v>0</v>
      </c>
      <c r="X288" s="3">
        <v>4000</v>
      </c>
      <c r="Y288" s="2">
        <v>1096</v>
      </c>
      <c r="Z288" s="2">
        <v>1041</v>
      </c>
      <c r="AA288" s="2">
        <v>-5.0199999999999996</v>
      </c>
      <c r="AB288" s="3">
        <v>5309112</v>
      </c>
      <c r="AC288" s="3">
        <v>6169857</v>
      </c>
      <c r="AD288" s="3">
        <v>800000</v>
      </c>
      <c r="AE288" s="3">
        <v>300000</v>
      </c>
      <c r="AF288" s="3">
        <v>1380505</v>
      </c>
      <c r="AG288" s="3">
        <v>1271506</v>
      </c>
      <c r="AH288" s="2">
        <v>4.46</v>
      </c>
      <c r="AI288" s="5">
        <v>4</v>
      </c>
    </row>
    <row r="289" spans="1:35" x14ac:dyDescent="0.3">
      <c r="A289" s="4" t="str">
        <f>"280225"</f>
        <v>280225</v>
      </c>
      <c r="B289" s="2" t="s">
        <v>287</v>
      </c>
      <c r="C289" s="3">
        <v>52905513</v>
      </c>
      <c r="D289" s="3">
        <v>54502486</v>
      </c>
      <c r="E289" s="2">
        <v>3.02</v>
      </c>
      <c r="F289" s="3">
        <v>42024690</v>
      </c>
      <c r="G289" s="3">
        <v>42856265</v>
      </c>
      <c r="H289" s="3"/>
      <c r="I289" s="3"/>
      <c r="J289" s="3"/>
      <c r="K289" s="3"/>
      <c r="L289" s="3"/>
      <c r="M289" s="3"/>
      <c r="N289" s="3">
        <v>42024690</v>
      </c>
      <c r="O289" s="3">
        <v>42856265</v>
      </c>
      <c r="P289" s="2">
        <v>1.98</v>
      </c>
      <c r="Q289" s="3">
        <v>711669</v>
      </c>
      <c r="R289" s="3">
        <v>979711</v>
      </c>
      <c r="S289" s="3">
        <v>41322536</v>
      </c>
      <c r="T289" s="3">
        <v>41876554</v>
      </c>
      <c r="U289" s="3">
        <v>41313021</v>
      </c>
      <c r="V289" s="3">
        <v>41876554</v>
      </c>
      <c r="W289" s="3">
        <v>9515</v>
      </c>
      <c r="X289" s="3">
        <v>0</v>
      </c>
      <c r="Y289" s="2">
        <v>1591</v>
      </c>
      <c r="Z289" s="2">
        <v>1606</v>
      </c>
      <c r="AA289" s="2">
        <v>0.94</v>
      </c>
      <c r="AB289" s="3">
        <v>7571184</v>
      </c>
      <c r="AC289" s="3">
        <v>9613101</v>
      </c>
      <c r="AD289" s="3">
        <v>1500000</v>
      </c>
      <c r="AE289" s="3">
        <v>1500000</v>
      </c>
      <c r="AF289" s="3">
        <v>6114712</v>
      </c>
      <c r="AG289" s="3">
        <v>5639712</v>
      </c>
      <c r="AH289" s="2">
        <v>11.56</v>
      </c>
      <c r="AI289" s="5">
        <v>10.35</v>
      </c>
    </row>
    <row r="290" spans="1:35" x14ac:dyDescent="0.3">
      <c r="A290" s="4" t="str">
        <f>"280226"</f>
        <v>280226</v>
      </c>
      <c r="B290" s="2" t="s">
        <v>288</v>
      </c>
      <c r="C290" s="3">
        <v>68113777</v>
      </c>
      <c r="D290" s="3">
        <v>71060219</v>
      </c>
      <c r="E290" s="2">
        <v>4.33</v>
      </c>
      <c r="F290" s="3">
        <v>45560278</v>
      </c>
      <c r="G290" s="3">
        <v>46623124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45560278</v>
      </c>
      <c r="O290" s="3">
        <v>46623124</v>
      </c>
      <c r="P290" s="2">
        <v>2.33</v>
      </c>
      <c r="Q290" s="3">
        <v>2428543</v>
      </c>
      <c r="R290" s="3">
        <v>2910976</v>
      </c>
      <c r="S290" s="3">
        <v>43131735</v>
      </c>
      <c r="T290" s="3">
        <v>43712148</v>
      </c>
      <c r="U290" s="3">
        <v>43131735</v>
      </c>
      <c r="V290" s="3">
        <v>43712148</v>
      </c>
      <c r="W290" s="3">
        <v>0</v>
      </c>
      <c r="X290" s="3">
        <v>0</v>
      </c>
      <c r="Y290" s="2">
        <v>2197</v>
      </c>
      <c r="Z290" s="2">
        <v>2151</v>
      </c>
      <c r="AA290" s="2">
        <v>-2.09</v>
      </c>
      <c r="AB290" s="3">
        <v>6871453</v>
      </c>
      <c r="AC290" s="3">
        <v>6726952</v>
      </c>
      <c r="AD290" s="3">
        <v>3094780</v>
      </c>
      <c r="AE290" s="3">
        <v>2550000</v>
      </c>
      <c r="AF290" s="3">
        <v>2720410</v>
      </c>
      <c r="AG290" s="3">
        <v>2842000</v>
      </c>
      <c r="AH290" s="2">
        <v>3.99</v>
      </c>
      <c r="AI290" s="5">
        <v>4</v>
      </c>
    </row>
    <row r="291" spans="1:35" x14ac:dyDescent="0.3">
      <c r="A291" s="4" t="str">
        <f>"280227"</f>
        <v>280227</v>
      </c>
      <c r="B291" s="2" t="s">
        <v>289</v>
      </c>
      <c r="C291" s="3">
        <v>65175600</v>
      </c>
      <c r="D291" s="3">
        <v>68905000</v>
      </c>
      <c r="E291" s="2">
        <v>5.72</v>
      </c>
      <c r="F291" s="3">
        <v>46817635</v>
      </c>
      <c r="G291" s="3">
        <v>47807538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46817635</v>
      </c>
      <c r="O291" s="3">
        <v>47807538</v>
      </c>
      <c r="P291" s="2">
        <v>2.11</v>
      </c>
      <c r="Q291" s="3">
        <v>1277427</v>
      </c>
      <c r="R291" s="3">
        <v>1660093</v>
      </c>
      <c r="S291" s="3">
        <v>46474477</v>
      </c>
      <c r="T291" s="3">
        <v>46147445</v>
      </c>
      <c r="U291" s="3">
        <v>45540208</v>
      </c>
      <c r="V291" s="3">
        <v>46147445</v>
      </c>
      <c r="W291" s="3">
        <v>934269</v>
      </c>
      <c r="X291" s="3">
        <v>0</v>
      </c>
      <c r="Y291" s="2">
        <v>1694</v>
      </c>
      <c r="Z291" s="2">
        <v>1700</v>
      </c>
      <c r="AA291" s="2">
        <v>0.35</v>
      </c>
      <c r="AB291" s="3">
        <v>11001725</v>
      </c>
      <c r="AC291" s="3">
        <v>11001725</v>
      </c>
      <c r="AD291" s="3">
        <v>1850000</v>
      </c>
      <c r="AE291" s="3">
        <v>2425000</v>
      </c>
      <c r="AF291" s="3">
        <v>4005611</v>
      </c>
      <c r="AG291" s="3">
        <v>2756200</v>
      </c>
      <c r="AH291" s="2">
        <v>6.15</v>
      </c>
      <c r="AI291" s="5">
        <v>4</v>
      </c>
    </row>
    <row r="292" spans="1:35" x14ac:dyDescent="0.3">
      <c r="A292" s="4" t="str">
        <f>"280229"</f>
        <v>280229</v>
      </c>
      <c r="B292" s="2" t="s">
        <v>290</v>
      </c>
      <c r="C292" s="3">
        <v>34178656</v>
      </c>
      <c r="D292" s="3">
        <v>34665460</v>
      </c>
      <c r="E292" s="2">
        <v>1.42</v>
      </c>
      <c r="F292" s="3">
        <v>23996420</v>
      </c>
      <c r="G292" s="3">
        <v>24370793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23996420</v>
      </c>
      <c r="O292" s="3">
        <v>24370793</v>
      </c>
      <c r="P292" s="2">
        <v>1.56</v>
      </c>
      <c r="Q292" s="3">
        <v>464863</v>
      </c>
      <c r="R292" s="3">
        <v>531412</v>
      </c>
      <c r="S292" s="3">
        <v>23531557</v>
      </c>
      <c r="T292" s="3">
        <v>23839382</v>
      </c>
      <c r="U292" s="3">
        <v>23531557</v>
      </c>
      <c r="V292" s="3">
        <v>23839381</v>
      </c>
      <c r="W292" s="3">
        <v>0</v>
      </c>
      <c r="X292" s="3">
        <v>1</v>
      </c>
      <c r="Y292" s="2">
        <v>1184</v>
      </c>
      <c r="Z292" s="2">
        <v>1161</v>
      </c>
      <c r="AA292" s="2">
        <v>-1.94</v>
      </c>
      <c r="AB292" s="3">
        <v>3744317</v>
      </c>
      <c r="AC292" s="3">
        <v>2806006</v>
      </c>
      <c r="AD292" s="3">
        <v>752147</v>
      </c>
      <c r="AE292" s="3">
        <v>426314</v>
      </c>
      <c r="AF292" s="3">
        <v>1361685</v>
      </c>
      <c r="AG292" s="3">
        <v>1386618</v>
      </c>
      <c r="AH292" s="2">
        <v>3.98</v>
      </c>
      <c r="AI292" s="5">
        <v>4</v>
      </c>
    </row>
    <row r="293" spans="1:35" x14ac:dyDescent="0.3">
      <c r="A293" s="4" t="str">
        <f>"280230"</f>
        <v>280230</v>
      </c>
      <c r="B293" s="2" t="s">
        <v>276</v>
      </c>
      <c r="C293" s="3">
        <v>38253302</v>
      </c>
      <c r="D293" s="3">
        <v>39606811</v>
      </c>
      <c r="E293" s="2">
        <v>3.54</v>
      </c>
      <c r="F293" s="3">
        <v>22701749</v>
      </c>
      <c r="G293" s="3">
        <v>22815258</v>
      </c>
      <c r="H293" s="3"/>
      <c r="I293" s="3"/>
      <c r="J293" s="3"/>
      <c r="K293" s="3"/>
      <c r="L293" s="3"/>
      <c r="M293" s="3"/>
      <c r="N293" s="3">
        <v>22701749</v>
      </c>
      <c r="O293" s="3">
        <v>22815258</v>
      </c>
      <c r="P293" s="2">
        <v>0.5</v>
      </c>
      <c r="Q293" s="3">
        <v>356171</v>
      </c>
      <c r="R293" s="3">
        <v>336823</v>
      </c>
      <c r="S293" s="3">
        <v>22784775</v>
      </c>
      <c r="T293" s="3">
        <v>22647969</v>
      </c>
      <c r="U293" s="3">
        <v>22345578</v>
      </c>
      <c r="V293" s="3">
        <v>22478435</v>
      </c>
      <c r="W293" s="3">
        <v>439197</v>
      </c>
      <c r="X293" s="3">
        <v>169534</v>
      </c>
      <c r="Y293" s="2">
        <v>1382</v>
      </c>
      <c r="Z293" s="2">
        <v>1427</v>
      </c>
      <c r="AA293" s="2">
        <v>3.26</v>
      </c>
      <c r="AB293" s="3">
        <v>16087657</v>
      </c>
      <c r="AC293" s="3">
        <v>18770930</v>
      </c>
      <c r="AD293" s="3">
        <v>2982649</v>
      </c>
      <c r="AE293" s="3">
        <v>979157</v>
      </c>
      <c r="AF293" s="3">
        <v>1530132</v>
      </c>
      <c r="AG293" s="3">
        <v>1584272</v>
      </c>
      <c r="AH293" s="2">
        <v>4</v>
      </c>
      <c r="AI293" s="5">
        <v>4</v>
      </c>
    </row>
    <row r="294" spans="1:35" x14ac:dyDescent="0.3">
      <c r="A294" s="4" t="str">
        <f>"280231"</f>
        <v>280231</v>
      </c>
      <c r="B294" s="2" t="s">
        <v>291</v>
      </c>
      <c r="C294" s="3">
        <v>40609203</v>
      </c>
      <c r="D294" s="3">
        <v>40893784</v>
      </c>
      <c r="E294" s="2">
        <v>0.7</v>
      </c>
      <c r="F294" s="3">
        <v>32939152</v>
      </c>
      <c r="G294" s="3">
        <v>33344198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32939152</v>
      </c>
      <c r="O294" s="3">
        <v>33344198</v>
      </c>
      <c r="P294" s="2">
        <v>1.23</v>
      </c>
      <c r="Q294" s="3">
        <v>1609771</v>
      </c>
      <c r="R294" s="3">
        <v>1570877</v>
      </c>
      <c r="S294" s="3">
        <v>33128165</v>
      </c>
      <c r="T294" s="3">
        <v>33344198</v>
      </c>
      <c r="U294" s="3">
        <v>31329381</v>
      </c>
      <c r="V294" s="3">
        <v>31773321</v>
      </c>
      <c r="W294" s="3">
        <v>1798784</v>
      </c>
      <c r="X294" s="3">
        <v>1570877</v>
      </c>
      <c r="Y294" s="2">
        <v>1032</v>
      </c>
      <c r="Z294" s="2">
        <v>1042</v>
      </c>
      <c r="AA294" s="2">
        <v>0.97</v>
      </c>
      <c r="AB294" s="3">
        <v>8900000</v>
      </c>
      <c r="AC294" s="3">
        <v>958174</v>
      </c>
      <c r="AD294" s="3">
        <v>3059867</v>
      </c>
      <c r="AE294" s="3">
        <v>4445725</v>
      </c>
      <c r="AF294" s="3">
        <v>1625000</v>
      </c>
      <c r="AG294" s="3">
        <v>1636000</v>
      </c>
      <c r="AH294" s="2">
        <v>4</v>
      </c>
      <c r="AI294" s="5">
        <v>4</v>
      </c>
    </row>
    <row r="295" spans="1:35" x14ac:dyDescent="0.3">
      <c r="A295" s="4" t="str">
        <f>"280251"</f>
        <v>280251</v>
      </c>
      <c r="B295" s="2" t="s">
        <v>276</v>
      </c>
      <c r="C295" s="3">
        <v>126060126</v>
      </c>
      <c r="D295" s="3">
        <v>129566399</v>
      </c>
      <c r="E295" s="2">
        <v>2.78</v>
      </c>
      <c r="F295" s="3">
        <v>86864653</v>
      </c>
      <c r="G295" s="3">
        <v>87934742</v>
      </c>
      <c r="H295" s="3"/>
      <c r="I295" s="3"/>
      <c r="J295" s="3"/>
      <c r="K295" s="3"/>
      <c r="L295" s="3"/>
      <c r="M295" s="3"/>
      <c r="N295" s="3">
        <v>86864653</v>
      </c>
      <c r="O295" s="3">
        <v>87934742</v>
      </c>
      <c r="P295" s="2">
        <v>1.23</v>
      </c>
      <c r="Q295" s="3">
        <v>1612688</v>
      </c>
      <c r="R295" s="3">
        <v>2023202</v>
      </c>
      <c r="S295" s="3">
        <v>85251965</v>
      </c>
      <c r="T295" s="3">
        <v>85911540</v>
      </c>
      <c r="U295" s="3">
        <v>85251965</v>
      </c>
      <c r="V295" s="3">
        <v>85911540</v>
      </c>
      <c r="W295" s="3">
        <v>0</v>
      </c>
      <c r="X295" s="3">
        <v>0</v>
      </c>
      <c r="Y295" s="2">
        <v>4650</v>
      </c>
      <c r="Z295" s="2">
        <v>4700</v>
      </c>
      <c r="AA295" s="2">
        <v>1.08</v>
      </c>
      <c r="AB295" s="3">
        <v>25859673</v>
      </c>
      <c r="AC295" s="3">
        <v>27393000</v>
      </c>
      <c r="AD295" s="3">
        <v>3920981</v>
      </c>
      <c r="AE295" s="3">
        <v>0</v>
      </c>
      <c r="AF295" s="3">
        <v>5042406</v>
      </c>
      <c r="AG295" s="3">
        <v>5182656</v>
      </c>
      <c r="AH295" s="2">
        <v>4</v>
      </c>
      <c r="AI295" s="5">
        <v>4</v>
      </c>
    </row>
    <row r="296" spans="1:35" x14ac:dyDescent="0.3">
      <c r="A296" s="4" t="str">
        <f>"280252"</f>
        <v>280252</v>
      </c>
      <c r="B296" s="2" t="s">
        <v>292</v>
      </c>
      <c r="C296" s="3">
        <v>209265063</v>
      </c>
      <c r="D296" s="3">
        <v>215732202</v>
      </c>
      <c r="E296" s="2">
        <v>3.09</v>
      </c>
      <c r="F296" s="3">
        <v>152215903</v>
      </c>
      <c r="G296" s="3">
        <v>153904586</v>
      </c>
      <c r="H296" s="3"/>
      <c r="I296" s="3"/>
      <c r="J296" s="3"/>
      <c r="K296" s="3"/>
      <c r="L296" s="3"/>
      <c r="M296" s="3"/>
      <c r="N296" s="3">
        <v>152215903</v>
      </c>
      <c r="O296" s="3">
        <v>153904586</v>
      </c>
      <c r="P296" s="2">
        <v>1.1100000000000001</v>
      </c>
      <c r="Q296" s="3">
        <v>4676725</v>
      </c>
      <c r="R296" s="3">
        <v>4468992</v>
      </c>
      <c r="S296" s="3">
        <v>147539178</v>
      </c>
      <c r="T296" s="3">
        <v>149435594</v>
      </c>
      <c r="U296" s="3">
        <v>147539178</v>
      </c>
      <c r="V296" s="3">
        <v>149435594</v>
      </c>
      <c r="W296" s="3">
        <v>0</v>
      </c>
      <c r="X296" s="3">
        <v>0</v>
      </c>
      <c r="Y296" s="2">
        <v>8228</v>
      </c>
      <c r="Z296" s="2">
        <v>8199</v>
      </c>
      <c r="AA296" s="2">
        <v>-0.35</v>
      </c>
      <c r="AB296" s="3">
        <v>28504251</v>
      </c>
      <c r="AC296" s="3">
        <v>30200000</v>
      </c>
      <c r="AD296" s="3">
        <v>6316965</v>
      </c>
      <c r="AE296" s="3">
        <v>4820000</v>
      </c>
      <c r="AF296" s="3">
        <v>12102873</v>
      </c>
      <c r="AG296" s="3">
        <v>8625000</v>
      </c>
      <c r="AH296" s="2">
        <v>5.78</v>
      </c>
      <c r="AI296" s="5">
        <v>4</v>
      </c>
    </row>
    <row r="297" spans="1:35" x14ac:dyDescent="0.3">
      <c r="A297" s="4" t="str">
        <f>"280253"</f>
        <v>280253</v>
      </c>
      <c r="B297" s="2" t="s">
        <v>293</v>
      </c>
      <c r="C297" s="3">
        <v>166661464</v>
      </c>
      <c r="D297" s="3">
        <v>170160406</v>
      </c>
      <c r="E297" s="2">
        <v>2.1</v>
      </c>
      <c r="F297" s="3">
        <v>122463351</v>
      </c>
      <c r="G297" s="3">
        <v>124237285</v>
      </c>
      <c r="H297" s="3"/>
      <c r="I297" s="3"/>
      <c r="J297" s="3"/>
      <c r="K297" s="3"/>
      <c r="L297" s="3"/>
      <c r="M297" s="3"/>
      <c r="N297" s="3">
        <v>122463351</v>
      </c>
      <c r="O297" s="3">
        <v>124237285</v>
      </c>
      <c r="P297" s="2">
        <v>1.45</v>
      </c>
      <c r="Q297" s="3">
        <v>2034348</v>
      </c>
      <c r="R297" s="3">
        <v>2105870</v>
      </c>
      <c r="S297" s="3">
        <v>120429003</v>
      </c>
      <c r="T297" s="3">
        <v>122131415</v>
      </c>
      <c r="U297" s="3">
        <v>120429003</v>
      </c>
      <c r="V297" s="3">
        <v>122131415</v>
      </c>
      <c r="W297" s="3">
        <v>0</v>
      </c>
      <c r="X297" s="3">
        <v>0</v>
      </c>
      <c r="Y297" s="2">
        <v>5189</v>
      </c>
      <c r="Z297" s="2">
        <v>5083</v>
      </c>
      <c r="AA297" s="2">
        <v>-2.04</v>
      </c>
      <c r="AB297" s="3">
        <v>21822730</v>
      </c>
      <c r="AC297" s="3">
        <v>22685912</v>
      </c>
      <c r="AD297" s="3">
        <v>6737582</v>
      </c>
      <c r="AE297" s="3">
        <v>5150000</v>
      </c>
      <c r="AF297" s="3">
        <v>9596312</v>
      </c>
      <c r="AG297" s="3">
        <v>6806416</v>
      </c>
      <c r="AH297" s="2">
        <v>5.76</v>
      </c>
      <c r="AI297" s="5">
        <v>4</v>
      </c>
    </row>
    <row r="298" spans="1:35" x14ac:dyDescent="0.3">
      <c r="A298" s="4" t="str">
        <f>"280300"</f>
        <v>280300</v>
      </c>
      <c r="B298" s="2" t="s">
        <v>294</v>
      </c>
      <c r="C298" s="3">
        <v>145192632</v>
      </c>
      <c r="D298" s="3">
        <v>144780801</v>
      </c>
      <c r="E298" s="2">
        <v>-0.28000000000000003</v>
      </c>
      <c r="F298" s="3">
        <v>105880305</v>
      </c>
      <c r="G298" s="3">
        <v>105880305</v>
      </c>
      <c r="H298" s="3"/>
      <c r="I298" s="3"/>
      <c r="J298" s="3"/>
      <c r="K298" s="3"/>
      <c r="L298" s="3"/>
      <c r="M298" s="3"/>
      <c r="N298" s="3">
        <v>105880305</v>
      </c>
      <c r="O298" s="3">
        <v>105880305</v>
      </c>
      <c r="P298" s="2">
        <v>0</v>
      </c>
      <c r="Q298" s="3">
        <v>8398345</v>
      </c>
      <c r="R298" s="3">
        <v>7777325</v>
      </c>
      <c r="S298" s="3">
        <v>98472691</v>
      </c>
      <c r="T298" s="3">
        <v>98986293</v>
      </c>
      <c r="U298" s="3">
        <v>97481960</v>
      </c>
      <c r="V298" s="3">
        <v>98102980</v>
      </c>
      <c r="W298" s="3">
        <v>990731</v>
      </c>
      <c r="X298" s="3">
        <v>883313</v>
      </c>
      <c r="Y298" s="2">
        <v>3626</v>
      </c>
      <c r="Z298" s="2">
        <v>3648</v>
      </c>
      <c r="AA298" s="2">
        <v>0.61</v>
      </c>
      <c r="AB298" s="3">
        <v>22527050</v>
      </c>
      <c r="AC298" s="3">
        <v>17431340</v>
      </c>
      <c r="AD298" s="3">
        <v>510142</v>
      </c>
      <c r="AE298" s="3">
        <v>485430</v>
      </c>
      <c r="AF298" s="3">
        <v>12859328</v>
      </c>
      <c r="AG298" s="3">
        <v>8791232</v>
      </c>
      <c r="AH298" s="2">
        <v>8.86</v>
      </c>
      <c r="AI298" s="5">
        <v>6.07</v>
      </c>
    </row>
    <row r="299" spans="1:35" x14ac:dyDescent="0.3">
      <c r="A299" s="4" t="str">
        <f>"280401"</f>
        <v>280401</v>
      </c>
      <c r="B299" s="2" t="s">
        <v>295</v>
      </c>
      <c r="C299" s="3">
        <v>157064147</v>
      </c>
      <c r="D299" s="3">
        <v>168777798</v>
      </c>
      <c r="E299" s="2">
        <v>7.46</v>
      </c>
      <c r="F299" s="3">
        <v>82628431</v>
      </c>
      <c r="G299" s="3">
        <v>82218241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82628431</v>
      </c>
      <c r="O299" s="3">
        <v>82218241</v>
      </c>
      <c r="P299" s="2">
        <v>-0.5</v>
      </c>
      <c r="Q299" s="3">
        <v>943914</v>
      </c>
      <c r="R299" s="3">
        <v>3709462</v>
      </c>
      <c r="S299" s="3">
        <v>81987498</v>
      </c>
      <c r="T299" s="3">
        <v>82606040</v>
      </c>
      <c r="U299" s="3">
        <v>81684517</v>
      </c>
      <c r="V299" s="3">
        <v>78508779</v>
      </c>
      <c r="W299" s="3">
        <v>302981</v>
      </c>
      <c r="X299" s="3">
        <v>4097261</v>
      </c>
      <c r="Y299" s="2">
        <v>4853</v>
      </c>
      <c r="Z299" s="2">
        <v>5051</v>
      </c>
      <c r="AA299" s="2">
        <v>4.08</v>
      </c>
      <c r="AB299" s="3">
        <v>29083540</v>
      </c>
      <c r="AC299" s="3">
        <v>29571740</v>
      </c>
      <c r="AD299" s="3">
        <v>10685081</v>
      </c>
      <c r="AE299" s="3">
        <v>10685081</v>
      </c>
      <c r="AF299" s="3">
        <v>9498438</v>
      </c>
      <c r="AG299" s="3">
        <v>6812649</v>
      </c>
      <c r="AH299" s="2">
        <v>6.05</v>
      </c>
      <c r="AI299" s="5">
        <v>4.04</v>
      </c>
    </row>
    <row r="300" spans="1:35" x14ac:dyDescent="0.3">
      <c r="A300" s="4" t="str">
        <f>"280402"</f>
        <v>280402</v>
      </c>
      <c r="B300" s="2" t="s">
        <v>296</v>
      </c>
      <c r="C300" s="3">
        <v>63091128</v>
      </c>
      <c r="D300" s="3">
        <v>63984675</v>
      </c>
      <c r="E300" s="2">
        <v>1.42</v>
      </c>
      <c r="F300" s="3">
        <v>56725689</v>
      </c>
      <c r="G300" s="3">
        <v>57675362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56725689</v>
      </c>
      <c r="O300" s="3">
        <v>57675362</v>
      </c>
      <c r="P300" s="2">
        <v>1.67</v>
      </c>
      <c r="Q300" s="3">
        <v>2423621</v>
      </c>
      <c r="R300" s="3">
        <v>2516815</v>
      </c>
      <c r="S300" s="3">
        <v>55463441</v>
      </c>
      <c r="T300" s="3">
        <v>55158547</v>
      </c>
      <c r="U300" s="3">
        <v>54302068</v>
      </c>
      <c r="V300" s="3">
        <v>55158547</v>
      </c>
      <c r="W300" s="3">
        <v>1161373</v>
      </c>
      <c r="X300" s="3">
        <v>0</v>
      </c>
      <c r="Y300" s="2">
        <v>1685</v>
      </c>
      <c r="Z300" s="2">
        <v>1690</v>
      </c>
      <c r="AA300" s="2">
        <v>0.3</v>
      </c>
      <c r="AB300" s="3">
        <v>6794477</v>
      </c>
      <c r="AC300" s="3">
        <v>7594477</v>
      </c>
      <c r="AD300" s="3">
        <v>544000</v>
      </c>
      <c r="AE300" s="3">
        <v>544000</v>
      </c>
      <c r="AF300" s="3">
        <v>2523645</v>
      </c>
      <c r="AG300" s="3">
        <v>2559387</v>
      </c>
      <c r="AH300" s="2">
        <v>4</v>
      </c>
      <c r="AI300" s="5">
        <v>4</v>
      </c>
    </row>
    <row r="301" spans="1:35" x14ac:dyDescent="0.3">
      <c r="A301" s="4" t="str">
        <f>"280403"</f>
        <v>280403</v>
      </c>
      <c r="B301" s="2" t="s">
        <v>297</v>
      </c>
      <c r="C301" s="3">
        <v>115330236</v>
      </c>
      <c r="D301" s="3">
        <v>118663250</v>
      </c>
      <c r="E301" s="2">
        <v>2.89</v>
      </c>
      <c r="F301" s="3">
        <v>96781273</v>
      </c>
      <c r="G301" s="3">
        <v>98696329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96781273</v>
      </c>
      <c r="O301" s="3">
        <v>98696329</v>
      </c>
      <c r="P301" s="2">
        <v>1.98</v>
      </c>
      <c r="Q301" s="3">
        <v>3731512</v>
      </c>
      <c r="R301" s="3">
        <v>3995411</v>
      </c>
      <c r="S301" s="3">
        <v>94707563</v>
      </c>
      <c r="T301" s="3">
        <v>95160755</v>
      </c>
      <c r="U301" s="3">
        <v>93049761</v>
      </c>
      <c r="V301" s="3">
        <v>94700918</v>
      </c>
      <c r="W301" s="3">
        <v>1657802</v>
      </c>
      <c r="X301" s="3">
        <v>459837</v>
      </c>
      <c r="Y301" s="2">
        <v>3197</v>
      </c>
      <c r="Z301" s="2">
        <v>3197</v>
      </c>
      <c r="AA301" s="2">
        <v>0</v>
      </c>
      <c r="AB301" s="3">
        <v>25103267</v>
      </c>
      <c r="AC301" s="3">
        <v>26000000</v>
      </c>
      <c r="AD301" s="3">
        <v>700000</v>
      </c>
      <c r="AE301" s="3">
        <v>700000</v>
      </c>
      <c r="AF301" s="3">
        <v>4595928</v>
      </c>
      <c r="AG301" s="3">
        <v>4700000</v>
      </c>
      <c r="AH301" s="2">
        <v>3.99</v>
      </c>
      <c r="AI301" s="5">
        <v>3.96</v>
      </c>
    </row>
    <row r="302" spans="1:35" x14ac:dyDescent="0.3">
      <c r="A302" s="4" t="str">
        <f>"280404"</f>
        <v>280404</v>
      </c>
      <c r="B302" s="2" t="s">
        <v>298</v>
      </c>
      <c r="C302" s="3">
        <v>163215663</v>
      </c>
      <c r="D302" s="3">
        <v>167268942</v>
      </c>
      <c r="E302" s="2">
        <v>2.48</v>
      </c>
      <c r="F302" s="3">
        <v>143802224</v>
      </c>
      <c r="G302" s="3">
        <v>146775940</v>
      </c>
      <c r="H302" s="3"/>
      <c r="I302" s="3"/>
      <c r="J302" s="3"/>
      <c r="K302" s="3"/>
      <c r="L302" s="3"/>
      <c r="M302" s="3"/>
      <c r="N302" s="3">
        <v>143802224</v>
      </c>
      <c r="O302" s="3">
        <v>146775940</v>
      </c>
      <c r="P302" s="2">
        <v>2.0699999999999998</v>
      </c>
      <c r="Q302" s="3">
        <v>8431572</v>
      </c>
      <c r="R302" s="3">
        <v>8843439</v>
      </c>
      <c r="S302" s="3">
        <v>137306668</v>
      </c>
      <c r="T302" s="3">
        <v>137932501</v>
      </c>
      <c r="U302" s="3">
        <v>135370652</v>
      </c>
      <c r="V302" s="3">
        <v>137932501</v>
      </c>
      <c r="W302" s="3">
        <v>1936016</v>
      </c>
      <c r="X302" s="3">
        <v>0</v>
      </c>
      <c r="Y302" s="2">
        <v>5444</v>
      </c>
      <c r="Z302" s="2">
        <v>5301</v>
      </c>
      <c r="AA302" s="2">
        <v>-2.63</v>
      </c>
      <c r="AB302" s="3">
        <v>8628033</v>
      </c>
      <c r="AC302" s="3">
        <v>5698701</v>
      </c>
      <c r="AD302" s="3">
        <v>3374004</v>
      </c>
      <c r="AE302" s="3">
        <v>3000000</v>
      </c>
      <c r="AF302" s="3">
        <v>6513351</v>
      </c>
      <c r="AG302" s="3">
        <v>4000000</v>
      </c>
      <c r="AH302" s="2">
        <v>3.99</v>
      </c>
      <c r="AI302" s="5">
        <v>2.39</v>
      </c>
    </row>
    <row r="303" spans="1:35" x14ac:dyDescent="0.3">
      <c r="A303" s="4" t="str">
        <f>"280405"</f>
        <v>280405</v>
      </c>
      <c r="B303" s="2" t="s">
        <v>299</v>
      </c>
      <c r="C303" s="3">
        <v>41073250</v>
      </c>
      <c r="D303" s="3">
        <v>42320960</v>
      </c>
      <c r="E303" s="2">
        <v>3.04</v>
      </c>
      <c r="F303" s="3">
        <v>32599952</v>
      </c>
      <c r="G303" s="3">
        <v>32971547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32599952</v>
      </c>
      <c r="O303" s="3">
        <v>32971547</v>
      </c>
      <c r="P303" s="2">
        <v>1.1399999999999999</v>
      </c>
      <c r="Q303" s="3">
        <v>1302088</v>
      </c>
      <c r="R303" s="3">
        <v>1244361</v>
      </c>
      <c r="S303" s="3">
        <v>31297864</v>
      </c>
      <c r="T303" s="3">
        <v>31727186</v>
      </c>
      <c r="U303" s="3">
        <v>31297864</v>
      </c>
      <c r="V303" s="3">
        <v>31727186</v>
      </c>
      <c r="W303" s="3">
        <v>0</v>
      </c>
      <c r="X303" s="3">
        <v>0</v>
      </c>
      <c r="Y303" s="2">
        <v>1594</v>
      </c>
      <c r="Z303" s="2">
        <v>1601</v>
      </c>
      <c r="AA303" s="2">
        <v>0.44</v>
      </c>
      <c r="AB303" s="3">
        <v>11845188</v>
      </c>
      <c r="AC303" s="3">
        <v>12796200</v>
      </c>
      <c r="AD303" s="3">
        <v>632697</v>
      </c>
      <c r="AE303" s="3">
        <v>72918</v>
      </c>
      <c r="AF303" s="3">
        <v>1642930</v>
      </c>
      <c r="AG303" s="3">
        <v>1692838</v>
      </c>
      <c r="AH303" s="2">
        <v>4</v>
      </c>
      <c r="AI303" s="5">
        <v>4</v>
      </c>
    </row>
    <row r="304" spans="1:35" x14ac:dyDescent="0.3">
      <c r="A304" s="4" t="str">
        <f>"280406"</f>
        <v>280406</v>
      </c>
      <c r="B304" s="2" t="s">
        <v>300</v>
      </c>
      <c r="C304" s="3">
        <v>100659820</v>
      </c>
      <c r="D304" s="3">
        <v>102320176</v>
      </c>
      <c r="E304" s="2">
        <v>1.65</v>
      </c>
      <c r="F304" s="3">
        <v>90697426</v>
      </c>
      <c r="G304" s="3">
        <v>92147707</v>
      </c>
      <c r="H304" s="3"/>
      <c r="I304" s="3"/>
      <c r="J304" s="3"/>
      <c r="K304" s="3"/>
      <c r="L304" s="3"/>
      <c r="M304" s="3"/>
      <c r="N304" s="3">
        <v>90697426</v>
      </c>
      <c r="O304" s="3">
        <v>92147707</v>
      </c>
      <c r="P304" s="2">
        <v>1.6</v>
      </c>
      <c r="Q304" s="3">
        <v>2639589</v>
      </c>
      <c r="R304" s="3">
        <v>2609057</v>
      </c>
      <c r="S304" s="3">
        <v>88941738</v>
      </c>
      <c r="T304" s="3">
        <v>89538651</v>
      </c>
      <c r="U304" s="3">
        <v>88057837</v>
      </c>
      <c r="V304" s="3">
        <v>89538650</v>
      </c>
      <c r="W304" s="3">
        <v>883901</v>
      </c>
      <c r="X304" s="3">
        <v>1</v>
      </c>
      <c r="Y304" s="2">
        <v>3153</v>
      </c>
      <c r="Z304" s="2">
        <v>3058</v>
      </c>
      <c r="AA304" s="2">
        <v>-3.01</v>
      </c>
      <c r="AB304" s="3">
        <v>5263093</v>
      </c>
      <c r="AC304" s="3">
        <v>3849459</v>
      </c>
      <c r="AD304" s="3">
        <v>724067</v>
      </c>
      <c r="AE304" s="3">
        <v>724067</v>
      </c>
      <c r="AF304" s="3">
        <v>8374904</v>
      </c>
      <c r="AG304" s="3">
        <v>4092807</v>
      </c>
      <c r="AH304" s="2">
        <v>8.32</v>
      </c>
      <c r="AI304" s="5">
        <v>4</v>
      </c>
    </row>
    <row r="305" spans="1:35" x14ac:dyDescent="0.3">
      <c r="A305" s="4" t="str">
        <f>"280407"</f>
        <v>280407</v>
      </c>
      <c r="B305" s="2" t="s">
        <v>301</v>
      </c>
      <c r="C305" s="3">
        <v>241395571</v>
      </c>
      <c r="D305" s="3">
        <v>252194682</v>
      </c>
      <c r="E305" s="2">
        <v>4.47</v>
      </c>
      <c r="F305" s="3">
        <v>212857469</v>
      </c>
      <c r="G305" s="3">
        <v>217072046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212857469</v>
      </c>
      <c r="O305" s="3">
        <v>217072046</v>
      </c>
      <c r="P305" s="2">
        <v>1.98</v>
      </c>
      <c r="Q305" s="3">
        <v>8393846</v>
      </c>
      <c r="R305" s="3">
        <v>8847791</v>
      </c>
      <c r="S305" s="3">
        <v>205502725</v>
      </c>
      <c r="T305" s="3">
        <v>210001896</v>
      </c>
      <c r="U305" s="3">
        <v>204463623</v>
      </c>
      <c r="V305" s="3">
        <v>208224255</v>
      </c>
      <c r="W305" s="3">
        <v>1039102</v>
      </c>
      <c r="X305" s="3">
        <v>1777641</v>
      </c>
      <c r="Y305" s="2">
        <v>6686</v>
      </c>
      <c r="Z305" s="2">
        <v>6696</v>
      </c>
      <c r="AA305" s="2">
        <v>0.15</v>
      </c>
      <c r="AB305" s="3">
        <v>51889712</v>
      </c>
      <c r="AC305" s="3">
        <v>51488925</v>
      </c>
      <c r="AD305" s="3">
        <v>3499442</v>
      </c>
      <c r="AE305" s="3">
        <v>4000000</v>
      </c>
      <c r="AF305" s="3">
        <v>9626018</v>
      </c>
      <c r="AG305" s="3">
        <v>10050787</v>
      </c>
      <c r="AH305" s="2">
        <v>3.99</v>
      </c>
      <c r="AI305" s="5">
        <v>3.99</v>
      </c>
    </row>
    <row r="306" spans="1:35" x14ac:dyDescent="0.3">
      <c r="A306" s="4" t="str">
        <f>"280409"</f>
        <v>280409</v>
      </c>
      <c r="B306" s="2" t="s">
        <v>302</v>
      </c>
      <c r="C306" s="3">
        <v>120534523</v>
      </c>
      <c r="D306" s="3">
        <v>122867643</v>
      </c>
      <c r="E306" s="2">
        <v>1.94</v>
      </c>
      <c r="F306" s="3">
        <v>100937081</v>
      </c>
      <c r="G306" s="3">
        <v>102367819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100937081</v>
      </c>
      <c r="O306" s="3">
        <v>102367819</v>
      </c>
      <c r="P306" s="2">
        <v>1.42</v>
      </c>
      <c r="Q306" s="3">
        <v>2094478</v>
      </c>
      <c r="R306" s="3">
        <v>3297574</v>
      </c>
      <c r="S306" s="3">
        <v>98867457</v>
      </c>
      <c r="T306" s="3">
        <v>100175224</v>
      </c>
      <c r="U306" s="3">
        <v>98842603</v>
      </c>
      <c r="V306" s="3">
        <v>99070245</v>
      </c>
      <c r="W306" s="3">
        <v>24854</v>
      </c>
      <c r="X306" s="3">
        <v>1104979</v>
      </c>
      <c r="Y306" s="2">
        <v>4062</v>
      </c>
      <c r="Z306" s="2">
        <v>4078</v>
      </c>
      <c r="AA306" s="2">
        <v>0.39</v>
      </c>
      <c r="AB306" s="3">
        <v>17243728</v>
      </c>
      <c r="AC306" s="3">
        <v>17571727</v>
      </c>
      <c r="AD306" s="3">
        <v>1300000</v>
      </c>
      <c r="AE306" s="3">
        <v>1150000</v>
      </c>
      <c r="AF306" s="3">
        <v>5821381</v>
      </c>
      <c r="AG306" s="3">
        <v>4914706</v>
      </c>
      <c r="AH306" s="2">
        <v>4.83</v>
      </c>
      <c r="AI306" s="5">
        <v>4</v>
      </c>
    </row>
    <row r="307" spans="1:35" x14ac:dyDescent="0.3">
      <c r="A307" s="4" t="str">
        <f>"280410"</f>
        <v>280410</v>
      </c>
      <c r="B307" s="2" t="s">
        <v>303</v>
      </c>
      <c r="C307" s="3">
        <v>100859000</v>
      </c>
      <c r="D307" s="3">
        <v>111820000</v>
      </c>
      <c r="E307" s="2">
        <v>10.87</v>
      </c>
      <c r="F307" s="3">
        <v>84660000</v>
      </c>
      <c r="G307" s="3">
        <v>84660000</v>
      </c>
      <c r="H307" s="3"/>
      <c r="I307" s="3"/>
      <c r="J307" s="3"/>
      <c r="K307" s="3"/>
      <c r="L307" s="3">
        <v>0</v>
      </c>
      <c r="M307" s="3">
        <v>0</v>
      </c>
      <c r="N307" s="3">
        <v>84660000</v>
      </c>
      <c r="O307" s="3">
        <v>84660000</v>
      </c>
      <c r="P307" s="2">
        <v>0</v>
      </c>
      <c r="Q307" s="3">
        <v>2471071</v>
      </c>
      <c r="R307" s="3">
        <v>1750817</v>
      </c>
      <c r="S307" s="3">
        <v>82600939</v>
      </c>
      <c r="T307" s="3">
        <v>82953571</v>
      </c>
      <c r="U307" s="3">
        <v>82188929</v>
      </c>
      <c r="V307" s="3">
        <v>82909183</v>
      </c>
      <c r="W307" s="3">
        <v>412010</v>
      </c>
      <c r="X307" s="3">
        <v>44388</v>
      </c>
      <c r="Y307" s="2">
        <v>2950</v>
      </c>
      <c r="Z307" s="2">
        <v>2883</v>
      </c>
      <c r="AA307" s="2">
        <v>-2.27</v>
      </c>
      <c r="AB307" s="3">
        <v>2186293</v>
      </c>
      <c r="AC307" s="3">
        <v>2300000</v>
      </c>
      <c r="AD307" s="3">
        <v>4612293</v>
      </c>
      <c r="AE307" s="3">
        <v>13500000</v>
      </c>
      <c r="AF307" s="3">
        <v>9407787</v>
      </c>
      <c r="AG307" s="3">
        <v>8500000</v>
      </c>
      <c r="AH307" s="2">
        <v>9.33</v>
      </c>
      <c r="AI307" s="5">
        <v>7.6</v>
      </c>
    </row>
    <row r="308" spans="1:35" x14ac:dyDescent="0.3">
      <c r="A308" s="4" t="str">
        <f>"280411"</f>
        <v>280411</v>
      </c>
      <c r="B308" s="2" t="s">
        <v>304</v>
      </c>
      <c r="C308" s="3">
        <v>51086433</v>
      </c>
      <c r="D308" s="3">
        <v>51594676</v>
      </c>
      <c r="E308" s="2">
        <v>0.99</v>
      </c>
      <c r="F308" s="3">
        <v>43948766</v>
      </c>
      <c r="G308" s="3">
        <v>44578542</v>
      </c>
      <c r="H308" s="3"/>
      <c r="I308" s="3"/>
      <c r="J308" s="3"/>
      <c r="K308" s="3"/>
      <c r="L308" s="3"/>
      <c r="M308" s="3"/>
      <c r="N308" s="3">
        <v>43948766</v>
      </c>
      <c r="O308" s="3">
        <v>44578542</v>
      </c>
      <c r="P308" s="2">
        <v>1.43</v>
      </c>
      <c r="Q308" s="3">
        <v>459385</v>
      </c>
      <c r="R308" s="3">
        <v>574601</v>
      </c>
      <c r="S308" s="3">
        <v>43489381</v>
      </c>
      <c r="T308" s="3">
        <v>44003941</v>
      </c>
      <c r="U308" s="3">
        <v>43489381</v>
      </c>
      <c r="V308" s="3">
        <v>44003941</v>
      </c>
      <c r="W308" s="3">
        <v>0</v>
      </c>
      <c r="X308" s="3">
        <v>0</v>
      </c>
      <c r="Y308" s="2">
        <v>1345</v>
      </c>
      <c r="Z308" s="2">
        <v>1326</v>
      </c>
      <c r="AA308" s="2">
        <v>-1.41</v>
      </c>
      <c r="AB308" s="3">
        <v>9597061</v>
      </c>
      <c r="AC308" s="3">
        <v>11654147</v>
      </c>
      <c r="AD308" s="3">
        <v>300000</v>
      </c>
      <c r="AE308" s="3">
        <v>50000</v>
      </c>
      <c r="AF308" s="3">
        <v>2043454</v>
      </c>
      <c r="AG308" s="3">
        <v>2063787</v>
      </c>
      <c r="AH308" s="2">
        <v>4</v>
      </c>
      <c r="AI308" s="5">
        <v>4</v>
      </c>
    </row>
    <row r="309" spans="1:35" x14ac:dyDescent="0.3">
      <c r="A309" s="4" t="str">
        <f>"280501"</f>
        <v>280501</v>
      </c>
      <c r="B309" s="2" t="s">
        <v>305</v>
      </c>
      <c r="C309" s="3">
        <v>110315209</v>
      </c>
      <c r="D309" s="3">
        <v>111641018</v>
      </c>
      <c r="E309" s="2">
        <v>1.2</v>
      </c>
      <c r="F309" s="3">
        <v>91031704</v>
      </c>
      <c r="G309" s="3">
        <v>92337256</v>
      </c>
      <c r="H309" s="3"/>
      <c r="I309" s="3"/>
      <c r="J309" s="3"/>
      <c r="K309" s="3"/>
      <c r="L309" s="3"/>
      <c r="M309" s="3"/>
      <c r="N309" s="3">
        <v>91031704</v>
      </c>
      <c r="O309" s="3">
        <v>92337256</v>
      </c>
      <c r="P309" s="2">
        <v>1.43</v>
      </c>
      <c r="Q309" s="3">
        <v>4868158</v>
      </c>
      <c r="R309" s="3">
        <v>4457450</v>
      </c>
      <c r="S309" s="3">
        <v>86163546</v>
      </c>
      <c r="T309" s="3">
        <v>87879806</v>
      </c>
      <c r="U309" s="3">
        <v>86163546</v>
      </c>
      <c r="V309" s="3">
        <v>87879806</v>
      </c>
      <c r="W309" s="3">
        <v>0</v>
      </c>
      <c r="X309" s="3">
        <v>0</v>
      </c>
      <c r="Y309" s="2">
        <v>2530</v>
      </c>
      <c r="Z309" s="2">
        <v>2529</v>
      </c>
      <c r="AA309" s="2">
        <v>-0.04</v>
      </c>
      <c r="AB309" s="3">
        <v>12361965</v>
      </c>
      <c r="AC309" s="3">
        <v>10751331</v>
      </c>
      <c r="AD309" s="3">
        <v>1642417</v>
      </c>
      <c r="AE309" s="3">
        <v>1980162</v>
      </c>
      <c r="AF309" s="3">
        <v>9458848</v>
      </c>
      <c r="AG309" s="3">
        <v>7820374</v>
      </c>
      <c r="AH309" s="2">
        <v>8.57</v>
      </c>
      <c r="AI309" s="5">
        <v>7</v>
      </c>
    </row>
    <row r="310" spans="1:35" x14ac:dyDescent="0.3">
      <c r="A310" s="4" t="str">
        <f>"280502"</f>
        <v>280502</v>
      </c>
      <c r="B310" s="2" t="s">
        <v>306</v>
      </c>
      <c r="C310" s="3">
        <v>241639245</v>
      </c>
      <c r="D310" s="3">
        <v>247160025</v>
      </c>
      <c r="E310" s="2">
        <v>2.2799999999999998</v>
      </c>
      <c r="F310" s="3">
        <v>204236165</v>
      </c>
      <c r="G310" s="3">
        <v>208289296</v>
      </c>
      <c r="H310" s="3"/>
      <c r="I310" s="3"/>
      <c r="J310" s="3"/>
      <c r="K310" s="3"/>
      <c r="L310" s="3"/>
      <c r="M310" s="3"/>
      <c r="N310" s="3">
        <v>204236165</v>
      </c>
      <c r="O310" s="3">
        <v>208289296</v>
      </c>
      <c r="P310" s="2">
        <v>1.98</v>
      </c>
      <c r="Q310" s="3">
        <v>3698804</v>
      </c>
      <c r="R310" s="3">
        <v>5799187</v>
      </c>
      <c r="S310" s="3">
        <v>203618170</v>
      </c>
      <c r="T310" s="3">
        <v>203164810</v>
      </c>
      <c r="U310" s="3">
        <v>200537361</v>
      </c>
      <c r="V310" s="3">
        <v>202490109</v>
      </c>
      <c r="W310" s="3">
        <v>3080809</v>
      </c>
      <c r="X310" s="3">
        <v>674701</v>
      </c>
      <c r="Y310" s="2">
        <v>6531</v>
      </c>
      <c r="Z310" s="2">
        <v>6312</v>
      </c>
      <c r="AA310" s="2">
        <v>-3.35</v>
      </c>
      <c r="AB310" s="3">
        <v>26375501</v>
      </c>
      <c r="AC310" s="3">
        <v>25988323</v>
      </c>
      <c r="AD310" s="3">
        <v>4987274</v>
      </c>
      <c r="AE310" s="3">
        <v>2813547</v>
      </c>
      <c r="AF310" s="3">
        <v>9655570</v>
      </c>
      <c r="AG310" s="3">
        <v>9886401</v>
      </c>
      <c r="AH310" s="2">
        <v>4</v>
      </c>
      <c r="AI310" s="5">
        <v>4</v>
      </c>
    </row>
    <row r="311" spans="1:35" x14ac:dyDescent="0.3">
      <c r="A311" s="4" t="str">
        <f>"280503"</f>
        <v>280503</v>
      </c>
      <c r="B311" s="2" t="s">
        <v>307</v>
      </c>
      <c r="C311" s="3">
        <v>88692494</v>
      </c>
      <c r="D311" s="3">
        <v>89991981</v>
      </c>
      <c r="E311" s="2">
        <v>1.47</v>
      </c>
      <c r="F311" s="3">
        <v>82686760</v>
      </c>
      <c r="G311" s="3">
        <v>83737900</v>
      </c>
      <c r="H311" s="3"/>
      <c r="I311" s="3"/>
      <c r="J311" s="3"/>
      <c r="K311" s="3"/>
      <c r="L311" s="3"/>
      <c r="M311" s="3"/>
      <c r="N311" s="3">
        <v>82686760</v>
      </c>
      <c r="O311" s="3">
        <v>83737900</v>
      </c>
      <c r="P311" s="2">
        <v>1.27</v>
      </c>
      <c r="Q311" s="3">
        <v>3504474</v>
      </c>
      <c r="R311" s="3">
        <v>3511484</v>
      </c>
      <c r="S311" s="3">
        <v>79849417</v>
      </c>
      <c r="T311" s="3">
        <v>80279416</v>
      </c>
      <c r="U311" s="3">
        <v>79182286</v>
      </c>
      <c r="V311" s="3">
        <v>80226416</v>
      </c>
      <c r="W311" s="3">
        <v>667131</v>
      </c>
      <c r="X311" s="3">
        <v>53000</v>
      </c>
      <c r="Y311" s="2">
        <v>1965</v>
      </c>
      <c r="Z311" s="2">
        <v>1900</v>
      </c>
      <c r="AA311" s="2">
        <v>-3.31</v>
      </c>
      <c r="AB311" s="3">
        <v>19728717</v>
      </c>
      <c r="AC311" s="3">
        <v>18025000</v>
      </c>
      <c r="AD311" s="3">
        <v>28219</v>
      </c>
      <c r="AE311" s="3">
        <v>30000</v>
      </c>
      <c r="AF311" s="3">
        <v>3547700</v>
      </c>
      <c r="AG311" s="3">
        <v>3599000</v>
      </c>
      <c r="AH311" s="2">
        <v>4</v>
      </c>
      <c r="AI311" s="5">
        <v>4</v>
      </c>
    </row>
    <row r="312" spans="1:35" x14ac:dyDescent="0.3">
      <c r="A312" s="4" t="str">
        <f>"280504"</f>
        <v>280504</v>
      </c>
      <c r="B312" s="2" t="s">
        <v>308</v>
      </c>
      <c r="C312" s="3">
        <v>164248598</v>
      </c>
      <c r="D312" s="3">
        <v>168142155</v>
      </c>
      <c r="E312" s="2">
        <v>2.37</v>
      </c>
      <c r="F312" s="3">
        <v>128371510</v>
      </c>
      <c r="G312" s="3">
        <v>131573208</v>
      </c>
      <c r="H312" s="3"/>
      <c r="I312" s="3"/>
      <c r="J312" s="3"/>
      <c r="K312" s="3"/>
      <c r="L312" s="3"/>
      <c r="M312" s="3"/>
      <c r="N312" s="3">
        <v>128371510</v>
      </c>
      <c r="O312" s="3">
        <v>131573208</v>
      </c>
      <c r="P312" s="2">
        <v>2.4900000000000002</v>
      </c>
      <c r="Q312" s="3">
        <v>5695834</v>
      </c>
      <c r="R312" s="3">
        <v>6021653</v>
      </c>
      <c r="S312" s="3">
        <v>124085522</v>
      </c>
      <c r="T312" s="3">
        <v>125603305</v>
      </c>
      <c r="U312" s="3">
        <v>122675676</v>
      </c>
      <c r="V312" s="3">
        <v>125551555</v>
      </c>
      <c r="W312" s="3">
        <v>1409846</v>
      </c>
      <c r="X312" s="3">
        <v>51750</v>
      </c>
      <c r="Y312" s="2">
        <v>4947</v>
      </c>
      <c r="Z312" s="2">
        <v>4898</v>
      </c>
      <c r="AA312" s="2">
        <v>-0.99</v>
      </c>
      <c r="AB312" s="3">
        <v>31360202</v>
      </c>
      <c r="AC312" s="3">
        <v>28800360</v>
      </c>
      <c r="AD312" s="3">
        <v>4661236</v>
      </c>
      <c r="AE312" s="3">
        <v>2600000</v>
      </c>
      <c r="AF312" s="3">
        <v>6569944</v>
      </c>
      <c r="AG312" s="3">
        <v>5763609</v>
      </c>
      <c r="AH312" s="2">
        <v>4</v>
      </c>
      <c r="AI312" s="5">
        <v>3.43</v>
      </c>
    </row>
    <row r="313" spans="1:35" x14ac:dyDescent="0.3">
      <c r="A313" s="4" t="str">
        <f>"280506"</f>
        <v>280506</v>
      </c>
      <c r="B313" s="2" t="s">
        <v>309</v>
      </c>
      <c r="C313" s="3">
        <v>60128038</v>
      </c>
      <c r="D313" s="3">
        <v>61409503</v>
      </c>
      <c r="E313" s="2">
        <v>2.13</v>
      </c>
      <c r="F313" s="3">
        <v>53506909</v>
      </c>
      <c r="G313" s="3">
        <v>54416060</v>
      </c>
      <c r="H313" s="3"/>
      <c r="I313" s="3"/>
      <c r="J313" s="3">
        <v>160063</v>
      </c>
      <c r="K313" s="3"/>
      <c r="L313" s="3"/>
      <c r="M313" s="3"/>
      <c r="N313" s="3">
        <v>53666972</v>
      </c>
      <c r="O313" s="3">
        <v>54416060</v>
      </c>
      <c r="P313" s="2">
        <v>1.4</v>
      </c>
      <c r="Q313" s="3">
        <v>2143798</v>
      </c>
      <c r="R313" s="3">
        <v>2130743</v>
      </c>
      <c r="S313" s="3">
        <v>51636600</v>
      </c>
      <c r="T313" s="3">
        <v>52285318</v>
      </c>
      <c r="U313" s="3">
        <v>51523174</v>
      </c>
      <c r="V313" s="3">
        <v>52285317</v>
      </c>
      <c r="W313" s="3">
        <v>113426</v>
      </c>
      <c r="X313" s="3">
        <v>1</v>
      </c>
      <c r="Y313" s="2">
        <v>1608</v>
      </c>
      <c r="Z313" s="2">
        <v>1558</v>
      </c>
      <c r="AA313" s="2">
        <v>-3.11</v>
      </c>
      <c r="AB313" s="3">
        <v>8377707</v>
      </c>
      <c r="AC313" s="3">
        <v>8118722</v>
      </c>
      <c r="AD313" s="3">
        <v>1000000</v>
      </c>
      <c r="AE313" s="3">
        <v>1239000</v>
      </c>
      <c r="AF313" s="3">
        <v>2405122</v>
      </c>
      <c r="AG313" s="3">
        <v>2456380</v>
      </c>
      <c r="AH313" s="2">
        <v>4</v>
      </c>
      <c r="AI313" s="5">
        <v>4</v>
      </c>
    </row>
    <row r="314" spans="1:35" x14ac:dyDescent="0.3">
      <c r="A314" s="4" t="str">
        <f>"280515"</f>
        <v>280515</v>
      </c>
      <c r="B314" s="2" t="s">
        <v>310</v>
      </c>
      <c r="C314" s="3">
        <v>125365991</v>
      </c>
      <c r="D314" s="3">
        <v>127997101</v>
      </c>
      <c r="E314" s="2">
        <v>2.1</v>
      </c>
      <c r="F314" s="3">
        <v>108811962</v>
      </c>
      <c r="G314" s="3">
        <v>110933795</v>
      </c>
      <c r="H314" s="3"/>
      <c r="I314" s="3"/>
      <c r="J314" s="3"/>
      <c r="K314" s="3"/>
      <c r="L314" s="3"/>
      <c r="M314" s="3"/>
      <c r="N314" s="3">
        <v>108811962</v>
      </c>
      <c r="O314" s="3">
        <v>110933795</v>
      </c>
      <c r="P314" s="2">
        <v>1.95</v>
      </c>
      <c r="Q314" s="3">
        <v>859644</v>
      </c>
      <c r="R314" s="3">
        <v>800032</v>
      </c>
      <c r="S314" s="3">
        <v>109745145</v>
      </c>
      <c r="T314" s="3">
        <v>110761442</v>
      </c>
      <c r="U314" s="3">
        <v>107952318</v>
      </c>
      <c r="V314" s="3">
        <v>110133763</v>
      </c>
      <c r="W314" s="3">
        <v>1792827</v>
      </c>
      <c r="X314" s="3">
        <v>627679</v>
      </c>
      <c r="Y314" s="2">
        <v>3142</v>
      </c>
      <c r="Z314" s="2">
        <v>3144</v>
      </c>
      <c r="AA314" s="2">
        <v>0.06</v>
      </c>
      <c r="AB314" s="3">
        <v>49022658</v>
      </c>
      <c r="AC314" s="3">
        <v>46152909</v>
      </c>
      <c r="AD314" s="3">
        <v>4300000</v>
      </c>
      <c r="AE314" s="3">
        <v>3600000</v>
      </c>
      <c r="AF314" s="3">
        <v>5014640</v>
      </c>
      <c r="AG314" s="3">
        <v>5119884</v>
      </c>
      <c r="AH314" s="2">
        <v>4</v>
      </c>
      <c r="AI314" s="5">
        <v>4</v>
      </c>
    </row>
    <row r="315" spans="1:35" x14ac:dyDescent="0.3">
      <c r="A315" s="4" t="str">
        <f>"280517"</f>
        <v>280517</v>
      </c>
      <c r="B315" s="2" t="s">
        <v>311</v>
      </c>
      <c r="C315" s="3">
        <v>140041865</v>
      </c>
      <c r="D315" s="3">
        <v>145635048</v>
      </c>
      <c r="E315" s="2">
        <v>3.99</v>
      </c>
      <c r="F315" s="3">
        <v>105921278</v>
      </c>
      <c r="G315" s="3">
        <v>107973057</v>
      </c>
      <c r="H315" s="3"/>
      <c r="I315" s="3"/>
      <c r="J315" s="3">
        <v>60000</v>
      </c>
      <c r="K315" s="3">
        <v>60000</v>
      </c>
      <c r="L315" s="3"/>
      <c r="M315" s="3"/>
      <c r="N315" s="3">
        <v>105981278</v>
      </c>
      <c r="O315" s="3">
        <v>108033057</v>
      </c>
      <c r="P315" s="2">
        <v>1.94</v>
      </c>
      <c r="Q315" s="3">
        <v>794628</v>
      </c>
      <c r="R315" s="3">
        <v>1589660</v>
      </c>
      <c r="S315" s="3">
        <v>105186650</v>
      </c>
      <c r="T315" s="3">
        <v>106443397</v>
      </c>
      <c r="U315" s="3">
        <v>105186650</v>
      </c>
      <c r="V315" s="3">
        <v>106443397</v>
      </c>
      <c r="W315" s="3">
        <v>0</v>
      </c>
      <c r="X315" s="3">
        <v>0</v>
      </c>
      <c r="Y315" s="2">
        <v>5170</v>
      </c>
      <c r="Z315" s="2">
        <v>5400</v>
      </c>
      <c r="AA315" s="2">
        <v>4.45</v>
      </c>
      <c r="AB315" s="3">
        <v>15864196</v>
      </c>
      <c r="AC315" s="3">
        <v>25078598</v>
      </c>
      <c r="AD315" s="3">
        <v>3800000</v>
      </c>
      <c r="AE315" s="3">
        <v>2800000</v>
      </c>
      <c r="AF315" s="3">
        <v>8604075</v>
      </c>
      <c r="AG315" s="3">
        <v>5825401</v>
      </c>
      <c r="AH315" s="2">
        <v>6.14</v>
      </c>
      <c r="AI315" s="5">
        <v>4</v>
      </c>
    </row>
    <row r="316" spans="1:35" x14ac:dyDescent="0.3">
      <c r="A316" s="4" t="str">
        <f>"280518"</f>
        <v>280518</v>
      </c>
      <c r="B316" s="2" t="s">
        <v>312</v>
      </c>
      <c r="C316" s="3">
        <v>97504268</v>
      </c>
      <c r="D316" s="3">
        <v>97640675</v>
      </c>
      <c r="E316" s="2">
        <v>0.14000000000000001</v>
      </c>
      <c r="F316" s="3">
        <v>67680775</v>
      </c>
      <c r="G316" s="3">
        <v>67680775</v>
      </c>
      <c r="H316" s="3"/>
      <c r="I316" s="3"/>
      <c r="J316" s="3"/>
      <c r="K316" s="3"/>
      <c r="L316" s="3"/>
      <c r="M316" s="3"/>
      <c r="N316" s="3">
        <v>67680775</v>
      </c>
      <c r="O316" s="3">
        <v>67680775</v>
      </c>
      <c r="P316" s="2">
        <v>0</v>
      </c>
      <c r="Q316" s="3">
        <v>2105168</v>
      </c>
      <c r="R316" s="3">
        <v>1251784</v>
      </c>
      <c r="S316" s="3">
        <v>65575607</v>
      </c>
      <c r="T316" s="3">
        <v>66428991</v>
      </c>
      <c r="U316" s="3">
        <v>65575607</v>
      </c>
      <c r="V316" s="3">
        <v>66428991</v>
      </c>
      <c r="W316" s="3">
        <v>0</v>
      </c>
      <c r="X316" s="3">
        <v>0</v>
      </c>
      <c r="Y316" s="2">
        <v>2779</v>
      </c>
      <c r="Z316" s="2">
        <v>2772</v>
      </c>
      <c r="AA316" s="2">
        <v>-0.25</v>
      </c>
      <c r="AB316" s="3">
        <v>23503493</v>
      </c>
      <c r="AC316" s="3">
        <v>23750344</v>
      </c>
      <c r="AD316" s="3">
        <v>3546838</v>
      </c>
      <c r="AE316" s="3">
        <v>3292154</v>
      </c>
      <c r="AF316" s="3">
        <v>5900172</v>
      </c>
      <c r="AG316" s="3">
        <v>3905627</v>
      </c>
      <c r="AH316" s="2">
        <v>6.05</v>
      </c>
      <c r="AI316" s="5">
        <v>4</v>
      </c>
    </row>
    <row r="317" spans="1:35" x14ac:dyDescent="0.3">
      <c r="A317" s="4" t="str">
        <f>"280521"</f>
        <v>280521</v>
      </c>
      <c r="B317" s="2" t="s">
        <v>313</v>
      </c>
      <c r="C317" s="3">
        <v>89079639</v>
      </c>
      <c r="D317" s="3">
        <v>90347886</v>
      </c>
      <c r="E317" s="2">
        <v>1.42</v>
      </c>
      <c r="F317" s="3">
        <v>67436071</v>
      </c>
      <c r="G317" s="3">
        <v>68583618</v>
      </c>
      <c r="H317" s="3"/>
      <c r="I317" s="3"/>
      <c r="J317" s="3"/>
      <c r="K317" s="3"/>
      <c r="L317" s="3"/>
      <c r="M317" s="3"/>
      <c r="N317" s="3">
        <v>67436071</v>
      </c>
      <c r="O317" s="3">
        <v>68583618</v>
      </c>
      <c r="P317" s="2">
        <v>1.7</v>
      </c>
      <c r="Q317" s="3">
        <v>1281003</v>
      </c>
      <c r="R317" s="3">
        <v>1436466</v>
      </c>
      <c r="S317" s="3">
        <v>66155068</v>
      </c>
      <c r="T317" s="3">
        <v>67147152</v>
      </c>
      <c r="U317" s="3">
        <v>66155068</v>
      </c>
      <c r="V317" s="3">
        <v>67147152</v>
      </c>
      <c r="W317" s="3">
        <v>0</v>
      </c>
      <c r="X317" s="3">
        <v>0</v>
      </c>
      <c r="Y317" s="2">
        <v>2968</v>
      </c>
      <c r="Z317" s="2">
        <v>2948</v>
      </c>
      <c r="AA317" s="2">
        <v>-0.67</v>
      </c>
      <c r="AB317" s="3">
        <v>13610535</v>
      </c>
      <c r="AC317" s="3">
        <v>12415615</v>
      </c>
      <c r="AD317" s="3">
        <v>500000</v>
      </c>
      <c r="AE317" s="3">
        <v>500000</v>
      </c>
      <c r="AF317" s="3">
        <v>4577846</v>
      </c>
      <c r="AG317" s="3">
        <v>3613915</v>
      </c>
      <c r="AH317" s="2">
        <v>5.14</v>
      </c>
      <c r="AI317" s="5">
        <v>4</v>
      </c>
    </row>
    <row r="318" spans="1:35" x14ac:dyDescent="0.3">
      <c r="A318" s="4" t="str">
        <f>"280522"</f>
        <v>280522</v>
      </c>
      <c r="B318" s="2" t="s">
        <v>314</v>
      </c>
      <c r="C318" s="3">
        <v>173076607</v>
      </c>
      <c r="D318" s="3">
        <v>174915558</v>
      </c>
      <c r="E318" s="2">
        <v>1.06</v>
      </c>
      <c r="F318" s="3">
        <v>129693583</v>
      </c>
      <c r="G318" s="3">
        <v>131650695</v>
      </c>
      <c r="H318" s="3"/>
      <c r="I318" s="3"/>
      <c r="J318" s="3"/>
      <c r="K318" s="3"/>
      <c r="L318" s="3"/>
      <c r="M318" s="3"/>
      <c r="N318" s="3">
        <v>129693583</v>
      </c>
      <c r="O318" s="3">
        <v>131650695</v>
      </c>
      <c r="P318" s="2">
        <v>1.51</v>
      </c>
      <c r="Q318" s="3">
        <v>4031263</v>
      </c>
      <c r="R318" s="3">
        <v>4194246</v>
      </c>
      <c r="S318" s="3">
        <v>125722320</v>
      </c>
      <c r="T318" s="3">
        <v>127456449</v>
      </c>
      <c r="U318" s="3">
        <v>125662320</v>
      </c>
      <c r="V318" s="3">
        <v>127456449</v>
      </c>
      <c r="W318" s="3">
        <v>60000</v>
      </c>
      <c r="X318" s="3">
        <v>0</v>
      </c>
      <c r="Y318" s="2">
        <v>5311</v>
      </c>
      <c r="Z318" s="2">
        <v>5252</v>
      </c>
      <c r="AA318" s="2">
        <v>-1.1100000000000001</v>
      </c>
      <c r="AB318" s="3">
        <v>24208461</v>
      </c>
      <c r="AC318" s="3">
        <v>17965254</v>
      </c>
      <c r="AD318" s="3">
        <v>5500000</v>
      </c>
      <c r="AE318" s="3">
        <v>3000000</v>
      </c>
      <c r="AF318" s="3">
        <v>6923064</v>
      </c>
      <c r="AG318" s="3">
        <v>6996622</v>
      </c>
      <c r="AH318" s="2">
        <v>4</v>
      </c>
      <c r="AI318" s="5">
        <v>4</v>
      </c>
    </row>
    <row r="319" spans="1:35" x14ac:dyDescent="0.3">
      <c r="A319" s="4" t="str">
        <f>"280523"</f>
        <v>280523</v>
      </c>
      <c r="B319" s="2" t="s">
        <v>315</v>
      </c>
      <c r="C319" s="3">
        <v>207675646</v>
      </c>
      <c r="D319" s="3">
        <v>210511077</v>
      </c>
      <c r="E319" s="2">
        <v>1.37</v>
      </c>
      <c r="F319" s="3">
        <v>167229312</v>
      </c>
      <c r="G319" s="3">
        <v>169289819</v>
      </c>
      <c r="H319" s="3"/>
      <c r="I319" s="3"/>
      <c r="J319" s="3"/>
      <c r="K319" s="3"/>
      <c r="L319" s="3"/>
      <c r="M319" s="3"/>
      <c r="N319" s="3">
        <v>167229312</v>
      </c>
      <c r="O319" s="3">
        <v>169289819</v>
      </c>
      <c r="P319" s="2">
        <v>1.23</v>
      </c>
      <c r="Q319" s="3">
        <v>4345642</v>
      </c>
      <c r="R319" s="3">
        <v>4002735</v>
      </c>
      <c r="S319" s="3">
        <v>164101474</v>
      </c>
      <c r="T319" s="3">
        <v>165287084</v>
      </c>
      <c r="U319" s="3">
        <v>162883670</v>
      </c>
      <c r="V319" s="3">
        <v>165287084</v>
      </c>
      <c r="W319" s="3">
        <v>1217804</v>
      </c>
      <c r="X319" s="3">
        <v>0</v>
      </c>
      <c r="Y319" s="2">
        <v>6552</v>
      </c>
      <c r="Z319" s="2">
        <v>6500</v>
      </c>
      <c r="AA319" s="2">
        <v>-0.79</v>
      </c>
      <c r="AB319" s="3">
        <v>30091071</v>
      </c>
      <c r="AC319" s="3">
        <v>28610689</v>
      </c>
      <c r="AD319" s="3">
        <v>1550000</v>
      </c>
      <c r="AE319" s="3">
        <v>550000</v>
      </c>
      <c r="AF319" s="3">
        <v>7315429</v>
      </c>
      <c r="AG319" s="3">
        <v>7400000</v>
      </c>
      <c r="AH319" s="2">
        <v>3.52</v>
      </c>
      <c r="AI319" s="5">
        <v>3.52</v>
      </c>
    </row>
    <row r="320" spans="1:35" x14ac:dyDescent="0.3">
      <c r="A320" s="4" t="str">
        <f>"400301"</f>
        <v>400301</v>
      </c>
      <c r="B320" s="2" t="s">
        <v>316</v>
      </c>
      <c r="C320" s="3">
        <v>49092660</v>
      </c>
      <c r="D320" s="3">
        <v>51195913</v>
      </c>
      <c r="E320" s="2">
        <v>4.28</v>
      </c>
      <c r="F320" s="3">
        <v>27807563</v>
      </c>
      <c r="G320" s="3">
        <v>28085639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27807563</v>
      </c>
      <c r="O320" s="3">
        <v>28085639</v>
      </c>
      <c r="P320" s="2">
        <v>1</v>
      </c>
      <c r="Q320" s="3">
        <v>1268882</v>
      </c>
      <c r="R320" s="3">
        <v>1268890</v>
      </c>
      <c r="S320" s="3">
        <v>26541387</v>
      </c>
      <c r="T320" s="3">
        <v>27196765</v>
      </c>
      <c r="U320" s="3">
        <v>26538681</v>
      </c>
      <c r="V320" s="3">
        <v>26816749</v>
      </c>
      <c r="W320" s="3">
        <v>2706</v>
      </c>
      <c r="X320" s="3">
        <v>380016</v>
      </c>
      <c r="Y320" s="2">
        <v>1921</v>
      </c>
      <c r="Z320" s="2">
        <v>1952</v>
      </c>
      <c r="AA320" s="2">
        <v>1.61</v>
      </c>
      <c r="AB320" s="3">
        <v>1381345</v>
      </c>
      <c r="AC320" s="3">
        <v>1855473</v>
      </c>
      <c r="AD320" s="3">
        <v>2000000</v>
      </c>
      <c r="AE320" s="3">
        <v>2250000</v>
      </c>
      <c r="AF320" s="3">
        <v>3105009</v>
      </c>
      <c r="AG320" s="3">
        <v>1855009</v>
      </c>
      <c r="AH320" s="2">
        <v>6.32</v>
      </c>
      <c r="AI320" s="5">
        <v>3.62</v>
      </c>
    </row>
    <row r="321" spans="1:35" x14ac:dyDescent="0.3">
      <c r="A321" s="4" t="str">
        <f>"400400"</f>
        <v>400400</v>
      </c>
      <c r="B321" s="2" t="s">
        <v>317</v>
      </c>
      <c r="C321" s="3">
        <v>105509809</v>
      </c>
      <c r="D321" s="3">
        <v>110172074</v>
      </c>
      <c r="E321" s="2">
        <v>4.42</v>
      </c>
      <c r="F321" s="3">
        <v>39880629</v>
      </c>
      <c r="G321" s="3">
        <v>40553847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39880629</v>
      </c>
      <c r="O321" s="3">
        <v>40553847</v>
      </c>
      <c r="P321" s="2">
        <v>1.69</v>
      </c>
      <c r="Q321" s="3">
        <v>0</v>
      </c>
      <c r="R321" s="3">
        <v>0</v>
      </c>
      <c r="S321" s="3">
        <v>39880629</v>
      </c>
      <c r="T321" s="3">
        <v>40553847</v>
      </c>
      <c r="U321" s="3">
        <v>39880629</v>
      </c>
      <c r="V321" s="3">
        <v>40553847</v>
      </c>
      <c r="W321" s="3">
        <v>0</v>
      </c>
      <c r="X321" s="3">
        <v>0</v>
      </c>
      <c r="Y321" s="2">
        <v>4335</v>
      </c>
      <c r="Z321" s="2">
        <v>4184</v>
      </c>
      <c r="AA321" s="2">
        <v>-3.48</v>
      </c>
      <c r="AB321" s="3">
        <v>23954448</v>
      </c>
      <c r="AC321" s="3">
        <v>27155702</v>
      </c>
      <c r="AD321" s="3">
        <v>6779501</v>
      </c>
      <c r="AE321" s="3">
        <v>3616172</v>
      </c>
      <c r="AF321" s="3">
        <v>4220392</v>
      </c>
      <c r="AG321" s="3">
        <v>4406882</v>
      </c>
      <c r="AH321" s="2">
        <v>4</v>
      </c>
      <c r="AI321" s="5">
        <v>4</v>
      </c>
    </row>
    <row r="322" spans="1:35" x14ac:dyDescent="0.3">
      <c r="A322" s="4" t="str">
        <f>"400601"</f>
        <v>400601</v>
      </c>
      <c r="B322" s="2" t="s">
        <v>318</v>
      </c>
      <c r="C322" s="3">
        <v>36007988</v>
      </c>
      <c r="D322" s="3">
        <v>36017331</v>
      </c>
      <c r="E322" s="2">
        <v>0.03</v>
      </c>
      <c r="F322" s="3">
        <v>13685014</v>
      </c>
      <c r="G322" s="3">
        <v>13753439</v>
      </c>
      <c r="H322" s="3"/>
      <c r="I322" s="3"/>
      <c r="J322" s="3"/>
      <c r="K322" s="3"/>
      <c r="L322" s="3"/>
      <c r="M322" s="3"/>
      <c r="N322" s="3">
        <v>13685014</v>
      </c>
      <c r="O322" s="3">
        <v>13753439</v>
      </c>
      <c r="P322" s="2">
        <v>0.5</v>
      </c>
      <c r="Q322" s="3">
        <v>0</v>
      </c>
      <c r="R322" s="3">
        <v>0</v>
      </c>
      <c r="S322" s="3">
        <v>14109314</v>
      </c>
      <c r="T322" s="3">
        <v>14668832</v>
      </c>
      <c r="U322" s="3">
        <v>13685014</v>
      </c>
      <c r="V322" s="3">
        <v>13753439</v>
      </c>
      <c r="W322" s="3">
        <v>424300</v>
      </c>
      <c r="X322" s="3">
        <v>915393</v>
      </c>
      <c r="Y322" s="2">
        <v>1322</v>
      </c>
      <c r="Z322" s="2">
        <v>1337</v>
      </c>
      <c r="AA322" s="2">
        <v>1.1299999999999999</v>
      </c>
      <c r="AB322" s="3">
        <v>22605990</v>
      </c>
      <c r="AC322" s="3">
        <v>13860847</v>
      </c>
      <c r="AD322" s="3">
        <v>3310961</v>
      </c>
      <c r="AE322" s="3">
        <v>990991</v>
      </c>
      <c r="AF322" s="3">
        <v>1067336</v>
      </c>
      <c r="AG322" s="3">
        <v>1057342</v>
      </c>
      <c r="AH322" s="2">
        <v>2.96</v>
      </c>
      <c r="AI322" s="5">
        <v>2.94</v>
      </c>
    </row>
    <row r="323" spans="1:35" x14ac:dyDescent="0.3">
      <c r="A323" s="4" t="str">
        <f>"400701"</f>
        <v>400701</v>
      </c>
      <c r="B323" s="2" t="s">
        <v>319</v>
      </c>
      <c r="C323" s="3">
        <v>77119627</v>
      </c>
      <c r="D323" s="3">
        <v>79222507</v>
      </c>
      <c r="E323" s="2">
        <v>2.73</v>
      </c>
      <c r="F323" s="3">
        <v>34043515</v>
      </c>
      <c r="G323" s="3">
        <v>34720519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34043515</v>
      </c>
      <c r="O323" s="3">
        <v>34720519</v>
      </c>
      <c r="P323" s="2">
        <v>1.99</v>
      </c>
      <c r="Q323" s="3">
        <v>1350041</v>
      </c>
      <c r="R323" s="3">
        <v>1464088</v>
      </c>
      <c r="S323" s="3">
        <v>33128270</v>
      </c>
      <c r="T323" s="3">
        <v>33256431</v>
      </c>
      <c r="U323" s="3">
        <v>32693474</v>
      </c>
      <c r="V323" s="3">
        <v>33256431</v>
      </c>
      <c r="W323" s="3">
        <v>434796</v>
      </c>
      <c r="X323" s="3">
        <v>0</v>
      </c>
      <c r="Y323" s="2">
        <v>3429</v>
      </c>
      <c r="Z323" s="2">
        <v>3427</v>
      </c>
      <c r="AA323" s="2">
        <v>-0.06</v>
      </c>
      <c r="AB323" s="3">
        <v>11088936</v>
      </c>
      <c r="AC323" s="3">
        <v>12973936</v>
      </c>
      <c r="AD323" s="3">
        <v>2234657</v>
      </c>
      <c r="AE323" s="3">
        <v>2234657</v>
      </c>
      <c r="AF323" s="3">
        <v>3084785</v>
      </c>
      <c r="AG323" s="3">
        <v>3168900</v>
      </c>
      <c r="AH323" s="2">
        <v>4</v>
      </c>
      <c r="AI323" s="5">
        <v>4</v>
      </c>
    </row>
    <row r="324" spans="1:35" x14ac:dyDescent="0.3">
      <c r="A324" s="4" t="str">
        <f>"400800"</f>
        <v>400800</v>
      </c>
      <c r="B324" s="2" t="s">
        <v>320</v>
      </c>
      <c r="C324" s="3">
        <v>153168496</v>
      </c>
      <c r="D324" s="3">
        <v>153148179</v>
      </c>
      <c r="E324" s="2">
        <v>-0.01</v>
      </c>
      <c r="F324" s="3">
        <v>25828989</v>
      </c>
      <c r="G324" s="3">
        <v>25828989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25828989</v>
      </c>
      <c r="O324" s="3">
        <v>25828989</v>
      </c>
      <c r="P324" s="2">
        <v>0</v>
      </c>
      <c r="Q324" s="3">
        <v>2082515</v>
      </c>
      <c r="R324" s="3">
        <v>1768298</v>
      </c>
      <c r="S324" s="3">
        <v>23746900</v>
      </c>
      <c r="T324" s="3">
        <v>24061160</v>
      </c>
      <c r="U324" s="3">
        <v>23746474</v>
      </c>
      <c r="V324" s="3">
        <v>24060691</v>
      </c>
      <c r="W324" s="3">
        <v>426</v>
      </c>
      <c r="X324" s="3">
        <v>469</v>
      </c>
      <c r="Y324" s="2">
        <v>7050</v>
      </c>
      <c r="Z324" s="2">
        <v>7081</v>
      </c>
      <c r="AA324" s="2">
        <v>0.44</v>
      </c>
      <c r="AB324" s="3">
        <v>13564136</v>
      </c>
      <c r="AC324" s="3">
        <v>13513597</v>
      </c>
      <c r="AD324" s="3">
        <v>4002916</v>
      </c>
      <c r="AE324" s="3">
        <v>0</v>
      </c>
      <c r="AF324" s="3">
        <v>6126740</v>
      </c>
      <c r="AG324" s="3">
        <v>6125927</v>
      </c>
      <c r="AH324" s="2">
        <v>4</v>
      </c>
      <c r="AI324" s="5">
        <v>4</v>
      </c>
    </row>
    <row r="325" spans="1:35" x14ac:dyDescent="0.3">
      <c r="A325" s="4" t="str">
        <f>"400900"</f>
        <v>400900</v>
      </c>
      <c r="B325" s="2" t="s">
        <v>321</v>
      </c>
      <c r="C325" s="3">
        <v>81016940</v>
      </c>
      <c r="D325" s="3">
        <v>81854500</v>
      </c>
      <c r="E325" s="2">
        <v>1.03</v>
      </c>
      <c r="F325" s="3">
        <v>28875625</v>
      </c>
      <c r="G325" s="3">
        <v>29300750</v>
      </c>
      <c r="H325" s="3"/>
      <c r="I325" s="3"/>
      <c r="J325" s="3"/>
      <c r="K325" s="3"/>
      <c r="L325" s="3"/>
      <c r="M325" s="3"/>
      <c r="N325" s="3">
        <v>28875625</v>
      </c>
      <c r="O325" s="3">
        <v>29300750</v>
      </c>
      <c r="P325" s="2">
        <v>1.47</v>
      </c>
      <c r="Q325" s="3">
        <v>225112</v>
      </c>
      <c r="R325" s="3">
        <v>361226</v>
      </c>
      <c r="S325" s="3">
        <v>28789102</v>
      </c>
      <c r="T325" s="3">
        <v>29003229</v>
      </c>
      <c r="U325" s="3">
        <v>28650513</v>
      </c>
      <c r="V325" s="3">
        <v>28939524</v>
      </c>
      <c r="W325" s="3">
        <v>138589</v>
      </c>
      <c r="X325" s="3">
        <v>63705</v>
      </c>
      <c r="Y325" s="2">
        <v>3462</v>
      </c>
      <c r="Z325" s="2">
        <v>3372</v>
      </c>
      <c r="AA325" s="2">
        <v>-2.6</v>
      </c>
      <c r="AB325" s="3">
        <v>8370358</v>
      </c>
      <c r="AC325" s="3">
        <v>7500000</v>
      </c>
      <c r="AD325" s="3">
        <v>5282395</v>
      </c>
      <c r="AE325" s="3">
        <v>4750000</v>
      </c>
      <c r="AF325" s="3">
        <v>4842045</v>
      </c>
      <c r="AG325" s="3">
        <v>4250000</v>
      </c>
      <c r="AH325" s="2">
        <v>5.98</v>
      </c>
      <c r="AI325" s="5">
        <v>5.19</v>
      </c>
    </row>
    <row r="326" spans="1:35" x14ac:dyDescent="0.3">
      <c r="A326" s="4" t="str">
        <f>"401001"</f>
        <v>401001</v>
      </c>
      <c r="B326" s="2" t="s">
        <v>322</v>
      </c>
      <c r="C326" s="3">
        <v>55100792</v>
      </c>
      <c r="D326" s="3">
        <v>57275368</v>
      </c>
      <c r="E326" s="2">
        <v>3.95</v>
      </c>
      <c r="F326" s="3">
        <v>30941160</v>
      </c>
      <c r="G326" s="3">
        <v>31412776</v>
      </c>
      <c r="H326" s="3"/>
      <c r="I326" s="3"/>
      <c r="J326" s="3"/>
      <c r="K326" s="3"/>
      <c r="L326" s="3"/>
      <c r="M326" s="3"/>
      <c r="N326" s="3">
        <v>30941160</v>
      </c>
      <c r="O326" s="3">
        <v>31412776</v>
      </c>
      <c r="P326" s="2">
        <v>1.52</v>
      </c>
      <c r="Q326" s="3">
        <v>428304</v>
      </c>
      <c r="R326" s="3">
        <v>449571</v>
      </c>
      <c r="S326" s="3">
        <v>30512856</v>
      </c>
      <c r="T326" s="3">
        <v>31412776</v>
      </c>
      <c r="U326" s="3">
        <v>30512856</v>
      </c>
      <c r="V326" s="3">
        <v>30963205</v>
      </c>
      <c r="W326" s="3">
        <v>0</v>
      </c>
      <c r="X326" s="3">
        <v>449571</v>
      </c>
      <c r="Y326" s="2">
        <v>2910</v>
      </c>
      <c r="Z326" s="2">
        <v>2928</v>
      </c>
      <c r="AA326" s="2">
        <v>0.62</v>
      </c>
      <c r="AB326" s="3">
        <v>9632613</v>
      </c>
      <c r="AC326" s="3">
        <v>9638330</v>
      </c>
      <c r="AD326" s="3">
        <v>2790765</v>
      </c>
      <c r="AE326" s="3">
        <v>2750000</v>
      </c>
      <c r="AF326" s="3">
        <v>3026299</v>
      </c>
      <c r="AG326" s="3">
        <v>3075000</v>
      </c>
      <c r="AH326" s="2">
        <v>5.49</v>
      </c>
      <c r="AI326" s="5">
        <v>5.37</v>
      </c>
    </row>
    <row r="327" spans="1:35" x14ac:dyDescent="0.3">
      <c r="A327" s="4" t="str">
        <f>"401201"</f>
        <v>401201</v>
      </c>
      <c r="B327" s="2" t="s">
        <v>323</v>
      </c>
      <c r="C327" s="3">
        <v>27317009</v>
      </c>
      <c r="D327" s="3">
        <v>28400987</v>
      </c>
      <c r="E327" s="2">
        <v>3.97</v>
      </c>
      <c r="F327" s="3">
        <v>10683714</v>
      </c>
      <c r="G327" s="3">
        <v>10908072</v>
      </c>
      <c r="H327" s="3"/>
      <c r="I327" s="3"/>
      <c r="J327" s="3"/>
      <c r="K327" s="3"/>
      <c r="L327" s="3"/>
      <c r="M327" s="3"/>
      <c r="N327" s="3">
        <v>10683714</v>
      </c>
      <c r="O327" s="3">
        <v>10908072</v>
      </c>
      <c r="P327" s="2">
        <v>2.1</v>
      </c>
      <c r="Q327" s="3">
        <v>0</v>
      </c>
      <c r="R327" s="3">
        <v>0</v>
      </c>
      <c r="S327" s="3">
        <v>10697079</v>
      </c>
      <c r="T327" s="3">
        <v>10927661</v>
      </c>
      <c r="U327" s="3">
        <v>10683714</v>
      </c>
      <c r="V327" s="3">
        <v>10908072</v>
      </c>
      <c r="W327" s="3">
        <v>13365</v>
      </c>
      <c r="X327" s="3">
        <v>19589</v>
      </c>
      <c r="Y327" s="2">
        <v>1157</v>
      </c>
      <c r="Z327" s="2">
        <v>1180</v>
      </c>
      <c r="AA327" s="2">
        <v>1.99</v>
      </c>
      <c r="AB327" s="3">
        <v>7133962</v>
      </c>
      <c r="AC327" s="3">
        <v>7133962</v>
      </c>
      <c r="AD327" s="3">
        <v>2248200</v>
      </c>
      <c r="AE327" s="3">
        <v>1044452</v>
      </c>
      <c r="AF327" s="3">
        <v>3192762</v>
      </c>
      <c r="AG327" s="3">
        <v>3008261</v>
      </c>
      <c r="AH327" s="2">
        <v>11.69</v>
      </c>
      <c r="AI327" s="5">
        <v>10.59</v>
      </c>
    </row>
    <row r="328" spans="1:35" x14ac:dyDescent="0.3">
      <c r="A328" s="4" t="str">
        <f>"401301"</f>
        <v>401301</v>
      </c>
      <c r="B328" s="2" t="s">
        <v>324</v>
      </c>
      <c r="C328" s="3">
        <v>17254712</v>
      </c>
      <c r="D328" s="3">
        <v>17254712</v>
      </c>
      <c r="E328" s="2">
        <v>0</v>
      </c>
      <c r="F328" s="3">
        <v>6362081</v>
      </c>
      <c r="G328" s="3">
        <v>4767964</v>
      </c>
      <c r="H328" s="3">
        <v>78030</v>
      </c>
      <c r="I328" s="3">
        <v>79590</v>
      </c>
      <c r="J328" s="3">
        <v>0</v>
      </c>
      <c r="K328" s="3">
        <v>0</v>
      </c>
      <c r="L328" s="3">
        <v>0</v>
      </c>
      <c r="M328" s="3">
        <v>0</v>
      </c>
      <c r="N328" s="3">
        <v>6440111</v>
      </c>
      <c r="O328" s="3">
        <v>4847554</v>
      </c>
      <c r="P328" s="2">
        <v>-24.73</v>
      </c>
      <c r="Q328" s="3">
        <v>0</v>
      </c>
      <c r="R328" s="3">
        <v>0</v>
      </c>
      <c r="S328" s="3">
        <v>6441107</v>
      </c>
      <c r="T328" s="3">
        <v>4771988</v>
      </c>
      <c r="U328" s="3">
        <v>6362081</v>
      </c>
      <c r="V328" s="3">
        <v>4767964</v>
      </c>
      <c r="W328" s="3">
        <v>79026</v>
      </c>
      <c r="X328" s="3">
        <v>4024</v>
      </c>
      <c r="Y328" s="2">
        <v>688</v>
      </c>
      <c r="Z328" s="2">
        <v>678</v>
      </c>
      <c r="AA328" s="2">
        <v>-1.45</v>
      </c>
      <c r="AB328" s="3">
        <v>7822433</v>
      </c>
      <c r="AC328" s="3">
        <v>7492848</v>
      </c>
      <c r="AD328" s="3">
        <v>2651122</v>
      </c>
      <c r="AE328" s="3">
        <v>1361321</v>
      </c>
      <c r="AF328" s="3">
        <v>689381</v>
      </c>
      <c r="AG328" s="3">
        <v>689381</v>
      </c>
      <c r="AH328" s="2">
        <v>4</v>
      </c>
      <c r="AI328" s="5">
        <v>4</v>
      </c>
    </row>
    <row r="329" spans="1:35" x14ac:dyDescent="0.3">
      <c r="A329" s="4" t="str">
        <f>"401501"</f>
        <v>401501</v>
      </c>
      <c r="B329" s="2" t="s">
        <v>325</v>
      </c>
      <c r="C329" s="3">
        <v>28036893</v>
      </c>
      <c r="D329" s="3">
        <v>28323085</v>
      </c>
      <c r="E329" s="2">
        <v>1.02</v>
      </c>
      <c r="F329" s="3">
        <v>12466252</v>
      </c>
      <c r="G329" s="3">
        <v>12689987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12466252</v>
      </c>
      <c r="O329" s="3">
        <v>12689987</v>
      </c>
      <c r="P329" s="2">
        <v>1.79</v>
      </c>
      <c r="Q329" s="3">
        <v>0</v>
      </c>
      <c r="R329" s="3">
        <v>0</v>
      </c>
      <c r="S329" s="3">
        <v>12466252</v>
      </c>
      <c r="T329" s="3">
        <v>12689987</v>
      </c>
      <c r="U329" s="3">
        <v>12466252</v>
      </c>
      <c r="V329" s="3">
        <v>12689987</v>
      </c>
      <c r="W329" s="3">
        <v>0</v>
      </c>
      <c r="X329" s="3">
        <v>0</v>
      </c>
      <c r="Y329" s="2">
        <v>1100</v>
      </c>
      <c r="Z329" s="2">
        <v>1033</v>
      </c>
      <c r="AA329" s="2">
        <v>-6.09</v>
      </c>
      <c r="AB329" s="3">
        <v>13988109</v>
      </c>
      <c r="AC329" s="3">
        <v>15497338</v>
      </c>
      <c r="AD329" s="3">
        <v>652296</v>
      </c>
      <c r="AE329" s="3">
        <v>600000</v>
      </c>
      <c r="AF329" s="3">
        <v>2801406</v>
      </c>
      <c r="AG329" s="3">
        <v>2801406</v>
      </c>
      <c r="AH329" s="2">
        <v>9.99</v>
      </c>
      <c r="AI329" s="5">
        <v>9.89</v>
      </c>
    </row>
    <row r="330" spans="1:35" x14ac:dyDescent="0.3">
      <c r="A330" s="4" t="str">
        <f>"410401"</f>
        <v>410401</v>
      </c>
      <c r="B330" s="2" t="s">
        <v>326</v>
      </c>
      <c r="C330" s="3">
        <v>30052380</v>
      </c>
      <c r="D330" s="3">
        <v>31567889</v>
      </c>
      <c r="E330" s="2">
        <v>5.04</v>
      </c>
      <c r="F330" s="3">
        <v>10255016</v>
      </c>
      <c r="G330" s="3">
        <v>10429351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10255016</v>
      </c>
      <c r="O330" s="3">
        <v>10429351</v>
      </c>
      <c r="P330" s="2">
        <v>1.7</v>
      </c>
      <c r="Q330" s="3">
        <v>228062</v>
      </c>
      <c r="R330" s="3">
        <v>272470</v>
      </c>
      <c r="S330" s="3">
        <v>10178622</v>
      </c>
      <c r="T330" s="3">
        <v>10267711</v>
      </c>
      <c r="U330" s="3">
        <v>10026954</v>
      </c>
      <c r="V330" s="3">
        <v>10156881</v>
      </c>
      <c r="W330" s="3">
        <v>151668</v>
      </c>
      <c r="X330" s="3">
        <v>110830</v>
      </c>
      <c r="Y330" s="2">
        <v>1200</v>
      </c>
      <c r="Z330" s="2">
        <v>1152</v>
      </c>
      <c r="AA330" s="2">
        <v>-4</v>
      </c>
      <c r="AB330" s="3">
        <v>3963672</v>
      </c>
      <c r="AC330" s="3">
        <v>3963672</v>
      </c>
      <c r="AD330" s="3">
        <v>861151</v>
      </c>
      <c r="AE330" s="3">
        <v>861151</v>
      </c>
      <c r="AF330" s="3">
        <v>1001180</v>
      </c>
      <c r="AG330" s="3">
        <v>1001180</v>
      </c>
      <c r="AH330" s="2">
        <v>3.33</v>
      </c>
      <c r="AI330" s="5">
        <v>3.17</v>
      </c>
    </row>
    <row r="331" spans="1:35" x14ac:dyDescent="0.3">
      <c r="A331" s="4" t="str">
        <f>"410601"</f>
        <v>410601</v>
      </c>
      <c r="B331" s="2" t="s">
        <v>327</v>
      </c>
      <c r="C331" s="3">
        <v>52565550</v>
      </c>
      <c r="D331" s="3">
        <v>53590578</v>
      </c>
      <c r="E331" s="2">
        <v>1.95</v>
      </c>
      <c r="F331" s="3">
        <v>11349612</v>
      </c>
      <c r="G331" s="3">
        <v>11650322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11349612</v>
      </c>
      <c r="O331" s="3">
        <v>11650322</v>
      </c>
      <c r="P331" s="2">
        <v>2.65</v>
      </c>
      <c r="Q331" s="3">
        <v>498368</v>
      </c>
      <c r="R331" s="3">
        <v>554162</v>
      </c>
      <c r="S331" s="3">
        <v>10851244</v>
      </c>
      <c r="T331" s="3">
        <v>11096160</v>
      </c>
      <c r="U331" s="3">
        <v>10851244</v>
      </c>
      <c r="V331" s="3">
        <v>11096160</v>
      </c>
      <c r="W331" s="3">
        <v>0</v>
      </c>
      <c r="X331" s="3">
        <v>0</v>
      </c>
      <c r="Y331" s="2">
        <v>1947</v>
      </c>
      <c r="Z331" s="2">
        <v>1967</v>
      </c>
      <c r="AA331" s="2">
        <v>1.03</v>
      </c>
      <c r="AB331" s="3">
        <v>9532281</v>
      </c>
      <c r="AC331" s="3">
        <v>12281698</v>
      </c>
      <c r="AD331" s="3">
        <v>2288689</v>
      </c>
      <c r="AE331" s="3">
        <v>1941291</v>
      </c>
      <c r="AF331" s="3">
        <v>1796660</v>
      </c>
      <c r="AG331" s="3">
        <v>2143623</v>
      </c>
      <c r="AH331" s="2">
        <v>3.42</v>
      </c>
      <c r="AI331" s="5">
        <v>4</v>
      </c>
    </row>
    <row r="332" spans="1:35" x14ac:dyDescent="0.3">
      <c r="A332" s="4" t="str">
        <f>"411101"</f>
        <v>411101</v>
      </c>
      <c r="B332" s="2" t="s">
        <v>328</v>
      </c>
      <c r="C332" s="3">
        <v>29035393</v>
      </c>
      <c r="D332" s="3">
        <v>29147253</v>
      </c>
      <c r="E332" s="2">
        <v>0.39</v>
      </c>
      <c r="F332" s="3">
        <v>16137242</v>
      </c>
      <c r="G332" s="3">
        <v>15997529</v>
      </c>
      <c r="H332" s="3">
        <v>324784</v>
      </c>
      <c r="I332" s="3">
        <v>324784</v>
      </c>
      <c r="J332" s="3"/>
      <c r="K332" s="3"/>
      <c r="L332" s="3"/>
      <c r="M332" s="3"/>
      <c r="N332" s="3">
        <v>16462026</v>
      </c>
      <c r="O332" s="3">
        <v>16322313</v>
      </c>
      <c r="P332" s="2">
        <v>-0.85</v>
      </c>
      <c r="Q332" s="3">
        <v>711214</v>
      </c>
      <c r="R332" s="3">
        <v>404405</v>
      </c>
      <c r="S332" s="3">
        <v>15426028</v>
      </c>
      <c r="T332" s="3">
        <v>15593124</v>
      </c>
      <c r="U332" s="3">
        <v>15426028</v>
      </c>
      <c r="V332" s="3">
        <v>15593124</v>
      </c>
      <c r="W332" s="3">
        <v>0</v>
      </c>
      <c r="X332" s="3">
        <v>0</v>
      </c>
      <c r="Y332" s="2">
        <v>1361</v>
      </c>
      <c r="Z332" s="2">
        <v>1359</v>
      </c>
      <c r="AA332" s="2">
        <v>-0.15</v>
      </c>
      <c r="AB332" s="3">
        <v>8324140</v>
      </c>
      <c r="AC332" s="3">
        <v>9192766</v>
      </c>
      <c r="AD332" s="3">
        <v>550000</v>
      </c>
      <c r="AE332" s="3">
        <v>550000</v>
      </c>
      <c r="AF332" s="3">
        <v>1161416</v>
      </c>
      <c r="AG332" s="3">
        <v>1165890</v>
      </c>
      <c r="AH332" s="2">
        <v>4</v>
      </c>
      <c r="AI332" s="5">
        <v>4</v>
      </c>
    </row>
    <row r="333" spans="1:35" x14ac:dyDescent="0.3">
      <c r="A333" s="4" t="str">
        <f>"411501"</f>
        <v>411501</v>
      </c>
      <c r="B333" s="2" t="s">
        <v>329</v>
      </c>
      <c r="C333" s="3">
        <v>54599294</v>
      </c>
      <c r="D333" s="3">
        <v>55633097</v>
      </c>
      <c r="E333" s="2">
        <v>1.89</v>
      </c>
      <c r="F333" s="3">
        <v>37030287</v>
      </c>
      <c r="G333" s="3">
        <v>37439955</v>
      </c>
      <c r="H333" s="3"/>
      <c r="I333" s="3"/>
      <c r="J333" s="3"/>
      <c r="K333" s="3"/>
      <c r="L333" s="3"/>
      <c r="M333" s="3"/>
      <c r="N333" s="3">
        <v>37030287</v>
      </c>
      <c r="O333" s="3">
        <v>37439955</v>
      </c>
      <c r="P333" s="2">
        <v>1.1100000000000001</v>
      </c>
      <c r="Q333" s="3">
        <v>1715263</v>
      </c>
      <c r="R333" s="3">
        <v>1713158</v>
      </c>
      <c r="S333" s="3">
        <v>35315024</v>
      </c>
      <c r="T333" s="3">
        <v>35726797</v>
      </c>
      <c r="U333" s="3">
        <v>35315024</v>
      </c>
      <c r="V333" s="3">
        <v>35726797</v>
      </c>
      <c r="W333" s="3">
        <v>0</v>
      </c>
      <c r="X333" s="3">
        <v>0</v>
      </c>
      <c r="Y333" s="2">
        <v>2565</v>
      </c>
      <c r="Z333" s="2">
        <v>2560</v>
      </c>
      <c r="AA333" s="2">
        <v>-0.19</v>
      </c>
      <c r="AB333" s="3">
        <v>1990533</v>
      </c>
      <c r="AC333" s="3">
        <v>2000000</v>
      </c>
      <c r="AD333" s="3">
        <v>900000</v>
      </c>
      <c r="AE333" s="3">
        <v>900000</v>
      </c>
      <c r="AF333" s="3">
        <v>2185000</v>
      </c>
      <c r="AG333" s="3">
        <v>2224000</v>
      </c>
      <c r="AH333" s="2">
        <v>4</v>
      </c>
      <c r="AI333" s="5">
        <v>4</v>
      </c>
    </row>
    <row r="334" spans="1:35" x14ac:dyDescent="0.3">
      <c r="A334" s="4" t="str">
        <f>"411504"</f>
        <v>411504</v>
      </c>
      <c r="B334" s="2" t="s">
        <v>330</v>
      </c>
      <c r="C334" s="3">
        <v>15055005</v>
      </c>
      <c r="D334" s="3">
        <v>15495435</v>
      </c>
      <c r="E334" s="2">
        <v>2.93</v>
      </c>
      <c r="F334" s="3">
        <v>8019400</v>
      </c>
      <c r="G334" s="3">
        <v>8117286</v>
      </c>
      <c r="H334" s="3"/>
      <c r="I334" s="3"/>
      <c r="J334" s="3"/>
      <c r="K334" s="3"/>
      <c r="L334" s="3"/>
      <c r="M334" s="3"/>
      <c r="N334" s="3">
        <v>8019400</v>
      </c>
      <c r="O334" s="3">
        <v>8117286</v>
      </c>
      <c r="P334" s="2">
        <v>1.22</v>
      </c>
      <c r="Q334" s="3">
        <v>247122</v>
      </c>
      <c r="R334" s="3">
        <v>243082</v>
      </c>
      <c r="S334" s="3">
        <v>7796558</v>
      </c>
      <c r="T334" s="3">
        <v>7874204</v>
      </c>
      <c r="U334" s="3">
        <v>7772278</v>
      </c>
      <c r="V334" s="3">
        <v>7874204</v>
      </c>
      <c r="W334" s="3">
        <v>24280</v>
      </c>
      <c r="X334" s="3">
        <v>0</v>
      </c>
      <c r="Y334" s="2">
        <v>560</v>
      </c>
      <c r="Z334" s="2">
        <v>560</v>
      </c>
      <c r="AA334" s="2">
        <v>0</v>
      </c>
      <c r="AB334" s="3">
        <v>1559051</v>
      </c>
      <c r="AC334" s="3">
        <v>1105979</v>
      </c>
      <c r="AD334" s="3">
        <v>1464000</v>
      </c>
      <c r="AE334" s="3">
        <v>1464000</v>
      </c>
      <c r="AF334" s="3">
        <v>602200</v>
      </c>
      <c r="AG334" s="3">
        <v>619817</v>
      </c>
      <c r="AH334" s="2">
        <v>4</v>
      </c>
      <c r="AI334" s="5">
        <v>4</v>
      </c>
    </row>
    <row r="335" spans="1:35" x14ac:dyDescent="0.3">
      <c r="A335" s="4" t="str">
        <f>"411603"</f>
        <v>411603</v>
      </c>
      <c r="B335" s="2" t="s">
        <v>331</v>
      </c>
      <c r="C335" s="3">
        <v>24401492</v>
      </c>
      <c r="D335" s="3">
        <v>24636888</v>
      </c>
      <c r="E335" s="2">
        <v>0.96</v>
      </c>
      <c r="F335" s="3">
        <v>8057078</v>
      </c>
      <c r="G335" s="3">
        <v>8218220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8057078</v>
      </c>
      <c r="O335" s="3">
        <v>8218220</v>
      </c>
      <c r="P335" s="2">
        <v>2</v>
      </c>
      <c r="Q335" s="3">
        <v>404968</v>
      </c>
      <c r="R335" s="3">
        <v>294197</v>
      </c>
      <c r="S335" s="3">
        <v>7652110</v>
      </c>
      <c r="T335" s="3">
        <v>7778040</v>
      </c>
      <c r="U335" s="3">
        <v>7652110</v>
      </c>
      <c r="V335" s="3">
        <v>7924023</v>
      </c>
      <c r="W335" s="3">
        <v>0</v>
      </c>
      <c r="X335" s="3">
        <v>-145983</v>
      </c>
      <c r="Y335" s="2">
        <v>921</v>
      </c>
      <c r="Z335" s="2">
        <v>925</v>
      </c>
      <c r="AA335" s="2">
        <v>0.43</v>
      </c>
      <c r="AB335" s="3">
        <v>340910</v>
      </c>
      <c r="AC335" s="3">
        <v>325000</v>
      </c>
      <c r="AD335" s="3">
        <v>727080</v>
      </c>
      <c r="AE335" s="3">
        <v>727080</v>
      </c>
      <c r="AF335" s="3">
        <v>367649</v>
      </c>
      <c r="AG335" s="3">
        <v>350000</v>
      </c>
      <c r="AH335" s="2">
        <v>1.51</v>
      </c>
      <c r="AI335" s="5">
        <v>1.42</v>
      </c>
    </row>
    <row r="336" spans="1:35" x14ac:dyDescent="0.3">
      <c r="A336" s="4" t="str">
        <f>"411701"</f>
        <v>411701</v>
      </c>
      <c r="B336" s="2" t="s">
        <v>332</v>
      </c>
      <c r="C336" s="3">
        <v>13198752</v>
      </c>
      <c r="D336" s="3">
        <v>13598332</v>
      </c>
      <c r="E336" s="2">
        <v>3.03</v>
      </c>
      <c r="F336" s="3">
        <v>5472359</v>
      </c>
      <c r="G336" s="3">
        <v>5534568</v>
      </c>
      <c r="H336" s="3"/>
      <c r="I336" s="3"/>
      <c r="J336" s="3"/>
      <c r="K336" s="3"/>
      <c r="L336" s="3"/>
      <c r="M336" s="3"/>
      <c r="N336" s="3">
        <v>5472359</v>
      </c>
      <c r="O336" s="3">
        <v>5534568</v>
      </c>
      <c r="P336" s="2">
        <v>1.1399999999999999</v>
      </c>
      <c r="Q336" s="3">
        <v>145579</v>
      </c>
      <c r="R336" s="3">
        <v>140053</v>
      </c>
      <c r="S336" s="3">
        <v>5326780</v>
      </c>
      <c r="T336" s="3">
        <v>5394515</v>
      </c>
      <c r="U336" s="3">
        <v>5326780</v>
      </c>
      <c r="V336" s="3">
        <v>5394515</v>
      </c>
      <c r="W336" s="3">
        <v>0</v>
      </c>
      <c r="X336" s="3">
        <v>0</v>
      </c>
      <c r="Y336" s="2">
        <v>410</v>
      </c>
      <c r="Z336" s="2">
        <v>433</v>
      </c>
      <c r="AA336" s="2">
        <v>5.61</v>
      </c>
      <c r="AB336" s="3">
        <v>1896280</v>
      </c>
      <c r="AC336" s="3">
        <v>1896280</v>
      </c>
      <c r="AD336" s="3">
        <v>371430</v>
      </c>
      <c r="AE336" s="3">
        <v>250000</v>
      </c>
      <c r="AF336" s="3">
        <v>944284</v>
      </c>
      <c r="AG336" s="3">
        <v>694284</v>
      </c>
      <c r="AH336" s="2">
        <v>7.15</v>
      </c>
      <c r="AI336" s="5">
        <v>5.1100000000000003</v>
      </c>
    </row>
    <row r="337" spans="1:35" x14ac:dyDescent="0.3">
      <c r="A337" s="4" t="str">
        <f>"411800"</f>
        <v>411800</v>
      </c>
      <c r="B337" s="2" t="s">
        <v>333</v>
      </c>
      <c r="C337" s="3">
        <v>122607537</v>
      </c>
      <c r="D337" s="3">
        <v>122980692</v>
      </c>
      <c r="E337" s="2">
        <v>0.3</v>
      </c>
      <c r="F337" s="3">
        <v>35159690</v>
      </c>
      <c r="G337" s="3">
        <v>35827724</v>
      </c>
      <c r="H337" s="3"/>
      <c r="I337" s="3"/>
      <c r="J337" s="3"/>
      <c r="K337" s="3"/>
      <c r="L337" s="3"/>
      <c r="M337" s="3"/>
      <c r="N337" s="3">
        <v>35159690</v>
      </c>
      <c r="O337" s="3">
        <v>35827724</v>
      </c>
      <c r="P337" s="2">
        <v>1.9</v>
      </c>
      <c r="Q337" s="3">
        <v>0</v>
      </c>
      <c r="R337" s="3">
        <v>0</v>
      </c>
      <c r="S337" s="3">
        <v>35382249</v>
      </c>
      <c r="T337" s="3">
        <v>35944500</v>
      </c>
      <c r="U337" s="3">
        <v>35159690</v>
      </c>
      <c r="V337" s="3">
        <v>35827724</v>
      </c>
      <c r="W337" s="3">
        <v>222559</v>
      </c>
      <c r="X337" s="3">
        <v>116776</v>
      </c>
      <c r="Y337" s="2">
        <v>5696</v>
      </c>
      <c r="Z337" s="2">
        <v>5696</v>
      </c>
      <c r="AA337" s="2">
        <v>0</v>
      </c>
      <c r="AB337" s="3">
        <v>2616470</v>
      </c>
      <c r="AC337" s="3">
        <v>2059494</v>
      </c>
      <c r="AD337" s="3">
        <v>10709436</v>
      </c>
      <c r="AE337" s="3">
        <v>9343208</v>
      </c>
      <c r="AF337" s="3">
        <v>2931313</v>
      </c>
      <c r="AG337" s="3">
        <v>4708707</v>
      </c>
      <c r="AH337" s="2">
        <v>2.39</v>
      </c>
      <c r="AI337" s="5">
        <v>3.83</v>
      </c>
    </row>
    <row r="338" spans="1:35" x14ac:dyDescent="0.3">
      <c r="A338" s="4" t="str">
        <f>"411902"</f>
        <v>411902</v>
      </c>
      <c r="B338" s="2" t="s">
        <v>334</v>
      </c>
      <c r="C338" s="3">
        <v>18952886</v>
      </c>
      <c r="D338" s="3">
        <v>19096357</v>
      </c>
      <c r="E338" s="2">
        <v>0.76</v>
      </c>
      <c r="F338" s="3">
        <v>5437168</v>
      </c>
      <c r="G338" s="3">
        <v>5573097</v>
      </c>
      <c r="H338" s="3"/>
      <c r="I338" s="3"/>
      <c r="J338" s="3"/>
      <c r="K338" s="3"/>
      <c r="L338" s="3"/>
      <c r="M338" s="3"/>
      <c r="N338" s="3">
        <v>5437168</v>
      </c>
      <c r="O338" s="3">
        <v>5573097</v>
      </c>
      <c r="P338" s="2">
        <v>2.5</v>
      </c>
      <c r="Q338" s="3">
        <v>380433</v>
      </c>
      <c r="R338" s="3">
        <v>295686</v>
      </c>
      <c r="S338" s="3">
        <v>5081437</v>
      </c>
      <c r="T338" s="3">
        <v>5147330</v>
      </c>
      <c r="U338" s="3">
        <v>5056735</v>
      </c>
      <c r="V338" s="3">
        <v>5277411</v>
      </c>
      <c r="W338" s="3">
        <v>24702</v>
      </c>
      <c r="X338" s="3">
        <v>-130081</v>
      </c>
      <c r="Y338" s="2">
        <v>700</v>
      </c>
      <c r="Z338" s="2">
        <v>740</v>
      </c>
      <c r="AA338" s="2">
        <v>5.71</v>
      </c>
      <c r="AB338" s="3">
        <v>47190</v>
      </c>
      <c r="AC338" s="3">
        <v>50000</v>
      </c>
      <c r="AD338" s="3">
        <v>200000</v>
      </c>
      <c r="AE338" s="3">
        <v>0</v>
      </c>
      <c r="AF338" s="3">
        <v>372198</v>
      </c>
      <c r="AG338" s="3">
        <v>500000</v>
      </c>
      <c r="AH338" s="2">
        <v>1.96</v>
      </c>
      <c r="AI338" s="5">
        <v>2.62</v>
      </c>
    </row>
    <row r="339" spans="1:35" x14ac:dyDescent="0.3">
      <c r="A339" s="4" t="str">
        <f>"412000"</f>
        <v>412000</v>
      </c>
      <c r="B339" s="2" t="s">
        <v>335</v>
      </c>
      <c r="C339" s="3">
        <v>40960857</v>
      </c>
      <c r="D339" s="3">
        <v>41755498</v>
      </c>
      <c r="E339" s="2">
        <v>1.94</v>
      </c>
      <c r="F339" s="3">
        <v>14852590</v>
      </c>
      <c r="G339" s="3">
        <v>14852590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14852590</v>
      </c>
      <c r="O339" s="3">
        <v>14852590</v>
      </c>
      <c r="P339" s="2">
        <v>0</v>
      </c>
      <c r="Q339" s="3">
        <v>593042</v>
      </c>
      <c r="R339" s="3">
        <v>394892</v>
      </c>
      <c r="S339" s="3">
        <v>14261113</v>
      </c>
      <c r="T339" s="3">
        <v>14457698</v>
      </c>
      <c r="U339" s="3">
        <v>14259548</v>
      </c>
      <c r="V339" s="3">
        <v>14457698</v>
      </c>
      <c r="W339" s="3">
        <v>1565</v>
      </c>
      <c r="X339" s="3">
        <v>0</v>
      </c>
      <c r="Y339" s="2">
        <v>1886</v>
      </c>
      <c r="Z339" s="2">
        <v>1822</v>
      </c>
      <c r="AA339" s="2">
        <v>-3.39</v>
      </c>
      <c r="AB339" s="3">
        <v>9858979</v>
      </c>
      <c r="AC339" s="3">
        <v>10116812</v>
      </c>
      <c r="AD339" s="3">
        <v>2666459</v>
      </c>
      <c r="AE339" s="3">
        <v>1382934</v>
      </c>
      <c r="AF339" s="3">
        <v>1507929</v>
      </c>
      <c r="AG339" s="3">
        <v>1670220</v>
      </c>
      <c r="AH339" s="2">
        <v>3.68</v>
      </c>
      <c r="AI339" s="5">
        <v>4</v>
      </c>
    </row>
    <row r="340" spans="1:35" x14ac:dyDescent="0.3">
      <c r="A340" s="4" t="str">
        <f>"412201"</f>
        <v>412201</v>
      </c>
      <c r="B340" s="2" t="s">
        <v>336</v>
      </c>
      <c r="C340" s="3">
        <v>35256643</v>
      </c>
      <c r="D340" s="3">
        <v>36816639</v>
      </c>
      <c r="E340" s="2">
        <v>4.42</v>
      </c>
      <c r="F340" s="3">
        <v>13341408</v>
      </c>
      <c r="G340" s="3">
        <v>13482885</v>
      </c>
      <c r="H340" s="3">
        <v>30000</v>
      </c>
      <c r="I340" s="3">
        <v>30000</v>
      </c>
      <c r="J340" s="3">
        <v>0</v>
      </c>
      <c r="K340" s="3">
        <v>0</v>
      </c>
      <c r="L340" s="3">
        <v>0</v>
      </c>
      <c r="M340" s="3">
        <v>0</v>
      </c>
      <c r="N340" s="3">
        <v>13371408</v>
      </c>
      <c r="O340" s="3">
        <v>13512885</v>
      </c>
      <c r="P340" s="2">
        <v>1.06</v>
      </c>
      <c r="Q340" s="3">
        <v>581769</v>
      </c>
      <c r="R340" s="3">
        <v>574278</v>
      </c>
      <c r="S340" s="3">
        <v>12759639</v>
      </c>
      <c r="T340" s="3">
        <v>12908607</v>
      </c>
      <c r="U340" s="3">
        <v>12759639</v>
      </c>
      <c r="V340" s="3">
        <v>12908607</v>
      </c>
      <c r="W340" s="3">
        <v>0</v>
      </c>
      <c r="X340" s="3">
        <v>0</v>
      </c>
      <c r="Y340" s="2">
        <v>1257</v>
      </c>
      <c r="Z340" s="2">
        <v>1239</v>
      </c>
      <c r="AA340" s="2">
        <v>-1.43</v>
      </c>
      <c r="AB340" s="3">
        <v>8858499</v>
      </c>
      <c r="AC340" s="3">
        <v>9489732</v>
      </c>
      <c r="AD340" s="3">
        <v>4487618</v>
      </c>
      <c r="AE340" s="3">
        <v>2000000</v>
      </c>
      <c r="AF340" s="3">
        <v>2692832</v>
      </c>
      <c r="AG340" s="3">
        <v>1472665</v>
      </c>
      <c r="AH340" s="2">
        <v>7.64</v>
      </c>
      <c r="AI340" s="5">
        <v>4</v>
      </c>
    </row>
    <row r="341" spans="1:35" x14ac:dyDescent="0.3">
      <c r="A341" s="4" t="str">
        <f>"412300"</f>
        <v>412300</v>
      </c>
      <c r="B341" s="2" t="s">
        <v>337</v>
      </c>
      <c r="C341" s="3">
        <v>186643034</v>
      </c>
      <c r="D341" s="3">
        <v>194162957</v>
      </c>
      <c r="E341" s="2">
        <v>4.03</v>
      </c>
      <c r="F341" s="3">
        <v>30005865</v>
      </c>
      <c r="G341" s="3">
        <v>30005865</v>
      </c>
      <c r="H341" s="3"/>
      <c r="I341" s="3"/>
      <c r="J341" s="3"/>
      <c r="K341" s="3"/>
      <c r="L341" s="3"/>
      <c r="M341" s="3"/>
      <c r="N341" s="3">
        <v>30005865</v>
      </c>
      <c r="O341" s="3">
        <v>30005865</v>
      </c>
      <c r="P341" s="2">
        <v>0</v>
      </c>
      <c r="Q341" s="3">
        <v>0</v>
      </c>
      <c r="R341" s="3">
        <v>0</v>
      </c>
      <c r="S341" s="3">
        <v>30921962</v>
      </c>
      <c r="T341" s="3">
        <v>31942756</v>
      </c>
      <c r="U341" s="3">
        <v>30005865</v>
      </c>
      <c r="V341" s="3">
        <v>30005865</v>
      </c>
      <c r="W341" s="3">
        <v>916097</v>
      </c>
      <c r="X341" s="3">
        <v>1936891</v>
      </c>
      <c r="Y341" s="2">
        <v>10651</v>
      </c>
      <c r="Z341" s="2">
        <v>10700</v>
      </c>
      <c r="AA341" s="2">
        <v>0.46</v>
      </c>
      <c r="AB341" s="3">
        <v>26480959</v>
      </c>
      <c r="AC341" s="3">
        <v>26488959</v>
      </c>
      <c r="AD341" s="3">
        <v>2133130</v>
      </c>
      <c r="AE341" s="3">
        <v>1500000</v>
      </c>
      <c r="AF341" s="3">
        <v>15329413</v>
      </c>
      <c r="AG341" s="3">
        <v>14000000</v>
      </c>
      <c r="AH341" s="2">
        <v>8.2100000000000009</v>
      </c>
      <c r="AI341" s="5">
        <v>7.21</v>
      </c>
    </row>
    <row r="342" spans="1:35" x14ac:dyDescent="0.3">
      <c r="A342" s="4" t="str">
        <f>"412801"</f>
        <v>412801</v>
      </c>
      <c r="B342" s="2" t="s">
        <v>338</v>
      </c>
      <c r="C342" s="3">
        <v>23134442</v>
      </c>
      <c r="D342" s="3">
        <v>23643089</v>
      </c>
      <c r="E342" s="2">
        <v>2.2000000000000002</v>
      </c>
      <c r="F342" s="3">
        <v>8334655</v>
      </c>
      <c r="G342" s="3">
        <v>8490526</v>
      </c>
      <c r="H342" s="3"/>
      <c r="I342" s="3"/>
      <c r="J342" s="3"/>
      <c r="K342" s="3"/>
      <c r="L342" s="3"/>
      <c r="M342" s="3"/>
      <c r="N342" s="3">
        <v>8334655</v>
      </c>
      <c r="O342" s="3">
        <v>8490526</v>
      </c>
      <c r="P342" s="2">
        <v>1.87</v>
      </c>
      <c r="Q342" s="3">
        <v>0</v>
      </c>
      <c r="R342" s="3">
        <v>0</v>
      </c>
      <c r="S342" s="3">
        <v>8620520</v>
      </c>
      <c r="T342" s="3">
        <v>8686287</v>
      </c>
      <c r="U342" s="3">
        <v>8334655</v>
      </c>
      <c r="V342" s="3">
        <v>8490526</v>
      </c>
      <c r="W342" s="3">
        <v>285865</v>
      </c>
      <c r="X342" s="3">
        <v>195761</v>
      </c>
      <c r="Y342" s="2">
        <v>849</v>
      </c>
      <c r="Z342" s="2">
        <v>846</v>
      </c>
      <c r="AA342" s="2">
        <v>-0.35</v>
      </c>
      <c r="AB342" s="3">
        <v>3132588</v>
      </c>
      <c r="AC342" s="3">
        <v>3776004</v>
      </c>
      <c r="AD342" s="3">
        <v>1413920</v>
      </c>
      <c r="AE342" s="3">
        <v>1100000</v>
      </c>
      <c r="AF342" s="3">
        <v>925377</v>
      </c>
      <c r="AG342" s="3">
        <v>945723</v>
      </c>
      <c r="AH342" s="2">
        <v>4</v>
      </c>
      <c r="AI342" s="5">
        <v>4</v>
      </c>
    </row>
    <row r="343" spans="1:35" x14ac:dyDescent="0.3">
      <c r="A343" s="4" t="str">
        <f>"412901"</f>
        <v>412901</v>
      </c>
      <c r="B343" s="2" t="s">
        <v>339</v>
      </c>
      <c r="C343" s="3">
        <v>15785704</v>
      </c>
      <c r="D343" s="3">
        <v>16325098</v>
      </c>
      <c r="E343" s="2">
        <v>3.42</v>
      </c>
      <c r="F343" s="3">
        <v>6158000</v>
      </c>
      <c r="G343" s="3">
        <v>6331405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6158000</v>
      </c>
      <c r="O343" s="3">
        <v>6331405</v>
      </c>
      <c r="P343" s="2">
        <v>2.82</v>
      </c>
      <c r="Q343" s="3">
        <v>217037</v>
      </c>
      <c r="R343" s="3">
        <v>301618</v>
      </c>
      <c r="S343" s="3">
        <v>6188007</v>
      </c>
      <c r="T343" s="3">
        <v>6029787</v>
      </c>
      <c r="U343" s="3">
        <v>5940963</v>
      </c>
      <c r="V343" s="3">
        <v>6029787</v>
      </c>
      <c r="W343" s="3">
        <v>247044</v>
      </c>
      <c r="X343" s="3">
        <v>0</v>
      </c>
      <c r="Y343" s="2">
        <v>593</v>
      </c>
      <c r="Z343" s="2">
        <v>593</v>
      </c>
      <c r="AA343" s="2">
        <v>0</v>
      </c>
      <c r="AB343" s="3">
        <v>5641680</v>
      </c>
      <c r="AC343" s="3">
        <v>5641680</v>
      </c>
      <c r="AD343" s="3">
        <v>1526372</v>
      </c>
      <c r="AE343" s="3">
        <v>1680164</v>
      </c>
      <c r="AF343" s="3">
        <v>762136</v>
      </c>
      <c r="AG343" s="3">
        <v>564102</v>
      </c>
      <c r="AH343" s="2">
        <v>4.83</v>
      </c>
      <c r="AI343" s="5">
        <v>3.46</v>
      </c>
    </row>
    <row r="344" spans="1:35" x14ac:dyDescent="0.3">
      <c r="A344" s="4" t="str">
        <f>"412902"</f>
        <v>412902</v>
      </c>
      <c r="B344" s="2" t="s">
        <v>340</v>
      </c>
      <c r="C344" s="3">
        <v>71801276</v>
      </c>
      <c r="D344" s="3">
        <v>74702240</v>
      </c>
      <c r="E344" s="2">
        <v>4.04</v>
      </c>
      <c r="F344" s="3">
        <v>32691201</v>
      </c>
      <c r="G344" s="3">
        <v>33333587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32691201</v>
      </c>
      <c r="O344" s="3">
        <v>33333587</v>
      </c>
      <c r="P344" s="2">
        <v>1.97</v>
      </c>
      <c r="Q344" s="3">
        <v>1228241</v>
      </c>
      <c r="R344" s="3">
        <v>1228585</v>
      </c>
      <c r="S344" s="3">
        <v>31494166</v>
      </c>
      <c r="T344" s="3">
        <v>32105002</v>
      </c>
      <c r="U344" s="3">
        <v>31462960</v>
      </c>
      <c r="V344" s="3">
        <v>32105002</v>
      </c>
      <c r="W344" s="3">
        <v>31206</v>
      </c>
      <c r="X344" s="3">
        <v>0</v>
      </c>
      <c r="Y344" s="2">
        <v>3062</v>
      </c>
      <c r="Z344" s="2">
        <v>3038</v>
      </c>
      <c r="AA344" s="2">
        <v>-0.78</v>
      </c>
      <c r="AB344" s="3">
        <v>7187975</v>
      </c>
      <c r="AC344" s="3">
        <v>7687975</v>
      </c>
      <c r="AD344" s="3">
        <v>4850000</v>
      </c>
      <c r="AE344" s="3">
        <v>4800000</v>
      </c>
      <c r="AF344" s="3">
        <v>2837975</v>
      </c>
      <c r="AG344" s="3">
        <v>2950739</v>
      </c>
      <c r="AH344" s="2">
        <v>3.95</v>
      </c>
      <c r="AI344" s="5">
        <v>3.95</v>
      </c>
    </row>
    <row r="345" spans="1:35" x14ac:dyDescent="0.3">
      <c r="A345" s="4" t="str">
        <f>"420101"</f>
        <v>420101</v>
      </c>
      <c r="B345" s="2" t="s">
        <v>341</v>
      </c>
      <c r="C345" s="3">
        <v>92199225</v>
      </c>
      <c r="D345" s="3">
        <v>92895256</v>
      </c>
      <c r="E345" s="2">
        <v>0.75</v>
      </c>
      <c r="F345" s="3">
        <v>51502030</v>
      </c>
      <c r="G345" s="3">
        <v>52496485</v>
      </c>
      <c r="H345" s="3"/>
      <c r="I345" s="3"/>
      <c r="J345" s="3"/>
      <c r="K345" s="3"/>
      <c r="L345" s="3">
        <v>0</v>
      </c>
      <c r="M345" s="3">
        <v>0</v>
      </c>
      <c r="N345" s="3">
        <v>51502030</v>
      </c>
      <c r="O345" s="3">
        <v>52496485</v>
      </c>
      <c r="P345" s="2">
        <v>1.19</v>
      </c>
      <c r="Q345" s="3">
        <v>1554331</v>
      </c>
      <c r="R345" s="3">
        <v>1637349</v>
      </c>
      <c r="S345" s="3">
        <v>49947699</v>
      </c>
      <c r="T345" s="3">
        <v>50859136</v>
      </c>
      <c r="U345" s="3">
        <v>49947699</v>
      </c>
      <c r="V345" s="3">
        <v>50859136</v>
      </c>
      <c r="W345" s="3">
        <v>0</v>
      </c>
      <c r="X345" s="3">
        <v>0</v>
      </c>
      <c r="Y345" s="2">
        <v>4349</v>
      </c>
      <c r="Z345" s="2">
        <v>4349</v>
      </c>
      <c r="AA345" s="2">
        <v>0</v>
      </c>
      <c r="AB345" s="3">
        <v>6432386</v>
      </c>
      <c r="AC345" s="3">
        <v>7066507</v>
      </c>
      <c r="AD345" s="3">
        <v>1400000</v>
      </c>
      <c r="AE345" s="3">
        <v>800000</v>
      </c>
      <c r="AF345" s="3">
        <v>3687761</v>
      </c>
      <c r="AG345" s="3">
        <v>3715810</v>
      </c>
      <c r="AH345" s="2">
        <v>4</v>
      </c>
      <c r="AI345" s="5">
        <v>4</v>
      </c>
    </row>
    <row r="346" spans="1:35" x14ac:dyDescent="0.3">
      <c r="A346" s="4" t="str">
        <f>"420303"</f>
        <v>420303</v>
      </c>
      <c r="B346" s="2" t="s">
        <v>342</v>
      </c>
      <c r="C346" s="3">
        <v>172567744</v>
      </c>
      <c r="D346" s="3">
        <v>180258175</v>
      </c>
      <c r="E346" s="2">
        <v>4.46</v>
      </c>
      <c r="F346" s="3">
        <v>92544955</v>
      </c>
      <c r="G346" s="3">
        <v>95365432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92544955</v>
      </c>
      <c r="O346" s="3">
        <v>95365432</v>
      </c>
      <c r="P346" s="2">
        <v>3.05</v>
      </c>
      <c r="Q346" s="3">
        <v>0</v>
      </c>
      <c r="R346" s="3">
        <v>0</v>
      </c>
      <c r="S346" s="3">
        <v>92544955</v>
      </c>
      <c r="T346" s="3">
        <v>95365432</v>
      </c>
      <c r="U346" s="3">
        <v>92544955</v>
      </c>
      <c r="V346" s="3">
        <v>95365432</v>
      </c>
      <c r="W346" s="3">
        <v>0</v>
      </c>
      <c r="X346" s="3">
        <v>0</v>
      </c>
      <c r="Y346" s="2">
        <v>8074</v>
      </c>
      <c r="Z346" s="2">
        <v>7909</v>
      </c>
      <c r="AA346" s="2">
        <v>-2.04</v>
      </c>
      <c r="AB346" s="3">
        <v>9723894</v>
      </c>
      <c r="AC346" s="3">
        <v>9723894</v>
      </c>
      <c r="AD346" s="3">
        <v>5000000</v>
      </c>
      <c r="AE346" s="3">
        <v>5000000</v>
      </c>
      <c r="AF346" s="3">
        <v>9768818</v>
      </c>
      <c r="AG346" s="3">
        <v>12109791</v>
      </c>
      <c r="AH346" s="2">
        <v>5.66</v>
      </c>
      <c r="AI346" s="5">
        <v>6.72</v>
      </c>
    </row>
    <row r="347" spans="1:35" x14ac:dyDescent="0.3">
      <c r="A347" s="4" t="str">
        <f>"420401"</f>
        <v>420401</v>
      </c>
      <c r="B347" s="2" t="s">
        <v>343</v>
      </c>
      <c r="C347" s="3">
        <v>84149032</v>
      </c>
      <c r="D347" s="3">
        <v>88012248</v>
      </c>
      <c r="E347" s="2">
        <v>4.59</v>
      </c>
      <c r="F347" s="3">
        <v>48987712</v>
      </c>
      <c r="G347" s="3">
        <v>50264643</v>
      </c>
      <c r="H347" s="3">
        <v>0</v>
      </c>
      <c r="I347" s="3"/>
      <c r="J347" s="3">
        <v>0</v>
      </c>
      <c r="K347" s="3"/>
      <c r="L347" s="3">
        <v>0</v>
      </c>
      <c r="M347" s="3"/>
      <c r="N347" s="3">
        <v>48987712</v>
      </c>
      <c r="O347" s="3">
        <v>50264643</v>
      </c>
      <c r="P347" s="2">
        <v>2.61</v>
      </c>
      <c r="Q347" s="3">
        <v>1144047</v>
      </c>
      <c r="R347" s="3">
        <v>1195102</v>
      </c>
      <c r="S347" s="3">
        <v>47843665</v>
      </c>
      <c r="T347" s="3">
        <v>49169541</v>
      </c>
      <c r="U347" s="3">
        <v>47843665</v>
      </c>
      <c r="V347" s="3">
        <v>49069541</v>
      </c>
      <c r="W347" s="3">
        <v>0</v>
      </c>
      <c r="X347" s="3">
        <v>100000</v>
      </c>
      <c r="Y347" s="2">
        <v>3385</v>
      </c>
      <c r="Z347" s="2">
        <v>3366</v>
      </c>
      <c r="AA347" s="2">
        <v>-0.56000000000000005</v>
      </c>
      <c r="AB347" s="3">
        <v>6486647</v>
      </c>
      <c r="AC347" s="3">
        <v>6551514</v>
      </c>
      <c r="AD347" s="3">
        <v>500000</v>
      </c>
      <c r="AE347" s="3">
        <v>500000</v>
      </c>
      <c r="AF347" s="3">
        <v>3365961</v>
      </c>
      <c r="AG347" s="3">
        <v>3520490</v>
      </c>
      <c r="AH347" s="2">
        <v>4</v>
      </c>
      <c r="AI347" s="5">
        <v>4</v>
      </c>
    </row>
    <row r="348" spans="1:35" x14ac:dyDescent="0.3">
      <c r="A348" s="4" t="str">
        <f>"420411"</f>
        <v>420411</v>
      </c>
      <c r="B348" s="2" t="s">
        <v>344</v>
      </c>
      <c r="C348" s="3">
        <v>58640975</v>
      </c>
      <c r="D348" s="3">
        <v>60179653</v>
      </c>
      <c r="E348" s="2">
        <v>2.62</v>
      </c>
      <c r="F348" s="3">
        <v>42226394</v>
      </c>
      <c r="G348" s="3">
        <v>42178539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42226394</v>
      </c>
      <c r="O348" s="3">
        <v>42178539</v>
      </c>
      <c r="P348" s="2">
        <v>-0.11</v>
      </c>
      <c r="Q348" s="3">
        <v>2085039</v>
      </c>
      <c r="R348" s="3">
        <v>1445574</v>
      </c>
      <c r="S348" s="3">
        <v>40141355</v>
      </c>
      <c r="T348" s="3">
        <v>40732965</v>
      </c>
      <c r="U348" s="3">
        <v>40141355</v>
      </c>
      <c r="V348" s="3">
        <v>40732965</v>
      </c>
      <c r="W348" s="3">
        <v>0</v>
      </c>
      <c r="X348" s="3">
        <v>0</v>
      </c>
      <c r="Y348" s="2">
        <v>2694</v>
      </c>
      <c r="Z348" s="2">
        <v>2584</v>
      </c>
      <c r="AA348" s="2">
        <v>-4.08</v>
      </c>
      <c r="AB348" s="3">
        <v>1249936</v>
      </c>
      <c r="AC348" s="3">
        <v>1300000</v>
      </c>
      <c r="AD348" s="3">
        <v>915362</v>
      </c>
      <c r="AE348" s="3">
        <v>896619</v>
      </c>
      <c r="AF348" s="3">
        <v>2308473</v>
      </c>
      <c r="AG348" s="3">
        <v>2932719</v>
      </c>
      <c r="AH348" s="2">
        <v>3.94</v>
      </c>
      <c r="AI348" s="5">
        <v>4.87</v>
      </c>
    </row>
    <row r="349" spans="1:35" x14ac:dyDescent="0.3">
      <c r="A349" s="4" t="str">
        <f>"420501"</f>
        <v>420501</v>
      </c>
      <c r="B349" s="2" t="s">
        <v>345</v>
      </c>
      <c r="C349" s="3">
        <v>31390000</v>
      </c>
      <c r="D349" s="3">
        <v>33812000</v>
      </c>
      <c r="E349" s="2">
        <v>7.72</v>
      </c>
      <c r="F349" s="3">
        <v>12497287</v>
      </c>
      <c r="G349" s="3">
        <v>12497287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12497287</v>
      </c>
      <c r="O349" s="3">
        <v>12497287</v>
      </c>
      <c r="P349" s="2">
        <v>0</v>
      </c>
      <c r="Q349" s="3">
        <v>107095</v>
      </c>
      <c r="R349" s="3">
        <v>104866</v>
      </c>
      <c r="S349" s="3">
        <v>12398091</v>
      </c>
      <c r="T349" s="3">
        <v>12571250</v>
      </c>
      <c r="U349" s="3">
        <v>12390192</v>
      </c>
      <c r="V349" s="3">
        <v>12392421</v>
      </c>
      <c r="W349" s="3">
        <v>7899</v>
      </c>
      <c r="X349" s="3">
        <v>178829</v>
      </c>
      <c r="Y349" s="2">
        <v>1107</v>
      </c>
      <c r="Z349" s="2">
        <v>1093</v>
      </c>
      <c r="AA349" s="2">
        <v>-1.26</v>
      </c>
      <c r="AB349" s="3">
        <v>4639028</v>
      </c>
      <c r="AC349" s="3">
        <v>6646868</v>
      </c>
      <c r="AD349" s="3">
        <v>2138000</v>
      </c>
      <c r="AE349" s="3">
        <v>3000000</v>
      </c>
      <c r="AF349" s="3">
        <v>1343390</v>
      </c>
      <c r="AG349" s="3">
        <v>1353483</v>
      </c>
      <c r="AH349" s="2">
        <v>4.28</v>
      </c>
      <c r="AI349" s="5">
        <v>4</v>
      </c>
    </row>
    <row r="350" spans="1:35" x14ac:dyDescent="0.3">
      <c r="A350" s="4" t="str">
        <f>"420601"</f>
        <v>420601</v>
      </c>
      <c r="B350" s="2" t="s">
        <v>346</v>
      </c>
      <c r="C350" s="3">
        <v>19650414</v>
      </c>
      <c r="D350" s="3">
        <v>20035232</v>
      </c>
      <c r="E350" s="2">
        <v>1.96</v>
      </c>
      <c r="F350" s="3">
        <v>8771957</v>
      </c>
      <c r="G350" s="3">
        <v>8877220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8771957</v>
      </c>
      <c r="O350" s="3">
        <v>8877220</v>
      </c>
      <c r="P350" s="2">
        <v>1.2</v>
      </c>
      <c r="Q350" s="3">
        <v>0</v>
      </c>
      <c r="R350" s="3">
        <v>0</v>
      </c>
      <c r="S350" s="3">
        <v>8808573</v>
      </c>
      <c r="T350" s="3">
        <v>8820579</v>
      </c>
      <c r="U350" s="3">
        <v>8771957</v>
      </c>
      <c r="V350" s="3">
        <v>8877220</v>
      </c>
      <c r="W350" s="3">
        <v>36616</v>
      </c>
      <c r="X350" s="3">
        <v>-56641</v>
      </c>
      <c r="Y350" s="2">
        <v>622</v>
      </c>
      <c r="Z350" s="2">
        <v>630</v>
      </c>
      <c r="AA350" s="2">
        <v>1.29</v>
      </c>
      <c r="AB350" s="3">
        <v>2060864</v>
      </c>
      <c r="AC350" s="3">
        <v>2060864</v>
      </c>
      <c r="AD350" s="3">
        <v>620964</v>
      </c>
      <c r="AE350" s="3">
        <v>500000</v>
      </c>
      <c r="AF350" s="3">
        <v>786017</v>
      </c>
      <c r="AG350" s="3">
        <v>802000</v>
      </c>
      <c r="AH350" s="2">
        <v>4</v>
      </c>
      <c r="AI350" s="5">
        <v>4</v>
      </c>
    </row>
    <row r="351" spans="1:35" x14ac:dyDescent="0.3">
      <c r="A351" s="4" t="str">
        <f>"420701"</f>
        <v>420701</v>
      </c>
      <c r="B351" s="2" t="s">
        <v>347</v>
      </c>
      <c r="C351" s="3">
        <v>40704000</v>
      </c>
      <c r="D351" s="3">
        <v>41671857</v>
      </c>
      <c r="E351" s="2">
        <v>2.38</v>
      </c>
      <c r="F351" s="3">
        <v>22372917</v>
      </c>
      <c r="G351" s="3">
        <v>22671557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22372917</v>
      </c>
      <c r="O351" s="3">
        <v>22671557</v>
      </c>
      <c r="P351" s="2">
        <v>1.33</v>
      </c>
      <c r="Q351" s="3">
        <v>1132387</v>
      </c>
      <c r="R351" s="3">
        <v>1135796</v>
      </c>
      <c r="S351" s="3">
        <v>21240530</v>
      </c>
      <c r="T351" s="3">
        <v>21535761</v>
      </c>
      <c r="U351" s="3">
        <v>21240530</v>
      </c>
      <c r="V351" s="3">
        <v>21535761</v>
      </c>
      <c r="W351" s="3">
        <v>0</v>
      </c>
      <c r="X351" s="3">
        <v>0</v>
      </c>
      <c r="Y351" s="2">
        <v>1818</v>
      </c>
      <c r="Z351" s="2">
        <v>1729</v>
      </c>
      <c r="AA351" s="2">
        <v>-4.9000000000000004</v>
      </c>
      <c r="AB351" s="3">
        <v>3476402</v>
      </c>
      <c r="AC351" s="3">
        <v>3408618</v>
      </c>
      <c r="AD351" s="3">
        <v>2158163</v>
      </c>
      <c r="AE351" s="3">
        <v>2460181</v>
      </c>
      <c r="AF351" s="3">
        <v>3529824</v>
      </c>
      <c r="AG351" s="3">
        <v>3924452</v>
      </c>
      <c r="AH351" s="2">
        <v>8.67</v>
      </c>
      <c r="AI351" s="5">
        <v>9.42</v>
      </c>
    </row>
    <row r="352" spans="1:35" x14ac:dyDescent="0.3">
      <c r="A352" s="4" t="str">
        <f>"420702"</f>
        <v>420702</v>
      </c>
      <c r="B352" s="2" t="s">
        <v>348</v>
      </c>
      <c r="C352" s="3">
        <v>35100000</v>
      </c>
      <c r="D352" s="3">
        <v>36765000</v>
      </c>
      <c r="E352" s="2">
        <v>4.74</v>
      </c>
      <c r="F352" s="3">
        <v>15520000</v>
      </c>
      <c r="G352" s="3">
        <v>15825000</v>
      </c>
      <c r="H352" s="3"/>
      <c r="I352" s="3"/>
      <c r="J352" s="3"/>
      <c r="K352" s="3"/>
      <c r="L352" s="3"/>
      <c r="M352" s="3"/>
      <c r="N352" s="3">
        <v>15520000</v>
      </c>
      <c r="O352" s="3">
        <v>15825000</v>
      </c>
      <c r="P352" s="2">
        <v>1.97</v>
      </c>
      <c r="Q352" s="3">
        <v>525872</v>
      </c>
      <c r="R352" s="3">
        <v>592009</v>
      </c>
      <c r="S352" s="3">
        <v>14997053</v>
      </c>
      <c r="T352" s="3">
        <v>15233939</v>
      </c>
      <c r="U352" s="3">
        <v>14994128</v>
      </c>
      <c r="V352" s="3">
        <v>15232991</v>
      </c>
      <c r="W352" s="3">
        <v>2925</v>
      </c>
      <c r="X352" s="3">
        <v>948</v>
      </c>
      <c r="Y352" s="2">
        <v>1450</v>
      </c>
      <c r="Z352" s="2">
        <v>1425</v>
      </c>
      <c r="AA352" s="2">
        <v>-1.72</v>
      </c>
      <c r="AB352" s="3">
        <v>8002790</v>
      </c>
      <c r="AC352" s="3">
        <v>7850000</v>
      </c>
      <c r="AD352" s="3">
        <v>1724018</v>
      </c>
      <c r="AE352" s="3">
        <v>1600000</v>
      </c>
      <c r="AF352" s="3">
        <v>3006516</v>
      </c>
      <c r="AG352" s="3">
        <v>2500000</v>
      </c>
      <c r="AH352" s="2">
        <v>8.57</v>
      </c>
      <c r="AI352" s="5">
        <v>6.8</v>
      </c>
    </row>
    <row r="353" spans="1:35" x14ac:dyDescent="0.3">
      <c r="A353" s="4" t="str">
        <f>"420807"</f>
        <v>420807</v>
      </c>
      <c r="B353" s="2" t="s">
        <v>349</v>
      </c>
      <c r="C353" s="3">
        <v>20324251</v>
      </c>
      <c r="D353" s="3">
        <v>20631885</v>
      </c>
      <c r="E353" s="2">
        <v>1.51</v>
      </c>
      <c r="F353" s="3">
        <v>6327190</v>
      </c>
      <c r="G353" s="3">
        <v>6466481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6327190</v>
      </c>
      <c r="O353" s="3">
        <v>6466481</v>
      </c>
      <c r="P353" s="2">
        <v>2.2000000000000002</v>
      </c>
      <c r="Q353" s="3">
        <v>333902</v>
      </c>
      <c r="R353" s="3">
        <v>376919</v>
      </c>
      <c r="S353" s="3">
        <v>5997340</v>
      </c>
      <c r="T353" s="3">
        <v>6090704</v>
      </c>
      <c r="U353" s="3">
        <v>5993288</v>
      </c>
      <c r="V353" s="3">
        <v>6089562</v>
      </c>
      <c r="W353" s="3">
        <v>4052</v>
      </c>
      <c r="X353" s="3">
        <v>1142</v>
      </c>
      <c r="Y353" s="2">
        <v>792</v>
      </c>
      <c r="Z353" s="2">
        <v>798</v>
      </c>
      <c r="AA353" s="2">
        <v>0.76</v>
      </c>
      <c r="AB353" s="3">
        <v>5708561</v>
      </c>
      <c r="AC353" s="3">
        <v>4700000</v>
      </c>
      <c r="AD353" s="3">
        <v>648931</v>
      </c>
      <c r="AE353" s="3">
        <v>650000</v>
      </c>
      <c r="AF353" s="3">
        <v>788005</v>
      </c>
      <c r="AG353" s="3">
        <v>815000</v>
      </c>
      <c r="AH353" s="2">
        <v>3.88</v>
      </c>
      <c r="AI353" s="5">
        <v>3.95</v>
      </c>
    </row>
    <row r="354" spans="1:35" x14ac:dyDescent="0.3">
      <c r="A354" s="4" t="str">
        <f>"420901"</f>
        <v>420901</v>
      </c>
      <c r="B354" s="2" t="s">
        <v>350</v>
      </c>
      <c r="C354" s="3">
        <v>112259824</v>
      </c>
      <c r="D354" s="3">
        <v>114375039</v>
      </c>
      <c r="E354" s="2">
        <v>1.88</v>
      </c>
      <c r="F354" s="3">
        <v>58965771</v>
      </c>
      <c r="G354" s="3">
        <v>60182572</v>
      </c>
      <c r="H354" s="3"/>
      <c r="I354" s="3"/>
      <c r="J354" s="3"/>
      <c r="K354" s="3"/>
      <c r="L354" s="3"/>
      <c r="M354" s="3"/>
      <c r="N354" s="3">
        <v>58965771</v>
      </c>
      <c r="O354" s="3">
        <v>60182572</v>
      </c>
      <c r="P354" s="2">
        <v>2.06</v>
      </c>
      <c r="Q354" s="3">
        <v>433828</v>
      </c>
      <c r="R354" s="3">
        <v>561040</v>
      </c>
      <c r="S354" s="3">
        <v>58531943</v>
      </c>
      <c r="T354" s="3">
        <v>59621532</v>
      </c>
      <c r="U354" s="3">
        <v>58531943</v>
      </c>
      <c r="V354" s="3">
        <v>59621532</v>
      </c>
      <c r="W354" s="3">
        <v>0</v>
      </c>
      <c r="X354" s="3">
        <v>0</v>
      </c>
      <c r="Y354" s="2">
        <v>5410</v>
      </c>
      <c r="Z354" s="2">
        <v>5410</v>
      </c>
      <c r="AA354" s="2">
        <v>0</v>
      </c>
      <c r="AB354" s="3">
        <v>30432494</v>
      </c>
      <c r="AC354" s="3">
        <v>30432494</v>
      </c>
      <c r="AD354" s="3">
        <v>2604365</v>
      </c>
      <c r="AE354" s="3">
        <v>2604365</v>
      </c>
      <c r="AF354" s="3">
        <v>5333028</v>
      </c>
      <c r="AG354" s="3">
        <v>4575002</v>
      </c>
      <c r="AH354" s="2">
        <v>4.75</v>
      </c>
      <c r="AI354" s="5">
        <v>4</v>
      </c>
    </row>
    <row r="355" spans="1:35" x14ac:dyDescent="0.3">
      <c r="A355" s="4" t="str">
        <f>"421001"</f>
        <v>421001</v>
      </c>
      <c r="B355" s="2" t="s">
        <v>351</v>
      </c>
      <c r="C355" s="3">
        <v>88298298</v>
      </c>
      <c r="D355" s="3">
        <v>93417637</v>
      </c>
      <c r="E355" s="2">
        <v>5.8</v>
      </c>
      <c r="F355" s="3">
        <v>65592550</v>
      </c>
      <c r="G355" s="3">
        <v>66324264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65592550</v>
      </c>
      <c r="O355" s="3">
        <v>66324264</v>
      </c>
      <c r="P355" s="2">
        <v>1.1200000000000001</v>
      </c>
      <c r="Q355" s="3">
        <v>1165115</v>
      </c>
      <c r="R355" s="3">
        <v>747816</v>
      </c>
      <c r="S355" s="3">
        <v>64427435</v>
      </c>
      <c r="T355" s="3">
        <v>65576448</v>
      </c>
      <c r="U355" s="3">
        <v>64427435</v>
      </c>
      <c r="V355" s="3">
        <v>65576448</v>
      </c>
      <c r="W355" s="3">
        <v>0</v>
      </c>
      <c r="X355" s="3">
        <v>0</v>
      </c>
      <c r="Y355" s="2">
        <v>4268</v>
      </c>
      <c r="Z355" s="2">
        <v>4260</v>
      </c>
      <c r="AA355" s="2">
        <v>-0.19</v>
      </c>
      <c r="AB355" s="3">
        <v>18463433</v>
      </c>
      <c r="AC355" s="3">
        <v>18463433</v>
      </c>
      <c r="AD355" s="3">
        <v>840000</v>
      </c>
      <c r="AE355" s="3">
        <v>750000</v>
      </c>
      <c r="AF355" s="3">
        <v>3525000</v>
      </c>
      <c r="AG355" s="3">
        <v>3735000</v>
      </c>
      <c r="AH355" s="2">
        <v>3.99</v>
      </c>
      <c r="AI355" s="5">
        <v>4</v>
      </c>
    </row>
    <row r="356" spans="1:35" x14ac:dyDescent="0.3">
      <c r="A356" s="4" t="str">
        <f>"421101"</f>
        <v>421101</v>
      </c>
      <c r="B356" s="2" t="s">
        <v>352</v>
      </c>
      <c r="C356" s="3">
        <v>37844964</v>
      </c>
      <c r="D356" s="3">
        <v>38456593</v>
      </c>
      <c r="E356" s="2">
        <v>1.62</v>
      </c>
      <c r="F356" s="3">
        <v>20236694</v>
      </c>
      <c r="G356" s="3">
        <v>20589540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20236694</v>
      </c>
      <c r="O356" s="3">
        <v>20589540</v>
      </c>
      <c r="P356" s="2">
        <v>1.74</v>
      </c>
      <c r="Q356" s="3">
        <v>1179489</v>
      </c>
      <c r="R356" s="3">
        <v>1215989</v>
      </c>
      <c r="S356" s="3">
        <v>19057205</v>
      </c>
      <c r="T356" s="3">
        <v>19373551</v>
      </c>
      <c r="U356" s="3">
        <v>19057205</v>
      </c>
      <c r="V356" s="3">
        <v>19373551</v>
      </c>
      <c r="W356" s="3">
        <v>0</v>
      </c>
      <c r="X356" s="3">
        <v>0</v>
      </c>
      <c r="Y356" s="2">
        <v>1450</v>
      </c>
      <c r="Z356" s="2">
        <v>1430</v>
      </c>
      <c r="AA356" s="2">
        <v>-1.38</v>
      </c>
      <c r="AB356" s="3">
        <v>2991160</v>
      </c>
      <c r="AC356" s="3">
        <v>2991160</v>
      </c>
      <c r="AD356" s="3">
        <v>1506282</v>
      </c>
      <c r="AE356" s="3">
        <v>1506282</v>
      </c>
      <c r="AF356" s="3">
        <v>913511</v>
      </c>
      <c r="AG356" s="3">
        <v>1538263</v>
      </c>
      <c r="AH356" s="2">
        <v>2.41</v>
      </c>
      <c r="AI356" s="5">
        <v>4</v>
      </c>
    </row>
    <row r="357" spans="1:35" x14ac:dyDescent="0.3">
      <c r="A357" s="4" t="str">
        <f>"421201"</f>
        <v>421201</v>
      </c>
      <c r="B357" s="2" t="s">
        <v>353</v>
      </c>
      <c r="C357" s="3">
        <v>22599385</v>
      </c>
      <c r="D357" s="3">
        <v>23190109</v>
      </c>
      <c r="E357" s="2">
        <v>2.61</v>
      </c>
      <c r="F357" s="3">
        <v>10219317</v>
      </c>
      <c r="G357" s="3">
        <v>10422681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10219317</v>
      </c>
      <c r="O357" s="3">
        <v>10422681</v>
      </c>
      <c r="P357" s="2">
        <v>1.99</v>
      </c>
      <c r="Q357" s="3">
        <v>222198</v>
      </c>
      <c r="R357" s="3">
        <v>295760</v>
      </c>
      <c r="S357" s="3">
        <v>10005270</v>
      </c>
      <c r="T357" s="3">
        <v>10126921</v>
      </c>
      <c r="U357" s="3">
        <v>9997119</v>
      </c>
      <c r="V357" s="3">
        <v>10126921</v>
      </c>
      <c r="W357" s="3">
        <v>8151</v>
      </c>
      <c r="X357" s="3">
        <v>0</v>
      </c>
      <c r="Y357" s="2">
        <v>850</v>
      </c>
      <c r="Z357" s="2">
        <v>845</v>
      </c>
      <c r="AA357" s="2">
        <v>-0.59</v>
      </c>
      <c r="AB357" s="3">
        <v>2638996</v>
      </c>
      <c r="AC357" s="3">
        <v>2888996</v>
      </c>
      <c r="AD357" s="3">
        <v>843748</v>
      </c>
      <c r="AE357" s="3">
        <v>929489</v>
      </c>
      <c r="AF357" s="3">
        <v>1470904</v>
      </c>
      <c r="AG357" s="3">
        <v>927604</v>
      </c>
      <c r="AH357" s="2">
        <v>6.51</v>
      </c>
      <c r="AI357" s="5">
        <v>4</v>
      </c>
    </row>
    <row r="358" spans="1:35" x14ac:dyDescent="0.3">
      <c r="A358" s="4" t="str">
        <f>"421501"</f>
        <v>421501</v>
      </c>
      <c r="B358" s="2" t="s">
        <v>354</v>
      </c>
      <c r="C358" s="3">
        <v>166173358</v>
      </c>
      <c r="D358" s="3">
        <v>168363709</v>
      </c>
      <c r="E358" s="2">
        <v>1.32</v>
      </c>
      <c r="F358" s="3">
        <v>89870437</v>
      </c>
      <c r="G358" s="3">
        <v>90640892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89870437</v>
      </c>
      <c r="O358" s="3">
        <v>90640892</v>
      </c>
      <c r="P358" s="2">
        <v>0.86</v>
      </c>
      <c r="Q358" s="3">
        <v>4560370</v>
      </c>
      <c r="R358" s="3">
        <v>3828873</v>
      </c>
      <c r="S358" s="3">
        <v>85310067</v>
      </c>
      <c r="T358" s="3">
        <v>86812019</v>
      </c>
      <c r="U358" s="3">
        <v>85310067</v>
      </c>
      <c r="V358" s="3">
        <v>86812019</v>
      </c>
      <c r="W358" s="3">
        <v>0</v>
      </c>
      <c r="X358" s="3">
        <v>0</v>
      </c>
      <c r="Y358" s="2">
        <v>6992</v>
      </c>
      <c r="Z358" s="2">
        <v>6889</v>
      </c>
      <c r="AA358" s="2">
        <v>-1.47</v>
      </c>
      <c r="AB358" s="3">
        <v>21436530</v>
      </c>
      <c r="AC358" s="3">
        <v>25414938</v>
      </c>
      <c r="AD358" s="3">
        <v>5312744</v>
      </c>
      <c r="AE358" s="3">
        <v>3876101</v>
      </c>
      <c r="AF358" s="3">
        <v>6966083</v>
      </c>
      <c r="AG358" s="3">
        <v>6734548</v>
      </c>
      <c r="AH358" s="2">
        <v>4.1900000000000004</v>
      </c>
      <c r="AI358" s="5">
        <v>4</v>
      </c>
    </row>
    <row r="359" spans="1:35" x14ac:dyDescent="0.3">
      <c r="A359" s="4" t="str">
        <f>"421504"</f>
        <v>421504</v>
      </c>
      <c r="B359" s="2" t="s">
        <v>355</v>
      </c>
      <c r="C359" s="3">
        <v>11570000</v>
      </c>
      <c r="D359" s="3">
        <v>12060000</v>
      </c>
      <c r="E359" s="2">
        <v>4.24</v>
      </c>
      <c r="F359" s="3">
        <v>6208518</v>
      </c>
      <c r="G359" s="3">
        <v>6323138</v>
      </c>
      <c r="H359" s="3"/>
      <c r="I359" s="3"/>
      <c r="J359" s="3"/>
      <c r="K359" s="3"/>
      <c r="L359" s="3"/>
      <c r="M359" s="3"/>
      <c r="N359" s="3">
        <v>6208518</v>
      </c>
      <c r="O359" s="3">
        <v>6323138</v>
      </c>
      <c r="P359" s="2">
        <v>1.85</v>
      </c>
      <c r="Q359" s="3">
        <v>0</v>
      </c>
      <c r="R359" s="3">
        <v>0</v>
      </c>
      <c r="S359" s="3">
        <v>6208518</v>
      </c>
      <c r="T359" s="3">
        <v>6323138</v>
      </c>
      <c r="U359" s="3">
        <v>6208518</v>
      </c>
      <c r="V359" s="3">
        <v>6323138</v>
      </c>
      <c r="W359" s="3">
        <v>0</v>
      </c>
      <c r="X359" s="3">
        <v>0</v>
      </c>
      <c r="Y359" s="2">
        <v>552</v>
      </c>
      <c r="Z359" s="2">
        <v>556</v>
      </c>
      <c r="AA359" s="2">
        <v>0.72</v>
      </c>
      <c r="AB359" s="3">
        <v>2311735</v>
      </c>
      <c r="AC359" s="3">
        <v>2306229</v>
      </c>
      <c r="AD359" s="3">
        <v>475000</v>
      </c>
      <c r="AE359" s="3">
        <v>100000</v>
      </c>
      <c r="AF359" s="3">
        <v>969346</v>
      </c>
      <c r="AG359" s="3">
        <v>644346</v>
      </c>
      <c r="AH359" s="2">
        <v>8.3800000000000008</v>
      </c>
      <c r="AI359" s="5">
        <v>5.34</v>
      </c>
    </row>
    <row r="360" spans="1:35" x14ac:dyDescent="0.3">
      <c r="A360" s="4" t="str">
        <f>"421601"</f>
        <v>421601</v>
      </c>
      <c r="B360" s="2" t="s">
        <v>356</v>
      </c>
      <c r="C360" s="3">
        <v>34037540</v>
      </c>
      <c r="D360" s="3">
        <v>35918226</v>
      </c>
      <c r="E360" s="2">
        <v>5.53</v>
      </c>
      <c r="F360" s="3">
        <v>26126489</v>
      </c>
      <c r="G360" s="3">
        <v>26591541</v>
      </c>
      <c r="H360" s="3"/>
      <c r="I360" s="3"/>
      <c r="J360" s="3"/>
      <c r="K360" s="3"/>
      <c r="L360" s="3"/>
      <c r="M360" s="3"/>
      <c r="N360" s="3">
        <v>26126489</v>
      </c>
      <c r="O360" s="3">
        <v>26591541</v>
      </c>
      <c r="P360" s="2">
        <v>1.78</v>
      </c>
      <c r="Q360" s="3">
        <v>2236703</v>
      </c>
      <c r="R360" s="3">
        <v>2717866</v>
      </c>
      <c r="S360" s="3">
        <v>23889786</v>
      </c>
      <c r="T360" s="3">
        <v>23873675</v>
      </c>
      <c r="U360" s="3">
        <v>23889786</v>
      </c>
      <c r="V360" s="3">
        <v>23873675</v>
      </c>
      <c r="W360" s="3">
        <v>0</v>
      </c>
      <c r="X360" s="3">
        <v>0</v>
      </c>
      <c r="Y360" s="2">
        <v>1284</v>
      </c>
      <c r="Z360" s="2">
        <v>1295</v>
      </c>
      <c r="AA360" s="2">
        <v>0.86</v>
      </c>
      <c r="AB360" s="3">
        <v>9302045</v>
      </c>
      <c r="AC360" s="3">
        <v>8432134</v>
      </c>
      <c r="AD360" s="3">
        <v>513419</v>
      </c>
      <c r="AE360" s="3">
        <v>717891</v>
      </c>
      <c r="AF360" s="3">
        <v>4046916</v>
      </c>
      <c r="AG360" s="3">
        <v>3300000</v>
      </c>
      <c r="AH360" s="2">
        <v>11.89</v>
      </c>
      <c r="AI360" s="5">
        <v>9.19</v>
      </c>
    </row>
    <row r="361" spans="1:35" x14ac:dyDescent="0.3">
      <c r="A361" s="4" t="str">
        <f>"421902"</f>
        <v>421902</v>
      </c>
      <c r="B361" s="2" t="s">
        <v>357</v>
      </c>
      <c r="C361" s="3">
        <v>21455530</v>
      </c>
      <c r="D361" s="3">
        <v>21893037</v>
      </c>
      <c r="E361" s="2">
        <v>2.04</v>
      </c>
      <c r="F361" s="3">
        <v>10421459</v>
      </c>
      <c r="G361" s="3">
        <v>10598499</v>
      </c>
      <c r="H361" s="3"/>
      <c r="I361" s="3"/>
      <c r="J361" s="3"/>
      <c r="K361" s="3"/>
      <c r="L361" s="3"/>
      <c r="M361" s="3"/>
      <c r="N361" s="3">
        <v>10421459</v>
      </c>
      <c r="O361" s="3">
        <v>10598499</v>
      </c>
      <c r="P361" s="2">
        <v>1.7</v>
      </c>
      <c r="Q361" s="3">
        <v>552307</v>
      </c>
      <c r="R361" s="3">
        <v>580139</v>
      </c>
      <c r="S361" s="3">
        <v>9874182</v>
      </c>
      <c r="T361" s="3">
        <v>10020082</v>
      </c>
      <c r="U361" s="3">
        <v>9869152</v>
      </c>
      <c r="V361" s="3">
        <v>10018360</v>
      </c>
      <c r="W361" s="3">
        <v>5030</v>
      </c>
      <c r="X361" s="3">
        <v>1722</v>
      </c>
      <c r="Y361" s="2">
        <v>740</v>
      </c>
      <c r="Z361" s="2">
        <v>735</v>
      </c>
      <c r="AA361" s="2">
        <v>-0.68</v>
      </c>
      <c r="AB361" s="3">
        <v>4717071</v>
      </c>
      <c r="AC361" s="3">
        <v>4831594</v>
      </c>
      <c r="AD361" s="3">
        <v>239881</v>
      </c>
      <c r="AE361" s="3">
        <v>370000</v>
      </c>
      <c r="AF361" s="3">
        <v>858221</v>
      </c>
      <c r="AG361" s="3">
        <v>875721</v>
      </c>
      <c r="AH361" s="2">
        <v>4</v>
      </c>
      <c r="AI361" s="5">
        <v>4</v>
      </c>
    </row>
    <row r="362" spans="1:35" x14ac:dyDescent="0.3">
      <c r="A362" s="4" t="str">
        <f>"430300"</f>
        <v>430300</v>
      </c>
      <c r="B362" s="2" t="s">
        <v>358</v>
      </c>
      <c r="C362" s="3">
        <v>77702662</v>
      </c>
      <c r="D362" s="3">
        <v>79330078</v>
      </c>
      <c r="E362" s="2">
        <v>2.09</v>
      </c>
      <c r="F362" s="3">
        <v>47549426</v>
      </c>
      <c r="G362" s="3">
        <v>48357766</v>
      </c>
      <c r="H362" s="3"/>
      <c r="I362" s="3"/>
      <c r="J362" s="3"/>
      <c r="K362" s="3"/>
      <c r="L362" s="3"/>
      <c r="M362" s="3"/>
      <c r="N362" s="3">
        <v>47549426</v>
      </c>
      <c r="O362" s="3">
        <v>48357766</v>
      </c>
      <c r="P362" s="2">
        <v>1.7</v>
      </c>
      <c r="Q362" s="3">
        <v>1553155</v>
      </c>
      <c r="R362" s="3">
        <v>1552273</v>
      </c>
      <c r="S362" s="3">
        <v>45996271</v>
      </c>
      <c r="T362" s="3">
        <v>46981606</v>
      </c>
      <c r="U362" s="3">
        <v>45996271</v>
      </c>
      <c r="V362" s="3">
        <v>46805493</v>
      </c>
      <c r="W362" s="3">
        <v>0</v>
      </c>
      <c r="X362" s="3">
        <v>176113</v>
      </c>
      <c r="Y362" s="2">
        <v>3468</v>
      </c>
      <c r="Z362" s="2">
        <v>3304</v>
      </c>
      <c r="AA362" s="2">
        <v>-4.7300000000000004</v>
      </c>
      <c r="AB362" s="3">
        <v>20892866</v>
      </c>
      <c r="AC362" s="3">
        <v>24341527</v>
      </c>
      <c r="AD362" s="3">
        <v>381603</v>
      </c>
      <c r="AE362" s="3">
        <v>200000</v>
      </c>
      <c r="AF362" s="3">
        <v>3108106</v>
      </c>
      <c r="AG362" s="3">
        <v>3173203</v>
      </c>
      <c r="AH362" s="2">
        <v>4</v>
      </c>
      <c r="AI362" s="5">
        <v>4</v>
      </c>
    </row>
    <row r="363" spans="1:35" x14ac:dyDescent="0.3">
      <c r="A363" s="4" t="str">
        <f>"430501"</f>
        <v>430501</v>
      </c>
      <c r="B363" s="2" t="s">
        <v>359</v>
      </c>
      <c r="C363" s="3">
        <v>21559274</v>
      </c>
      <c r="D363" s="3">
        <v>21958220</v>
      </c>
      <c r="E363" s="2">
        <v>1.85</v>
      </c>
      <c r="F363" s="3">
        <v>10164318</v>
      </c>
      <c r="G363" s="3">
        <v>10412128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10164318</v>
      </c>
      <c r="O363" s="3">
        <v>10412128</v>
      </c>
      <c r="P363" s="2">
        <v>2.44</v>
      </c>
      <c r="Q363" s="3">
        <v>194524</v>
      </c>
      <c r="R363" s="3">
        <v>211658</v>
      </c>
      <c r="S363" s="3">
        <v>9969794</v>
      </c>
      <c r="T363" s="3">
        <v>10200470</v>
      </c>
      <c r="U363" s="3">
        <v>9969794</v>
      </c>
      <c r="V363" s="3">
        <v>10200470</v>
      </c>
      <c r="W363" s="3">
        <v>0</v>
      </c>
      <c r="X363" s="3">
        <v>0</v>
      </c>
      <c r="Y363" s="2">
        <v>840</v>
      </c>
      <c r="Z363" s="2">
        <v>825</v>
      </c>
      <c r="AA363" s="2">
        <v>-1.79</v>
      </c>
      <c r="AB363" s="3">
        <v>3420810</v>
      </c>
      <c r="AC363" s="3">
        <v>4422225</v>
      </c>
      <c r="AD363" s="3">
        <v>220000</v>
      </c>
      <c r="AE363" s="3">
        <v>110000</v>
      </c>
      <c r="AF363" s="3">
        <v>862370</v>
      </c>
      <c r="AG363" s="3">
        <v>878329</v>
      </c>
      <c r="AH363" s="2">
        <v>4</v>
      </c>
      <c r="AI363" s="5">
        <v>4</v>
      </c>
    </row>
    <row r="364" spans="1:35" x14ac:dyDescent="0.3">
      <c r="A364" s="4" t="str">
        <f>"430700"</f>
        <v>430700</v>
      </c>
      <c r="B364" s="2" t="s">
        <v>360</v>
      </c>
      <c r="C364" s="3">
        <v>59040705</v>
      </c>
      <c r="D364" s="3">
        <v>60127333</v>
      </c>
      <c r="E364" s="2">
        <v>1.84</v>
      </c>
      <c r="F364" s="3">
        <v>20485626</v>
      </c>
      <c r="G364" s="3">
        <v>20690482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20485626</v>
      </c>
      <c r="O364" s="3">
        <v>20690482</v>
      </c>
      <c r="P364" s="2">
        <v>1</v>
      </c>
      <c r="Q364" s="3">
        <v>0</v>
      </c>
      <c r="R364" s="3">
        <v>0</v>
      </c>
      <c r="S364" s="3">
        <v>20485626</v>
      </c>
      <c r="T364" s="3">
        <v>20899453</v>
      </c>
      <c r="U364" s="3">
        <v>20485626</v>
      </c>
      <c r="V364" s="3">
        <v>20690482</v>
      </c>
      <c r="W364" s="3">
        <v>0</v>
      </c>
      <c r="X364" s="3">
        <v>208971</v>
      </c>
      <c r="Y364" s="2">
        <v>2170</v>
      </c>
      <c r="Z364" s="2">
        <v>2125</v>
      </c>
      <c r="AA364" s="2">
        <v>-2.0699999999999998</v>
      </c>
      <c r="AB364" s="3">
        <v>988313</v>
      </c>
      <c r="AC364" s="3">
        <v>975000</v>
      </c>
      <c r="AD364" s="3">
        <v>750000</v>
      </c>
      <c r="AE364" s="3">
        <v>650000</v>
      </c>
      <c r="AF364" s="3">
        <v>2361628</v>
      </c>
      <c r="AG364" s="3">
        <v>2405093</v>
      </c>
      <c r="AH364" s="2">
        <v>4</v>
      </c>
      <c r="AI364" s="5">
        <v>4</v>
      </c>
    </row>
    <row r="365" spans="1:35" x14ac:dyDescent="0.3">
      <c r="A365" s="4" t="str">
        <f>"430901"</f>
        <v>430901</v>
      </c>
      <c r="B365" s="2" t="s">
        <v>361</v>
      </c>
      <c r="C365" s="3">
        <v>33598700</v>
      </c>
      <c r="D365" s="3">
        <v>34475750</v>
      </c>
      <c r="E365" s="2">
        <v>2.61</v>
      </c>
      <c r="F365" s="3">
        <v>15299185</v>
      </c>
      <c r="G365" s="3">
        <v>15693050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15299185</v>
      </c>
      <c r="O365" s="3">
        <v>15693050</v>
      </c>
      <c r="P365" s="2">
        <v>2.57</v>
      </c>
      <c r="Q365" s="3">
        <v>640775</v>
      </c>
      <c r="R365" s="3">
        <v>798926</v>
      </c>
      <c r="S365" s="3">
        <v>14918559</v>
      </c>
      <c r="T365" s="3">
        <v>14894205</v>
      </c>
      <c r="U365" s="3">
        <v>14658410</v>
      </c>
      <c r="V365" s="3">
        <v>14894124</v>
      </c>
      <c r="W365" s="3">
        <v>260149</v>
      </c>
      <c r="X365" s="3">
        <v>81</v>
      </c>
      <c r="Y365" s="2">
        <v>1150</v>
      </c>
      <c r="Z365" s="2">
        <v>1155</v>
      </c>
      <c r="AA365" s="2">
        <v>0.43</v>
      </c>
      <c r="AB365" s="3">
        <v>6612410</v>
      </c>
      <c r="AC365" s="3">
        <v>7200000</v>
      </c>
      <c r="AD365" s="3">
        <v>580000</v>
      </c>
      <c r="AE365" s="3">
        <v>580000</v>
      </c>
      <c r="AF365" s="3">
        <v>1343947</v>
      </c>
      <c r="AG365" s="3">
        <v>1379030</v>
      </c>
      <c r="AH365" s="2">
        <v>4</v>
      </c>
      <c r="AI365" s="5">
        <v>4</v>
      </c>
    </row>
    <row r="366" spans="1:35" x14ac:dyDescent="0.3">
      <c r="A366" s="4" t="str">
        <f>"431101"</f>
        <v>431101</v>
      </c>
      <c r="B366" s="2" t="s">
        <v>362</v>
      </c>
      <c r="C366" s="3">
        <v>18972497</v>
      </c>
      <c r="D366" s="3">
        <v>20319544</v>
      </c>
      <c r="E366" s="2">
        <v>7.1</v>
      </c>
      <c r="F366" s="3">
        <v>7815804</v>
      </c>
      <c r="G366" s="3">
        <v>7815804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7815804</v>
      </c>
      <c r="O366" s="3">
        <v>7815804</v>
      </c>
      <c r="P366" s="2">
        <v>0</v>
      </c>
      <c r="Q366" s="3">
        <v>0</v>
      </c>
      <c r="R366" s="3">
        <v>0</v>
      </c>
      <c r="S366" s="3">
        <v>7843754</v>
      </c>
      <c r="T366" s="3">
        <v>7967154</v>
      </c>
      <c r="U366" s="3">
        <v>7815804</v>
      </c>
      <c r="V366" s="3">
        <v>7815804</v>
      </c>
      <c r="W366" s="3">
        <v>27950</v>
      </c>
      <c r="X366" s="3">
        <v>151350</v>
      </c>
      <c r="Y366" s="2">
        <v>820</v>
      </c>
      <c r="Z366" s="2">
        <v>798</v>
      </c>
      <c r="AA366" s="2">
        <v>-2.68</v>
      </c>
      <c r="AB366" s="3">
        <v>5610365</v>
      </c>
      <c r="AC366" s="3">
        <v>6514319</v>
      </c>
      <c r="AD366" s="3">
        <v>425000</v>
      </c>
      <c r="AE366" s="3">
        <v>0</v>
      </c>
      <c r="AF366" s="3">
        <v>758899</v>
      </c>
      <c r="AG366" s="3">
        <v>812781</v>
      </c>
      <c r="AH366" s="2">
        <v>4</v>
      </c>
      <c r="AI366" s="5">
        <v>4</v>
      </c>
    </row>
    <row r="367" spans="1:35" x14ac:dyDescent="0.3">
      <c r="A367" s="4" t="str">
        <f>"431201"</f>
        <v>431201</v>
      </c>
      <c r="B367" s="2" t="s">
        <v>363</v>
      </c>
      <c r="C367" s="3">
        <v>21213960</v>
      </c>
      <c r="D367" s="3">
        <v>21734527</v>
      </c>
      <c r="E367" s="2">
        <v>2.4500000000000002</v>
      </c>
      <c r="F367" s="3">
        <v>11992077</v>
      </c>
      <c r="G367" s="3">
        <v>12259719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11992077</v>
      </c>
      <c r="O367" s="3">
        <v>12259719</v>
      </c>
      <c r="P367" s="2">
        <v>2.23</v>
      </c>
      <c r="Q367" s="3">
        <v>1012528</v>
      </c>
      <c r="R367" s="3">
        <v>1036284</v>
      </c>
      <c r="S367" s="3">
        <v>10979549</v>
      </c>
      <c r="T367" s="3">
        <v>11223435</v>
      </c>
      <c r="U367" s="3">
        <v>10979549</v>
      </c>
      <c r="V367" s="3">
        <v>11223435</v>
      </c>
      <c r="W367" s="3">
        <v>0</v>
      </c>
      <c r="X367" s="3">
        <v>0</v>
      </c>
      <c r="Y367" s="2">
        <v>631</v>
      </c>
      <c r="Z367" s="2">
        <v>635</v>
      </c>
      <c r="AA367" s="2">
        <v>0.63</v>
      </c>
      <c r="AB367" s="3">
        <v>6663400</v>
      </c>
      <c r="AC367" s="3">
        <v>7437898</v>
      </c>
      <c r="AD367" s="3">
        <v>436390</v>
      </c>
      <c r="AE367" s="3">
        <v>356038</v>
      </c>
      <c r="AF367" s="3">
        <v>1577354</v>
      </c>
      <c r="AG367" s="3">
        <v>1608073</v>
      </c>
      <c r="AH367" s="2">
        <v>7.44</v>
      </c>
      <c r="AI367" s="5">
        <v>7.4</v>
      </c>
    </row>
    <row r="368" spans="1:35" x14ac:dyDescent="0.3">
      <c r="A368" s="4" t="str">
        <f>"431301"</f>
        <v>431301</v>
      </c>
      <c r="B368" s="2" t="s">
        <v>364</v>
      </c>
      <c r="C368" s="3">
        <v>37488003</v>
      </c>
      <c r="D368" s="3">
        <v>38310998</v>
      </c>
      <c r="E368" s="2">
        <v>2.2000000000000002</v>
      </c>
      <c r="F368" s="3">
        <v>14867586</v>
      </c>
      <c r="G368" s="3">
        <v>14867586</v>
      </c>
      <c r="H368" s="3">
        <v>0</v>
      </c>
      <c r="I368" s="3">
        <v>0</v>
      </c>
      <c r="J368" s="3">
        <v>0</v>
      </c>
      <c r="K368" s="3"/>
      <c r="L368" s="3">
        <v>0</v>
      </c>
      <c r="M368" s="3">
        <v>0</v>
      </c>
      <c r="N368" s="3">
        <v>14867586</v>
      </c>
      <c r="O368" s="3">
        <v>14867586</v>
      </c>
      <c r="P368" s="2">
        <v>0</v>
      </c>
      <c r="Q368" s="3">
        <v>0</v>
      </c>
      <c r="R368" s="3">
        <v>0</v>
      </c>
      <c r="S368" s="3">
        <v>15052741</v>
      </c>
      <c r="T368" s="3">
        <v>15354830</v>
      </c>
      <c r="U368" s="3">
        <v>14867586</v>
      </c>
      <c r="V368" s="3">
        <v>14867586</v>
      </c>
      <c r="W368" s="3">
        <v>185155</v>
      </c>
      <c r="X368" s="3">
        <v>487244</v>
      </c>
      <c r="Y368" s="2">
        <v>1560</v>
      </c>
      <c r="Z368" s="2">
        <v>1565</v>
      </c>
      <c r="AA368" s="2">
        <v>0.32</v>
      </c>
      <c r="AB368" s="3">
        <v>6942322</v>
      </c>
      <c r="AC368" s="3">
        <v>6110876</v>
      </c>
      <c r="AD368" s="3">
        <v>632500</v>
      </c>
      <c r="AE368" s="3">
        <v>0</v>
      </c>
      <c r="AF368" s="3">
        <v>1499520</v>
      </c>
      <c r="AG368" s="3">
        <v>1532439</v>
      </c>
      <c r="AH368" s="2">
        <v>4</v>
      </c>
      <c r="AI368" s="5">
        <v>4</v>
      </c>
    </row>
    <row r="369" spans="1:35" x14ac:dyDescent="0.3">
      <c r="A369" s="4" t="str">
        <f>"431401"</f>
        <v>431401</v>
      </c>
      <c r="B369" s="2" t="s">
        <v>365</v>
      </c>
      <c r="C369" s="3">
        <v>17834752</v>
      </c>
      <c r="D369" s="3">
        <v>18556435</v>
      </c>
      <c r="E369" s="2">
        <v>4.05</v>
      </c>
      <c r="F369" s="3">
        <v>9539312</v>
      </c>
      <c r="G369" s="3">
        <v>9539312</v>
      </c>
      <c r="H369" s="3"/>
      <c r="I369" s="3"/>
      <c r="J369" s="3"/>
      <c r="K369" s="3"/>
      <c r="L369" s="3"/>
      <c r="M369" s="3"/>
      <c r="N369" s="3">
        <v>9539312</v>
      </c>
      <c r="O369" s="3">
        <v>9539312</v>
      </c>
      <c r="P369" s="2">
        <v>0</v>
      </c>
      <c r="Q369" s="3">
        <v>0</v>
      </c>
      <c r="R369" s="3">
        <v>54539</v>
      </c>
      <c r="S369" s="3">
        <v>9579034</v>
      </c>
      <c r="T369" s="3">
        <v>9744666</v>
      </c>
      <c r="U369" s="3">
        <v>9539312</v>
      </c>
      <c r="V369" s="3">
        <v>9484773</v>
      </c>
      <c r="W369" s="3">
        <v>39722</v>
      </c>
      <c r="X369" s="3">
        <v>259893</v>
      </c>
      <c r="Y369" s="2">
        <v>572</v>
      </c>
      <c r="Z369" s="2">
        <v>574</v>
      </c>
      <c r="AA369" s="2">
        <v>0.35</v>
      </c>
      <c r="AB369" s="3">
        <v>3758535</v>
      </c>
      <c r="AC369" s="3">
        <v>5258535</v>
      </c>
      <c r="AD369" s="3">
        <v>999506</v>
      </c>
      <c r="AE369" s="3">
        <v>462230</v>
      </c>
      <c r="AF369" s="3">
        <v>713390</v>
      </c>
      <c r="AG369" s="3">
        <v>742257</v>
      </c>
      <c r="AH369" s="2">
        <v>4</v>
      </c>
      <c r="AI369" s="5">
        <v>4</v>
      </c>
    </row>
    <row r="370" spans="1:35" x14ac:dyDescent="0.3">
      <c r="A370" s="4" t="str">
        <f>"431701"</f>
        <v>431701</v>
      </c>
      <c r="B370" s="2" t="s">
        <v>366</v>
      </c>
      <c r="C370" s="3">
        <v>78256890</v>
      </c>
      <c r="D370" s="3">
        <v>83218489</v>
      </c>
      <c r="E370" s="2">
        <v>6.34</v>
      </c>
      <c r="F370" s="3">
        <v>50210103</v>
      </c>
      <c r="G370" s="3">
        <v>52329088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50210103</v>
      </c>
      <c r="O370" s="3">
        <v>52329088</v>
      </c>
      <c r="P370" s="2">
        <v>4.22</v>
      </c>
      <c r="Q370" s="3">
        <v>1143663</v>
      </c>
      <c r="R370" s="3">
        <v>1952788</v>
      </c>
      <c r="S370" s="3">
        <v>45678440</v>
      </c>
      <c r="T370" s="3">
        <v>50376300</v>
      </c>
      <c r="U370" s="3">
        <v>49066440</v>
      </c>
      <c r="V370" s="3">
        <v>50376300</v>
      </c>
      <c r="W370" s="3">
        <v>-3388000</v>
      </c>
      <c r="X370" s="3">
        <v>0</v>
      </c>
      <c r="Y370" s="2">
        <v>4143</v>
      </c>
      <c r="Z370" s="2">
        <v>4130</v>
      </c>
      <c r="AA370" s="2">
        <v>-0.31</v>
      </c>
      <c r="AB370" s="3">
        <v>5133697</v>
      </c>
      <c r="AC370" s="3">
        <v>8000000</v>
      </c>
      <c r="AD370" s="3">
        <v>529000</v>
      </c>
      <c r="AE370" s="3">
        <v>529000</v>
      </c>
      <c r="AF370" s="3">
        <v>3130276</v>
      </c>
      <c r="AG370" s="3">
        <v>3328740</v>
      </c>
      <c r="AH370" s="2">
        <v>4</v>
      </c>
      <c r="AI370" s="5">
        <v>4</v>
      </c>
    </row>
    <row r="371" spans="1:35" x14ac:dyDescent="0.3">
      <c r="A371" s="4" t="str">
        <f>"440102"</f>
        <v>440102</v>
      </c>
      <c r="B371" s="2" t="s">
        <v>367</v>
      </c>
      <c r="C371" s="3">
        <v>106875135</v>
      </c>
      <c r="D371" s="3">
        <v>109623308</v>
      </c>
      <c r="E371" s="2">
        <v>2.57</v>
      </c>
      <c r="F371" s="3">
        <v>59280901</v>
      </c>
      <c r="G371" s="3">
        <v>60763580</v>
      </c>
      <c r="H371" s="3"/>
      <c r="I371" s="3"/>
      <c r="J371" s="3"/>
      <c r="K371" s="3"/>
      <c r="L371" s="3"/>
      <c r="M371" s="3"/>
      <c r="N371" s="3">
        <v>59280901</v>
      </c>
      <c r="O371" s="3">
        <v>60763580</v>
      </c>
      <c r="P371" s="2">
        <v>2.5</v>
      </c>
      <c r="Q371" s="3">
        <v>1624843</v>
      </c>
      <c r="R371" s="3">
        <v>2119975</v>
      </c>
      <c r="S371" s="3">
        <v>57656058</v>
      </c>
      <c r="T371" s="3">
        <v>58952597</v>
      </c>
      <c r="U371" s="3">
        <v>57656058</v>
      </c>
      <c r="V371" s="3">
        <v>58643605</v>
      </c>
      <c r="W371" s="3">
        <v>0</v>
      </c>
      <c r="X371" s="3">
        <v>308992</v>
      </c>
      <c r="Y371" s="2">
        <v>3874</v>
      </c>
      <c r="Z371" s="2">
        <v>3897</v>
      </c>
      <c r="AA371" s="2">
        <v>0.59</v>
      </c>
      <c r="AB371" s="3">
        <v>15266111</v>
      </c>
      <c r="AC371" s="3">
        <v>15566111</v>
      </c>
      <c r="AD371" s="3">
        <v>3500000</v>
      </c>
      <c r="AE371" s="3">
        <v>3500000</v>
      </c>
      <c r="AF371" s="3">
        <v>4275005</v>
      </c>
      <c r="AG371" s="3">
        <v>4384932</v>
      </c>
      <c r="AH371" s="2">
        <v>4</v>
      </c>
      <c r="AI371" s="5">
        <v>4</v>
      </c>
    </row>
    <row r="372" spans="1:35" x14ac:dyDescent="0.3">
      <c r="A372" s="4" t="str">
        <f>"440201"</f>
        <v>440201</v>
      </c>
      <c r="B372" s="2" t="s">
        <v>368</v>
      </c>
      <c r="C372" s="3">
        <v>29613452</v>
      </c>
      <c r="D372" s="3">
        <v>30825598</v>
      </c>
      <c r="E372" s="2">
        <v>4.09</v>
      </c>
      <c r="F372" s="3">
        <v>18452930</v>
      </c>
      <c r="G372" s="3">
        <v>18774962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18452930</v>
      </c>
      <c r="O372" s="3">
        <v>18774962</v>
      </c>
      <c r="P372" s="2">
        <v>1.75</v>
      </c>
      <c r="Q372" s="3">
        <v>590673</v>
      </c>
      <c r="R372" s="3">
        <v>599052</v>
      </c>
      <c r="S372" s="3">
        <v>17862257</v>
      </c>
      <c r="T372" s="3">
        <v>18175953</v>
      </c>
      <c r="U372" s="3">
        <v>17862257</v>
      </c>
      <c r="V372" s="3">
        <v>18175910</v>
      </c>
      <c r="W372" s="3">
        <v>0</v>
      </c>
      <c r="X372" s="3">
        <v>43</v>
      </c>
      <c r="Y372" s="2">
        <v>946</v>
      </c>
      <c r="Z372" s="2">
        <v>923</v>
      </c>
      <c r="AA372" s="2">
        <v>-2.4300000000000002</v>
      </c>
      <c r="AB372" s="3">
        <v>2053575</v>
      </c>
      <c r="AC372" s="3">
        <v>2100000</v>
      </c>
      <c r="AD372" s="3">
        <v>1530549</v>
      </c>
      <c r="AE372" s="3">
        <v>1550000</v>
      </c>
      <c r="AF372" s="3">
        <v>1618794</v>
      </c>
      <c r="AG372" s="3">
        <v>1200000</v>
      </c>
      <c r="AH372" s="2">
        <v>5.47</v>
      </c>
      <c r="AI372" s="5">
        <v>3.89</v>
      </c>
    </row>
    <row r="373" spans="1:35" x14ac:dyDescent="0.3">
      <c r="A373" s="4" t="str">
        <f>"440301"</f>
        <v>440301</v>
      </c>
      <c r="B373" s="2" t="s">
        <v>369</v>
      </c>
      <c r="C373" s="3">
        <v>74544952</v>
      </c>
      <c r="D373" s="3">
        <v>76636285</v>
      </c>
      <c r="E373" s="2">
        <v>2.81</v>
      </c>
      <c r="F373" s="3">
        <v>50069343</v>
      </c>
      <c r="G373" s="3">
        <v>50965243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50069343</v>
      </c>
      <c r="O373" s="3">
        <v>50965243</v>
      </c>
      <c r="P373" s="2">
        <v>1.79</v>
      </c>
      <c r="Q373" s="3">
        <v>1079092</v>
      </c>
      <c r="R373" s="3">
        <v>1553845</v>
      </c>
      <c r="S373" s="3">
        <v>49571611</v>
      </c>
      <c r="T373" s="3">
        <v>49886805</v>
      </c>
      <c r="U373" s="3">
        <v>48990251</v>
      </c>
      <c r="V373" s="3">
        <v>49411398</v>
      </c>
      <c r="W373" s="3">
        <v>581360</v>
      </c>
      <c r="X373" s="3">
        <v>475407</v>
      </c>
      <c r="Y373" s="2">
        <v>2969</v>
      </c>
      <c r="Z373" s="2">
        <v>3125</v>
      </c>
      <c r="AA373" s="2">
        <v>5.25</v>
      </c>
      <c r="AB373" s="3">
        <v>4740731</v>
      </c>
      <c r="AC373" s="3">
        <v>6190731</v>
      </c>
      <c r="AD373" s="3">
        <v>4615123</v>
      </c>
      <c r="AE373" s="3">
        <v>2650000</v>
      </c>
      <c r="AF373" s="3">
        <v>2981798</v>
      </c>
      <c r="AG373" s="3">
        <v>3065451</v>
      </c>
      <c r="AH373" s="2">
        <v>4</v>
      </c>
      <c r="AI373" s="5">
        <v>4</v>
      </c>
    </row>
    <row r="374" spans="1:35" x14ac:dyDescent="0.3">
      <c r="A374" s="4" t="str">
        <f>"440401"</f>
        <v>440401</v>
      </c>
      <c r="B374" s="2" t="s">
        <v>370</v>
      </c>
      <c r="C374" s="3">
        <v>121587157</v>
      </c>
      <c r="D374" s="3">
        <v>125891597</v>
      </c>
      <c r="E374" s="2">
        <v>3.54</v>
      </c>
      <c r="F374" s="3">
        <v>61604219</v>
      </c>
      <c r="G374" s="3">
        <v>59756092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61604219</v>
      </c>
      <c r="O374" s="3">
        <v>59756092</v>
      </c>
      <c r="P374" s="2">
        <v>-3</v>
      </c>
      <c r="Q374" s="3">
        <v>1058976</v>
      </c>
      <c r="R374" s="3">
        <v>953229</v>
      </c>
      <c r="S374" s="3">
        <v>61145243</v>
      </c>
      <c r="T374" s="3">
        <v>62991710</v>
      </c>
      <c r="U374" s="3">
        <v>60545243</v>
      </c>
      <c r="V374" s="3">
        <v>58802863</v>
      </c>
      <c r="W374" s="3">
        <v>600000</v>
      </c>
      <c r="X374" s="3">
        <v>4188847</v>
      </c>
      <c r="Y374" s="2">
        <v>4856</v>
      </c>
      <c r="Z374" s="2">
        <v>4721</v>
      </c>
      <c r="AA374" s="2">
        <v>-2.78</v>
      </c>
      <c r="AB374" s="3">
        <v>18195000</v>
      </c>
      <c r="AC374" s="3">
        <v>10500000</v>
      </c>
      <c r="AD374" s="3">
        <v>0</v>
      </c>
      <c r="AE374" s="3">
        <v>3936718</v>
      </c>
      <c r="AF374" s="3">
        <v>9211718</v>
      </c>
      <c r="AG374" s="3">
        <v>5275000</v>
      </c>
      <c r="AH374" s="2">
        <v>7.58</v>
      </c>
      <c r="AI374" s="5">
        <v>4.1900000000000004</v>
      </c>
    </row>
    <row r="375" spans="1:35" x14ac:dyDescent="0.3">
      <c r="A375" s="4" t="str">
        <f>"440601"</f>
        <v>440601</v>
      </c>
      <c r="B375" s="2" t="s">
        <v>371</v>
      </c>
      <c r="C375" s="3">
        <v>76083837</v>
      </c>
      <c r="D375" s="3">
        <v>78811376</v>
      </c>
      <c r="E375" s="2">
        <v>3.58</v>
      </c>
      <c r="F375" s="3">
        <v>54039224</v>
      </c>
      <c r="G375" s="3">
        <v>54039224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54039224</v>
      </c>
      <c r="O375" s="3">
        <v>54039224</v>
      </c>
      <c r="P375" s="2">
        <v>0</v>
      </c>
      <c r="Q375" s="3">
        <v>1210328</v>
      </c>
      <c r="R375" s="3">
        <v>1111752</v>
      </c>
      <c r="S375" s="3">
        <v>52833896</v>
      </c>
      <c r="T375" s="3">
        <v>54066654</v>
      </c>
      <c r="U375" s="3">
        <v>52828896</v>
      </c>
      <c r="V375" s="3">
        <v>52927472</v>
      </c>
      <c r="W375" s="3">
        <v>5000</v>
      </c>
      <c r="X375" s="3">
        <v>1139182</v>
      </c>
      <c r="Y375" s="2">
        <v>2832</v>
      </c>
      <c r="Z375" s="2">
        <v>2779</v>
      </c>
      <c r="AA375" s="2">
        <v>-2</v>
      </c>
      <c r="AB375" s="3">
        <v>11388073</v>
      </c>
      <c r="AC375" s="3">
        <v>11388073</v>
      </c>
      <c r="AD375" s="3">
        <v>980434</v>
      </c>
      <c r="AE375" s="3">
        <v>900000</v>
      </c>
      <c r="AF375" s="3">
        <v>3043353</v>
      </c>
      <c r="AG375" s="3">
        <v>3000000</v>
      </c>
      <c r="AH375" s="2">
        <v>4</v>
      </c>
      <c r="AI375" s="5">
        <v>3.81</v>
      </c>
    </row>
    <row r="376" spans="1:35" x14ac:dyDescent="0.3">
      <c r="A376" s="4" t="str">
        <f>"440901"</f>
        <v>440901</v>
      </c>
      <c r="B376" s="2" t="s">
        <v>372</v>
      </c>
      <c r="C376" s="3">
        <v>33251722</v>
      </c>
      <c r="D376" s="3">
        <v>34573467</v>
      </c>
      <c r="E376" s="2">
        <v>3.97</v>
      </c>
      <c r="F376" s="3">
        <v>11305952</v>
      </c>
      <c r="G376" s="3">
        <v>11305952</v>
      </c>
      <c r="H376" s="3"/>
      <c r="I376" s="3"/>
      <c r="J376" s="3"/>
      <c r="K376" s="3"/>
      <c r="L376" s="3">
        <v>0</v>
      </c>
      <c r="M376" s="3"/>
      <c r="N376" s="3">
        <v>11305952</v>
      </c>
      <c r="O376" s="3">
        <v>11305952</v>
      </c>
      <c r="P376" s="2">
        <v>0</v>
      </c>
      <c r="Q376" s="3">
        <v>737018</v>
      </c>
      <c r="R376" s="3">
        <v>745009</v>
      </c>
      <c r="S376" s="3">
        <v>10568934</v>
      </c>
      <c r="T376" s="3">
        <v>10560943</v>
      </c>
      <c r="U376" s="3">
        <v>10568934</v>
      </c>
      <c r="V376" s="3">
        <v>10560943</v>
      </c>
      <c r="W376" s="3">
        <v>0</v>
      </c>
      <c r="X376" s="3">
        <v>0</v>
      </c>
      <c r="Y376" s="2">
        <v>928</v>
      </c>
      <c r="Z376" s="2">
        <v>975</v>
      </c>
      <c r="AA376" s="2">
        <v>5.0599999999999996</v>
      </c>
      <c r="AB376" s="3">
        <v>7675450</v>
      </c>
      <c r="AC376" s="3">
        <v>8809771</v>
      </c>
      <c r="AD376" s="3">
        <v>500000</v>
      </c>
      <c r="AE376" s="3">
        <v>0</v>
      </c>
      <c r="AF376" s="3">
        <v>5860414</v>
      </c>
      <c r="AG376" s="3">
        <v>4500000</v>
      </c>
      <c r="AH376" s="2">
        <v>17.62</v>
      </c>
      <c r="AI376" s="5">
        <v>13.02</v>
      </c>
    </row>
    <row r="377" spans="1:35" x14ac:dyDescent="0.3">
      <c r="A377" s="4" t="str">
        <f>"441000"</f>
        <v>441000</v>
      </c>
      <c r="B377" s="2" t="s">
        <v>373</v>
      </c>
      <c r="C377" s="3">
        <v>199995618</v>
      </c>
      <c r="D377" s="3">
        <v>210221201</v>
      </c>
      <c r="E377" s="2">
        <v>5.1100000000000003</v>
      </c>
      <c r="F377" s="3">
        <v>77404150</v>
      </c>
      <c r="G377" s="3">
        <v>77404150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77404150</v>
      </c>
      <c r="O377" s="3">
        <v>77404150</v>
      </c>
      <c r="P377" s="2">
        <v>0</v>
      </c>
      <c r="Q377" s="3">
        <v>4735684</v>
      </c>
      <c r="R377" s="3">
        <v>4354258</v>
      </c>
      <c r="S377" s="3">
        <v>79657305</v>
      </c>
      <c r="T377" s="3">
        <v>78921279</v>
      </c>
      <c r="U377" s="3">
        <v>72668466</v>
      </c>
      <c r="V377" s="3">
        <v>73049892</v>
      </c>
      <c r="W377" s="3">
        <v>6988839</v>
      </c>
      <c r="X377" s="3">
        <v>5871387</v>
      </c>
      <c r="Y377" s="2">
        <v>7664</v>
      </c>
      <c r="Z377" s="2">
        <v>7472</v>
      </c>
      <c r="AA377" s="2">
        <v>-2.5099999999999998</v>
      </c>
      <c r="AB377" s="3">
        <v>31774901</v>
      </c>
      <c r="AC377" s="3">
        <v>36957841</v>
      </c>
      <c r="AD377" s="3">
        <v>5414346</v>
      </c>
      <c r="AE377" s="3">
        <v>0</v>
      </c>
      <c r="AF377" s="3">
        <v>10051416</v>
      </c>
      <c r="AG377" s="3">
        <v>13857423</v>
      </c>
      <c r="AH377" s="2">
        <v>5.03</v>
      </c>
      <c r="AI377" s="5">
        <v>6.59</v>
      </c>
    </row>
    <row r="378" spans="1:35" x14ac:dyDescent="0.3">
      <c r="A378" s="4" t="str">
        <f>"441101"</f>
        <v>441101</v>
      </c>
      <c r="B378" s="2" t="s">
        <v>374</v>
      </c>
      <c r="C378" s="3">
        <v>99996558</v>
      </c>
      <c r="D378" s="3">
        <v>102250169</v>
      </c>
      <c r="E378" s="2">
        <v>2.25</v>
      </c>
      <c r="F378" s="3">
        <v>48051255</v>
      </c>
      <c r="G378" s="3">
        <v>49216438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48051255</v>
      </c>
      <c r="O378" s="3">
        <v>49216438</v>
      </c>
      <c r="P378" s="2">
        <v>2.42</v>
      </c>
      <c r="Q378" s="3">
        <v>2233730</v>
      </c>
      <c r="R378" s="3">
        <v>1848535</v>
      </c>
      <c r="S378" s="3">
        <v>45817525</v>
      </c>
      <c r="T378" s="3">
        <v>47367903</v>
      </c>
      <c r="U378" s="3">
        <v>45817525</v>
      </c>
      <c r="V378" s="3">
        <v>47367903</v>
      </c>
      <c r="W378" s="3">
        <v>0</v>
      </c>
      <c r="X378" s="3">
        <v>0</v>
      </c>
      <c r="Y378" s="2">
        <v>3830</v>
      </c>
      <c r="Z378" s="2">
        <v>3800</v>
      </c>
      <c r="AA378" s="2">
        <v>-0.78</v>
      </c>
      <c r="AB378" s="3">
        <v>15600952</v>
      </c>
      <c r="AC378" s="3">
        <v>10225047</v>
      </c>
      <c r="AD378" s="3">
        <v>6153988</v>
      </c>
      <c r="AE378" s="3">
        <v>6439748</v>
      </c>
      <c r="AF378" s="3">
        <v>3999862</v>
      </c>
      <c r="AG378" s="3">
        <v>4090007</v>
      </c>
      <c r="AH378" s="2">
        <v>4</v>
      </c>
      <c r="AI378" s="5">
        <v>4</v>
      </c>
    </row>
    <row r="379" spans="1:35" x14ac:dyDescent="0.3">
      <c r="A379" s="4" t="str">
        <f>"441201"</f>
        <v>441201</v>
      </c>
      <c r="B379" s="2" t="s">
        <v>375</v>
      </c>
      <c r="C379" s="3">
        <v>183999908</v>
      </c>
      <c r="D379" s="3">
        <v>188766796</v>
      </c>
      <c r="E379" s="2">
        <v>2.59</v>
      </c>
      <c r="F379" s="3">
        <v>124735000</v>
      </c>
      <c r="G379" s="3">
        <v>126606025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124735000</v>
      </c>
      <c r="O379" s="3">
        <v>126606025</v>
      </c>
      <c r="P379" s="2">
        <v>1.5</v>
      </c>
      <c r="Q379" s="3">
        <v>1526958</v>
      </c>
      <c r="R379" s="3">
        <v>1536583</v>
      </c>
      <c r="S379" s="3">
        <v>123893262</v>
      </c>
      <c r="T379" s="3">
        <v>125543186</v>
      </c>
      <c r="U379" s="3">
        <v>123208042</v>
      </c>
      <c r="V379" s="3">
        <v>125069442</v>
      </c>
      <c r="W379" s="3">
        <v>685220</v>
      </c>
      <c r="X379" s="3">
        <v>473744</v>
      </c>
      <c r="Y379" s="2">
        <v>6719</v>
      </c>
      <c r="Z379" s="2">
        <v>6800</v>
      </c>
      <c r="AA379" s="2">
        <v>1.21</v>
      </c>
      <c r="AB379" s="3">
        <v>1730817</v>
      </c>
      <c r="AC379" s="3">
        <v>1800000</v>
      </c>
      <c r="AD379" s="3">
        <v>3800000</v>
      </c>
      <c r="AE379" s="3">
        <v>1900000</v>
      </c>
      <c r="AF379" s="3">
        <v>8413104</v>
      </c>
      <c r="AG379" s="3">
        <v>7550672</v>
      </c>
      <c r="AH379" s="2">
        <v>4.57</v>
      </c>
      <c r="AI379" s="5">
        <v>4</v>
      </c>
    </row>
    <row r="380" spans="1:35" x14ac:dyDescent="0.3">
      <c r="A380" s="4" t="str">
        <f>"441202"</f>
        <v>441202</v>
      </c>
      <c r="B380" s="2" t="s">
        <v>376</v>
      </c>
      <c r="C380" s="3">
        <v>28993011</v>
      </c>
      <c r="D380" s="3">
        <v>29396473</v>
      </c>
      <c r="E380" s="2">
        <v>1.39</v>
      </c>
      <c r="F380" s="3">
        <v>10420664</v>
      </c>
      <c r="G380" s="3">
        <v>10420664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10420664</v>
      </c>
      <c r="O380" s="3">
        <v>10420664</v>
      </c>
      <c r="P380" s="2">
        <v>0</v>
      </c>
      <c r="Q380" s="3">
        <v>979402</v>
      </c>
      <c r="R380" s="3">
        <v>1398826</v>
      </c>
      <c r="S380" s="3">
        <v>9441262</v>
      </c>
      <c r="T380" s="3">
        <v>9759927</v>
      </c>
      <c r="U380" s="3">
        <v>9441262</v>
      </c>
      <c r="V380" s="3">
        <v>9021838</v>
      </c>
      <c r="W380" s="3">
        <v>0</v>
      </c>
      <c r="X380" s="3">
        <v>738089</v>
      </c>
      <c r="Y380" s="2">
        <v>158</v>
      </c>
      <c r="Z380" s="2">
        <v>165</v>
      </c>
      <c r="AA380" s="2">
        <v>4.43</v>
      </c>
      <c r="AB380" s="3">
        <v>7936886</v>
      </c>
      <c r="AC380" s="3">
        <v>6726662</v>
      </c>
      <c r="AD380" s="3">
        <v>1715962</v>
      </c>
      <c r="AE380" s="3">
        <v>746951</v>
      </c>
      <c r="AF380" s="3">
        <v>774588</v>
      </c>
      <c r="AG380" s="3">
        <v>174494</v>
      </c>
      <c r="AH380" s="2">
        <v>2.67</v>
      </c>
      <c r="AI380" s="5">
        <v>0.59</v>
      </c>
    </row>
    <row r="381" spans="1:35" x14ac:dyDescent="0.3">
      <c r="A381" s="4" t="str">
        <f>"441301"</f>
        <v>441301</v>
      </c>
      <c r="B381" s="2" t="s">
        <v>377</v>
      </c>
      <c r="C381" s="3">
        <v>108429011</v>
      </c>
      <c r="D381" s="3">
        <v>112200000</v>
      </c>
      <c r="E381" s="2">
        <v>3.48</v>
      </c>
      <c r="F381" s="3">
        <v>63403532</v>
      </c>
      <c r="G381" s="3">
        <v>65213763</v>
      </c>
      <c r="H381" s="3"/>
      <c r="I381" s="3"/>
      <c r="J381" s="3"/>
      <c r="K381" s="3"/>
      <c r="L381" s="3"/>
      <c r="M381" s="3"/>
      <c r="N381" s="3">
        <v>63403532</v>
      </c>
      <c r="O381" s="3">
        <v>65213763</v>
      </c>
      <c r="P381" s="2">
        <v>2.86</v>
      </c>
      <c r="Q381" s="3">
        <v>535744</v>
      </c>
      <c r="R381" s="3">
        <v>530241</v>
      </c>
      <c r="S381" s="3">
        <v>62867788</v>
      </c>
      <c r="T381" s="3">
        <v>64683522</v>
      </c>
      <c r="U381" s="3">
        <v>62867788</v>
      </c>
      <c r="V381" s="3">
        <v>64683522</v>
      </c>
      <c r="W381" s="3">
        <v>0</v>
      </c>
      <c r="X381" s="3">
        <v>0</v>
      </c>
      <c r="Y381" s="2">
        <v>4131</v>
      </c>
      <c r="Z381" s="2">
        <v>4025</v>
      </c>
      <c r="AA381" s="2">
        <v>-2.57</v>
      </c>
      <c r="AB381" s="3">
        <v>8401084</v>
      </c>
      <c r="AC381" s="3">
        <v>10650323</v>
      </c>
      <c r="AD381" s="3">
        <v>5130345</v>
      </c>
      <c r="AE381" s="3">
        <v>4205000</v>
      </c>
      <c r="AF381" s="3">
        <v>4308459</v>
      </c>
      <c r="AG381" s="3">
        <v>4488000</v>
      </c>
      <c r="AH381" s="2">
        <v>3.97</v>
      </c>
      <c r="AI381" s="5">
        <v>4</v>
      </c>
    </row>
    <row r="382" spans="1:35" x14ac:dyDescent="0.3">
      <c r="A382" s="4" t="str">
        <f>"441600"</f>
        <v>441600</v>
      </c>
      <c r="B382" s="2" t="s">
        <v>378</v>
      </c>
      <c r="C382" s="3">
        <v>287432600</v>
      </c>
      <c r="D382" s="3">
        <v>293207684</v>
      </c>
      <c r="E382" s="2">
        <v>2.0099999999999998</v>
      </c>
      <c r="F382" s="3">
        <v>110864696</v>
      </c>
      <c r="G382" s="3">
        <v>110864696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110864696</v>
      </c>
      <c r="O382" s="3">
        <v>110864696</v>
      </c>
      <c r="P382" s="2">
        <v>0</v>
      </c>
      <c r="Q382" s="3">
        <v>3875995</v>
      </c>
      <c r="R382" s="3">
        <v>2640796</v>
      </c>
      <c r="S382" s="3">
        <v>111972901</v>
      </c>
      <c r="T382" s="3">
        <v>112902508</v>
      </c>
      <c r="U382" s="3">
        <v>106988701</v>
      </c>
      <c r="V382" s="3">
        <v>108223900</v>
      </c>
      <c r="W382" s="3">
        <v>4984200</v>
      </c>
      <c r="X382" s="3">
        <v>4678608</v>
      </c>
      <c r="Y382" s="2">
        <v>11336</v>
      </c>
      <c r="Z382" s="2">
        <v>10833</v>
      </c>
      <c r="AA382" s="2">
        <v>-4.4400000000000004</v>
      </c>
      <c r="AB382" s="3">
        <v>41227885</v>
      </c>
      <c r="AC382" s="3">
        <v>43227885</v>
      </c>
      <c r="AD382" s="3">
        <v>4509510</v>
      </c>
      <c r="AE382" s="3">
        <v>2511333</v>
      </c>
      <c r="AF382" s="3">
        <v>11497304</v>
      </c>
      <c r="AG382" s="3">
        <v>1187077</v>
      </c>
      <c r="AH382" s="2">
        <v>4</v>
      </c>
      <c r="AI382" s="5">
        <v>0.4</v>
      </c>
    </row>
    <row r="383" spans="1:35" x14ac:dyDescent="0.3">
      <c r="A383" s="4" t="str">
        <f>"441800"</f>
        <v>441800</v>
      </c>
      <c r="B383" s="2" t="s">
        <v>379</v>
      </c>
      <c r="C383" s="3">
        <v>75430132</v>
      </c>
      <c r="D383" s="3">
        <v>78977741</v>
      </c>
      <c r="E383" s="2">
        <v>4.7</v>
      </c>
      <c r="F383" s="3">
        <v>29084046</v>
      </c>
      <c r="G383" s="3">
        <v>29084046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29084046</v>
      </c>
      <c r="O383" s="3">
        <v>29084046</v>
      </c>
      <c r="P383" s="2">
        <v>0</v>
      </c>
      <c r="Q383" s="3">
        <v>0</v>
      </c>
      <c r="R383" s="3">
        <v>0</v>
      </c>
      <c r="S383" s="3">
        <v>30263785</v>
      </c>
      <c r="T383" s="3">
        <v>29766603</v>
      </c>
      <c r="U383" s="3">
        <v>29084046</v>
      </c>
      <c r="V383" s="3">
        <v>29084046</v>
      </c>
      <c r="W383" s="3">
        <v>1179739</v>
      </c>
      <c r="X383" s="3">
        <v>682557</v>
      </c>
      <c r="Y383" s="2">
        <v>2418</v>
      </c>
      <c r="Z383" s="2">
        <v>2353</v>
      </c>
      <c r="AA383" s="2">
        <v>-2.69</v>
      </c>
      <c r="AB383" s="3">
        <v>10609333</v>
      </c>
      <c r="AC383" s="3">
        <v>11771860</v>
      </c>
      <c r="AD383" s="3">
        <v>1672800</v>
      </c>
      <c r="AE383" s="3">
        <v>902800</v>
      </c>
      <c r="AF383" s="3">
        <v>8263509</v>
      </c>
      <c r="AG383" s="3">
        <v>10763509</v>
      </c>
      <c r="AH383" s="2">
        <v>10.96</v>
      </c>
      <c r="AI383" s="5">
        <v>13.63</v>
      </c>
    </row>
    <row r="384" spans="1:35" x14ac:dyDescent="0.3">
      <c r="A384" s="4" t="str">
        <f>"441903"</f>
        <v>441903</v>
      </c>
      <c r="B384" s="2" t="s">
        <v>380</v>
      </c>
      <c r="C384" s="3">
        <v>13699533</v>
      </c>
      <c r="D384" s="3">
        <v>13699533</v>
      </c>
      <c r="E384" s="2">
        <v>0</v>
      </c>
      <c r="F384" s="3">
        <v>11241790</v>
      </c>
      <c r="G384" s="3">
        <v>11241790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11241790</v>
      </c>
      <c r="O384" s="3">
        <v>11241790</v>
      </c>
      <c r="P384" s="2">
        <v>0</v>
      </c>
      <c r="Q384" s="3">
        <v>0</v>
      </c>
      <c r="R384" s="3">
        <v>0</v>
      </c>
      <c r="S384" s="3">
        <v>11241790</v>
      </c>
      <c r="T384" s="3">
        <v>11241790</v>
      </c>
      <c r="U384" s="3">
        <v>11241790</v>
      </c>
      <c r="V384" s="3">
        <v>11241790</v>
      </c>
      <c r="W384" s="3">
        <v>0</v>
      </c>
      <c r="X384" s="3">
        <v>0</v>
      </c>
      <c r="Y384" s="2">
        <v>235</v>
      </c>
      <c r="Z384" s="2">
        <v>235</v>
      </c>
      <c r="AA384" s="2">
        <v>0</v>
      </c>
      <c r="AB384" s="3">
        <v>2502601</v>
      </c>
      <c r="AC384" s="3">
        <v>1750000</v>
      </c>
      <c r="AD384" s="3">
        <v>811418</v>
      </c>
      <c r="AE384" s="3">
        <v>797021</v>
      </c>
      <c r="AF384" s="3">
        <v>991828</v>
      </c>
      <c r="AG384" s="3">
        <v>900000</v>
      </c>
      <c r="AH384" s="2">
        <v>7.24</v>
      </c>
      <c r="AI384" s="5">
        <v>6.57</v>
      </c>
    </row>
    <row r="385" spans="1:35" x14ac:dyDescent="0.3">
      <c r="A385" s="4" t="str">
        <f>"442101"</f>
        <v>442101</v>
      </c>
      <c r="B385" s="2" t="s">
        <v>381</v>
      </c>
      <c r="C385" s="3">
        <v>94440394</v>
      </c>
      <c r="D385" s="3">
        <v>98620042</v>
      </c>
      <c r="E385" s="2">
        <v>4.43</v>
      </c>
      <c r="F385" s="3">
        <v>64143012</v>
      </c>
      <c r="G385" s="3">
        <v>64146212</v>
      </c>
      <c r="H385" s="3">
        <v>429450</v>
      </c>
      <c r="I385" s="3">
        <v>426250</v>
      </c>
      <c r="J385" s="3"/>
      <c r="K385" s="3"/>
      <c r="L385" s="3"/>
      <c r="M385" s="3"/>
      <c r="N385" s="3">
        <v>64572462</v>
      </c>
      <c r="O385" s="3">
        <v>64572462</v>
      </c>
      <c r="P385" s="2">
        <v>0</v>
      </c>
      <c r="Q385" s="3">
        <v>2547674</v>
      </c>
      <c r="R385" s="3">
        <v>1997109</v>
      </c>
      <c r="S385" s="3">
        <v>62197280</v>
      </c>
      <c r="T385" s="3">
        <v>63167998</v>
      </c>
      <c r="U385" s="3">
        <v>61595338</v>
      </c>
      <c r="V385" s="3">
        <v>62149103</v>
      </c>
      <c r="W385" s="3">
        <v>601942</v>
      </c>
      <c r="X385" s="3">
        <v>1018895</v>
      </c>
      <c r="Y385" s="2">
        <v>3537</v>
      </c>
      <c r="Z385" s="2">
        <v>3608</v>
      </c>
      <c r="AA385" s="2">
        <v>2.0099999999999998</v>
      </c>
      <c r="AB385" s="3">
        <v>13425873</v>
      </c>
      <c r="AC385" s="3">
        <v>13000000</v>
      </c>
      <c r="AD385" s="3">
        <v>3000000</v>
      </c>
      <c r="AE385" s="3">
        <v>2500000</v>
      </c>
      <c r="AF385" s="3">
        <v>3777706</v>
      </c>
      <c r="AG385" s="3">
        <v>3944801</v>
      </c>
      <c r="AH385" s="2">
        <v>4</v>
      </c>
      <c r="AI385" s="5">
        <v>4</v>
      </c>
    </row>
    <row r="386" spans="1:35" x14ac:dyDescent="0.3">
      <c r="A386" s="4" t="str">
        <f>"442111"</f>
        <v>442111</v>
      </c>
      <c r="B386" s="2" t="s">
        <v>382</v>
      </c>
      <c r="C386" s="3">
        <v>26360265</v>
      </c>
      <c r="D386" s="3">
        <v>27125655</v>
      </c>
      <c r="E386" s="2">
        <v>2.9</v>
      </c>
      <c r="F386" s="3">
        <v>16878054</v>
      </c>
      <c r="G386" s="3">
        <v>16878054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16878054</v>
      </c>
      <c r="O386" s="3">
        <v>16878054</v>
      </c>
      <c r="P386" s="2">
        <v>0</v>
      </c>
      <c r="Q386" s="3">
        <v>0</v>
      </c>
      <c r="R386" s="3">
        <v>0</v>
      </c>
      <c r="S386" s="3">
        <v>17305011</v>
      </c>
      <c r="T386" s="3">
        <v>17407685</v>
      </c>
      <c r="U386" s="3">
        <v>16878054</v>
      </c>
      <c r="V386" s="3">
        <v>16878054</v>
      </c>
      <c r="W386" s="3">
        <v>426957</v>
      </c>
      <c r="X386" s="3">
        <v>529631</v>
      </c>
      <c r="Y386" s="2">
        <v>768</v>
      </c>
      <c r="Z386" s="2">
        <v>767</v>
      </c>
      <c r="AA386" s="2">
        <v>-0.13</v>
      </c>
      <c r="AB386" s="3">
        <v>10417970</v>
      </c>
      <c r="AC386" s="3">
        <v>10338270</v>
      </c>
      <c r="AD386" s="3">
        <v>1736222</v>
      </c>
      <c r="AE386" s="3">
        <v>2502707</v>
      </c>
      <c r="AF386" s="3">
        <v>3281012</v>
      </c>
      <c r="AG386" s="3">
        <v>2480365</v>
      </c>
      <c r="AH386" s="2">
        <v>12.45</v>
      </c>
      <c r="AI386" s="5">
        <v>9.14</v>
      </c>
    </row>
    <row r="387" spans="1:35" x14ac:dyDescent="0.3">
      <c r="A387" s="4" t="str">
        <f>"442115"</f>
        <v>442115</v>
      </c>
      <c r="B387" s="2" t="s">
        <v>383</v>
      </c>
      <c r="C387" s="3">
        <v>22699765</v>
      </c>
      <c r="D387" s="3">
        <v>23537680</v>
      </c>
      <c r="E387" s="2">
        <v>3.69</v>
      </c>
      <c r="F387" s="3">
        <v>15598470</v>
      </c>
      <c r="G387" s="3">
        <v>15794905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15598470</v>
      </c>
      <c r="O387" s="3">
        <v>15794905</v>
      </c>
      <c r="P387" s="2">
        <v>1.26</v>
      </c>
      <c r="Q387" s="3">
        <v>363141</v>
      </c>
      <c r="R387" s="3">
        <v>407706</v>
      </c>
      <c r="S387" s="3">
        <v>15235332</v>
      </c>
      <c r="T387" s="3">
        <v>15462199</v>
      </c>
      <c r="U387" s="3">
        <v>15235329</v>
      </c>
      <c r="V387" s="3">
        <v>15387199</v>
      </c>
      <c r="W387" s="3">
        <v>3</v>
      </c>
      <c r="X387" s="3">
        <v>75000</v>
      </c>
      <c r="Y387" s="2">
        <v>758</v>
      </c>
      <c r="Z387" s="2">
        <v>740</v>
      </c>
      <c r="AA387" s="2">
        <v>-2.37</v>
      </c>
      <c r="AB387" s="3">
        <v>2100000</v>
      </c>
      <c r="AC387" s="3">
        <v>2700000</v>
      </c>
      <c r="AD387" s="3">
        <v>450000</v>
      </c>
      <c r="AE387" s="3">
        <v>475000</v>
      </c>
      <c r="AF387" s="3">
        <v>1290000</v>
      </c>
      <c r="AG387" s="3">
        <v>1350000</v>
      </c>
      <c r="AH387" s="2">
        <v>5.68</v>
      </c>
      <c r="AI387" s="5">
        <v>5.74</v>
      </c>
    </row>
    <row r="388" spans="1:35" x14ac:dyDescent="0.3">
      <c r="A388" s="4" t="str">
        <f>"450101"</f>
        <v>450101</v>
      </c>
      <c r="B388" s="2" t="s">
        <v>384</v>
      </c>
      <c r="C388" s="3">
        <v>36841032</v>
      </c>
      <c r="D388" s="3">
        <v>37801299</v>
      </c>
      <c r="E388" s="2">
        <v>2.61</v>
      </c>
      <c r="F388" s="3">
        <v>8449094</v>
      </c>
      <c r="G388" s="3">
        <v>8449039</v>
      </c>
      <c r="H388" s="3"/>
      <c r="I388" s="3"/>
      <c r="J388" s="3"/>
      <c r="K388" s="3"/>
      <c r="L388" s="3"/>
      <c r="M388" s="3"/>
      <c r="N388" s="3">
        <v>8449094</v>
      </c>
      <c r="O388" s="3">
        <v>8449039</v>
      </c>
      <c r="P388" s="2">
        <v>0</v>
      </c>
      <c r="Q388" s="3">
        <v>0</v>
      </c>
      <c r="R388" s="3">
        <v>0</v>
      </c>
      <c r="S388" s="3">
        <v>8741528</v>
      </c>
      <c r="T388" s="3">
        <v>8710526</v>
      </c>
      <c r="U388" s="3">
        <v>8449094</v>
      </c>
      <c r="V388" s="3">
        <v>8449039</v>
      </c>
      <c r="W388" s="3">
        <v>292434</v>
      </c>
      <c r="X388" s="3">
        <v>261487</v>
      </c>
      <c r="Y388" s="2">
        <v>1734</v>
      </c>
      <c r="Z388" s="2">
        <v>1707</v>
      </c>
      <c r="AA388" s="2">
        <v>-1.56</v>
      </c>
      <c r="AB388" s="3">
        <v>22450913</v>
      </c>
      <c r="AC388" s="3">
        <v>25937733</v>
      </c>
      <c r="AD388" s="3">
        <v>1127021</v>
      </c>
      <c r="AE388" s="3">
        <v>935296</v>
      </c>
      <c r="AF388" s="3">
        <v>13244654</v>
      </c>
      <c r="AG388" s="3">
        <v>9949559</v>
      </c>
      <c r="AH388" s="2">
        <v>35.950000000000003</v>
      </c>
      <c r="AI388" s="5">
        <v>26.32</v>
      </c>
    </row>
    <row r="389" spans="1:35" x14ac:dyDescent="0.3">
      <c r="A389" s="4" t="str">
        <f>"450607"</f>
        <v>450607</v>
      </c>
      <c r="B389" s="2" t="s">
        <v>385</v>
      </c>
      <c r="C389" s="3">
        <v>17603596</v>
      </c>
      <c r="D389" s="3">
        <v>19980729</v>
      </c>
      <c r="E389" s="2">
        <v>13.5</v>
      </c>
      <c r="F389" s="3">
        <v>4915501</v>
      </c>
      <c r="G389" s="3">
        <v>4964656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4915501</v>
      </c>
      <c r="O389" s="3">
        <v>4964656</v>
      </c>
      <c r="P389" s="2">
        <v>1</v>
      </c>
      <c r="Q389" s="3">
        <v>0</v>
      </c>
      <c r="R389" s="3">
        <v>0</v>
      </c>
      <c r="S389" s="3">
        <v>4982513</v>
      </c>
      <c r="T389" s="3">
        <v>5075463</v>
      </c>
      <c r="U389" s="3">
        <v>4915501</v>
      </c>
      <c r="V389" s="3">
        <v>4964656</v>
      </c>
      <c r="W389" s="3">
        <v>67012</v>
      </c>
      <c r="X389" s="3">
        <v>110807</v>
      </c>
      <c r="Y389" s="2">
        <v>697</v>
      </c>
      <c r="Z389" s="2">
        <v>699</v>
      </c>
      <c r="AA389" s="2">
        <v>0.28999999999999998</v>
      </c>
      <c r="AB389" s="3">
        <v>7952733</v>
      </c>
      <c r="AC389" s="3">
        <v>9700817</v>
      </c>
      <c r="AD389" s="3">
        <v>157827</v>
      </c>
      <c r="AE389" s="3">
        <v>250000</v>
      </c>
      <c r="AF389" s="3">
        <v>704144</v>
      </c>
      <c r="AG389" s="3">
        <v>799299</v>
      </c>
      <c r="AH389" s="2">
        <v>4</v>
      </c>
      <c r="AI389" s="5">
        <v>4</v>
      </c>
    </row>
    <row r="390" spans="1:35" x14ac:dyDescent="0.3">
      <c r="A390" s="4" t="str">
        <f>"450704"</f>
        <v>450704</v>
      </c>
      <c r="B390" s="2" t="s">
        <v>386</v>
      </c>
      <c r="C390" s="3">
        <v>25780000</v>
      </c>
      <c r="D390" s="3">
        <v>26150000</v>
      </c>
      <c r="E390" s="2">
        <v>1.44</v>
      </c>
      <c r="F390" s="3">
        <v>7427919</v>
      </c>
      <c r="G390" s="3">
        <v>7572763</v>
      </c>
      <c r="H390" s="3"/>
      <c r="I390" s="3"/>
      <c r="J390" s="3"/>
      <c r="K390" s="3"/>
      <c r="L390" s="3"/>
      <c r="M390" s="3"/>
      <c r="N390" s="3">
        <v>7427919</v>
      </c>
      <c r="O390" s="3">
        <v>7572763</v>
      </c>
      <c r="P390" s="2">
        <v>1.95</v>
      </c>
      <c r="Q390" s="3">
        <v>0</v>
      </c>
      <c r="R390" s="3">
        <v>0</v>
      </c>
      <c r="S390" s="3">
        <v>7427919</v>
      </c>
      <c r="T390" s="3">
        <v>7572763</v>
      </c>
      <c r="U390" s="3">
        <v>7427919</v>
      </c>
      <c r="V390" s="3">
        <v>7572763</v>
      </c>
      <c r="W390" s="3">
        <v>0</v>
      </c>
      <c r="X390" s="3">
        <v>0</v>
      </c>
      <c r="Y390" s="2">
        <v>976</v>
      </c>
      <c r="Z390" s="2">
        <v>975</v>
      </c>
      <c r="AA390" s="2">
        <v>-0.1</v>
      </c>
      <c r="AB390" s="3">
        <v>4432742</v>
      </c>
      <c r="AC390" s="3">
        <v>4456604</v>
      </c>
      <c r="AD390" s="3">
        <v>988662</v>
      </c>
      <c r="AE390" s="3">
        <v>950000</v>
      </c>
      <c r="AF390" s="3">
        <v>1031200</v>
      </c>
      <c r="AG390" s="3">
        <v>1046000</v>
      </c>
      <c r="AH390" s="2">
        <v>4</v>
      </c>
      <c r="AI390" s="5">
        <v>4</v>
      </c>
    </row>
    <row r="391" spans="1:35" x14ac:dyDescent="0.3">
      <c r="A391" s="4" t="str">
        <f>"450801"</f>
        <v>450801</v>
      </c>
      <c r="B391" s="2" t="s">
        <v>387</v>
      </c>
      <c r="C391" s="3">
        <v>40491733</v>
      </c>
      <c r="D391" s="3">
        <v>39323374</v>
      </c>
      <c r="E391" s="2">
        <v>-2.89</v>
      </c>
      <c r="F391" s="3">
        <v>8641861</v>
      </c>
      <c r="G391" s="3">
        <v>8641861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8641861</v>
      </c>
      <c r="O391" s="3">
        <v>8641861</v>
      </c>
      <c r="P391" s="2">
        <v>0</v>
      </c>
      <c r="Q391" s="3">
        <v>6986</v>
      </c>
      <c r="R391" s="3">
        <v>6201</v>
      </c>
      <c r="S391" s="3">
        <v>8983202</v>
      </c>
      <c r="T391" s="3">
        <v>8945575</v>
      </c>
      <c r="U391" s="3">
        <v>8634875</v>
      </c>
      <c r="V391" s="3">
        <v>8635660</v>
      </c>
      <c r="W391" s="3">
        <v>348327</v>
      </c>
      <c r="X391" s="3">
        <v>309915</v>
      </c>
      <c r="Y391" s="2">
        <v>1405</v>
      </c>
      <c r="Z391" s="2">
        <v>1395</v>
      </c>
      <c r="AA391" s="2">
        <v>-0.71</v>
      </c>
      <c r="AB391" s="3">
        <v>4266650</v>
      </c>
      <c r="AC391" s="3">
        <v>4266840</v>
      </c>
      <c r="AD391" s="3">
        <v>2781517</v>
      </c>
      <c r="AE391" s="3">
        <v>1302509</v>
      </c>
      <c r="AF391" s="3">
        <v>167345</v>
      </c>
      <c r="AG391" s="3">
        <v>367500</v>
      </c>
      <c r="AH391" s="2">
        <v>0.41</v>
      </c>
      <c r="AI391" s="5">
        <v>0.93</v>
      </c>
    </row>
    <row r="392" spans="1:35" x14ac:dyDescent="0.3">
      <c r="A392" s="4" t="str">
        <f>"451001"</f>
        <v>451001</v>
      </c>
      <c r="B392" s="2" t="s">
        <v>388</v>
      </c>
      <c r="C392" s="3">
        <v>14698217</v>
      </c>
      <c r="D392" s="3">
        <v>15266796</v>
      </c>
      <c r="E392" s="2">
        <v>3.87</v>
      </c>
      <c r="F392" s="3">
        <v>4439388</v>
      </c>
      <c r="G392" s="3">
        <v>4528176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4439388</v>
      </c>
      <c r="O392" s="3">
        <v>4528176</v>
      </c>
      <c r="P392" s="2">
        <v>2</v>
      </c>
      <c r="Q392" s="3">
        <v>0</v>
      </c>
      <c r="R392" s="3">
        <v>0</v>
      </c>
      <c r="S392" s="3">
        <v>4503485</v>
      </c>
      <c r="T392" s="3">
        <v>4564223</v>
      </c>
      <c r="U392" s="3">
        <v>4439388</v>
      </c>
      <c r="V392" s="3">
        <v>4528176</v>
      </c>
      <c r="W392" s="3">
        <v>64097</v>
      </c>
      <c r="X392" s="3">
        <v>36047</v>
      </c>
      <c r="Y392" s="2">
        <v>624</v>
      </c>
      <c r="Z392" s="2">
        <v>637</v>
      </c>
      <c r="AA392" s="2">
        <v>2.08</v>
      </c>
      <c r="AB392" s="3">
        <v>6550129</v>
      </c>
      <c r="AC392" s="3">
        <v>6843706</v>
      </c>
      <c r="AD392" s="3">
        <v>656477</v>
      </c>
      <c r="AE392" s="3">
        <v>656477</v>
      </c>
      <c r="AF392" s="3">
        <v>565708</v>
      </c>
      <c r="AG392" s="3">
        <v>604000</v>
      </c>
      <c r="AH392" s="2">
        <v>3.85</v>
      </c>
      <c r="AI392" s="5">
        <v>3.96</v>
      </c>
    </row>
    <row r="393" spans="1:35" x14ac:dyDescent="0.3">
      <c r="A393" s="4" t="str">
        <f>"460102"</f>
        <v>460102</v>
      </c>
      <c r="B393" s="2" t="s">
        <v>389</v>
      </c>
      <c r="C393" s="3">
        <v>33166285</v>
      </c>
      <c r="D393" s="3">
        <v>33166285</v>
      </c>
      <c r="E393" s="2">
        <v>0</v>
      </c>
      <c r="F393" s="3">
        <v>6238263</v>
      </c>
      <c r="G393" s="3">
        <v>6238263</v>
      </c>
      <c r="H393" s="3">
        <v>65000</v>
      </c>
      <c r="I393" s="3">
        <v>65000</v>
      </c>
      <c r="J393" s="3">
        <v>0</v>
      </c>
      <c r="K393" s="3">
        <v>0</v>
      </c>
      <c r="L393" s="3">
        <v>0</v>
      </c>
      <c r="M393" s="3">
        <v>0</v>
      </c>
      <c r="N393" s="3">
        <v>6303263</v>
      </c>
      <c r="O393" s="3">
        <v>6303263</v>
      </c>
      <c r="P393" s="2">
        <v>0</v>
      </c>
      <c r="Q393" s="3">
        <v>11066</v>
      </c>
      <c r="R393" s="3">
        <v>10744</v>
      </c>
      <c r="S393" s="3">
        <v>6463138</v>
      </c>
      <c r="T393" s="3">
        <v>6344752</v>
      </c>
      <c r="U393" s="3">
        <v>6227197</v>
      </c>
      <c r="V393" s="3">
        <v>6227519</v>
      </c>
      <c r="W393" s="3">
        <v>235941</v>
      </c>
      <c r="X393" s="3">
        <v>117233</v>
      </c>
      <c r="Y393" s="2">
        <v>1093</v>
      </c>
      <c r="Z393" s="2">
        <v>1071</v>
      </c>
      <c r="AA393" s="2">
        <v>-2.0099999999999998</v>
      </c>
      <c r="AB393" s="3">
        <v>22791085</v>
      </c>
      <c r="AC393" s="3">
        <v>22691085</v>
      </c>
      <c r="AD393" s="3">
        <v>100000</v>
      </c>
      <c r="AE393" s="3">
        <v>100000</v>
      </c>
      <c r="AF393" s="3">
        <v>1326651</v>
      </c>
      <c r="AG393" s="3">
        <v>1326651</v>
      </c>
      <c r="AH393" s="2">
        <v>4</v>
      </c>
      <c r="AI393" s="5">
        <v>4</v>
      </c>
    </row>
    <row r="394" spans="1:35" x14ac:dyDescent="0.3">
      <c r="A394" s="4" t="str">
        <f>"460500"</f>
        <v>460500</v>
      </c>
      <c r="B394" s="2" t="s">
        <v>390</v>
      </c>
      <c r="C394" s="3">
        <v>73777000</v>
      </c>
      <c r="D394" s="3">
        <v>76230000</v>
      </c>
      <c r="E394" s="2">
        <v>3.32</v>
      </c>
      <c r="F394" s="3">
        <v>21613305</v>
      </c>
      <c r="G394" s="3">
        <v>21613305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21613305</v>
      </c>
      <c r="O394" s="3">
        <v>21613305</v>
      </c>
      <c r="P394" s="2">
        <v>0</v>
      </c>
      <c r="Q394" s="3">
        <v>4653</v>
      </c>
      <c r="R394" s="3">
        <v>223640</v>
      </c>
      <c r="S394" s="3">
        <v>21608652</v>
      </c>
      <c r="T394" s="3">
        <v>21389665</v>
      </c>
      <c r="U394" s="3">
        <v>21608652</v>
      </c>
      <c r="V394" s="3">
        <v>21389665</v>
      </c>
      <c r="W394" s="3">
        <v>0</v>
      </c>
      <c r="X394" s="3">
        <v>0</v>
      </c>
      <c r="Y394" s="2">
        <v>3240</v>
      </c>
      <c r="Z394" s="2">
        <v>3200</v>
      </c>
      <c r="AA394" s="2">
        <v>-1.23</v>
      </c>
      <c r="AB394" s="3">
        <v>9287313</v>
      </c>
      <c r="AC394" s="3">
        <v>8930439</v>
      </c>
      <c r="AD394" s="3">
        <v>200000</v>
      </c>
      <c r="AE394" s="3">
        <v>200000</v>
      </c>
      <c r="AF394" s="3">
        <v>3047993</v>
      </c>
      <c r="AG394" s="3">
        <v>3047993</v>
      </c>
      <c r="AH394" s="2">
        <v>4.13</v>
      </c>
      <c r="AI394" s="5">
        <v>4</v>
      </c>
    </row>
    <row r="395" spans="1:35" x14ac:dyDescent="0.3">
      <c r="A395" s="4" t="str">
        <f>"460701"</f>
        <v>460701</v>
      </c>
      <c r="B395" s="2" t="s">
        <v>391</v>
      </c>
      <c r="C395" s="3">
        <v>35210500</v>
      </c>
      <c r="D395" s="3">
        <v>36310500</v>
      </c>
      <c r="E395" s="2">
        <v>3.12</v>
      </c>
      <c r="F395" s="3">
        <v>6676775</v>
      </c>
      <c r="G395" s="3">
        <v>6676775</v>
      </c>
      <c r="H395" s="3"/>
      <c r="I395" s="3"/>
      <c r="J395" s="3"/>
      <c r="K395" s="3"/>
      <c r="L395" s="3"/>
      <c r="M395" s="3"/>
      <c r="N395" s="3">
        <v>6676775</v>
      </c>
      <c r="O395" s="3">
        <v>6676775</v>
      </c>
      <c r="P395" s="2">
        <v>0</v>
      </c>
      <c r="Q395" s="3">
        <v>0</v>
      </c>
      <c r="R395" s="3">
        <v>0</v>
      </c>
      <c r="S395" s="3">
        <v>6950989</v>
      </c>
      <c r="T395" s="3">
        <v>6919146</v>
      </c>
      <c r="U395" s="3">
        <v>6676775</v>
      </c>
      <c r="V395" s="3">
        <v>6676775</v>
      </c>
      <c r="W395" s="3">
        <v>274214</v>
      </c>
      <c r="X395" s="3">
        <v>242371</v>
      </c>
      <c r="Y395" s="2">
        <v>1400</v>
      </c>
      <c r="Z395" s="2">
        <v>1300</v>
      </c>
      <c r="AA395" s="2">
        <v>-7.14</v>
      </c>
      <c r="AB395" s="3">
        <v>9749753</v>
      </c>
      <c r="AC395" s="3">
        <v>9900000</v>
      </c>
      <c r="AD395" s="3">
        <v>2684406</v>
      </c>
      <c r="AE395" s="3">
        <v>2881878</v>
      </c>
      <c r="AF395" s="3">
        <v>1365129</v>
      </c>
      <c r="AG395" s="3">
        <v>1425000</v>
      </c>
      <c r="AH395" s="2">
        <v>3.88</v>
      </c>
      <c r="AI395" s="5">
        <v>3.92</v>
      </c>
    </row>
    <row r="396" spans="1:35" x14ac:dyDescent="0.3">
      <c r="A396" s="4" t="str">
        <f>"460801"</f>
        <v>460801</v>
      </c>
      <c r="B396" s="2" t="s">
        <v>392</v>
      </c>
      <c r="C396" s="3">
        <v>81325857</v>
      </c>
      <c r="D396" s="3">
        <v>85963942</v>
      </c>
      <c r="E396" s="2">
        <v>5.7</v>
      </c>
      <c r="F396" s="3">
        <v>29922927</v>
      </c>
      <c r="G396" s="3">
        <v>29922927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29922927</v>
      </c>
      <c r="O396" s="3">
        <v>29922927</v>
      </c>
      <c r="P396" s="2">
        <v>0</v>
      </c>
      <c r="Q396" s="3">
        <v>1062263</v>
      </c>
      <c r="R396" s="3">
        <v>425536</v>
      </c>
      <c r="S396" s="3">
        <v>28860664</v>
      </c>
      <c r="T396" s="3">
        <v>29497391</v>
      </c>
      <c r="U396" s="3">
        <v>28860664</v>
      </c>
      <c r="V396" s="3">
        <v>29497391</v>
      </c>
      <c r="W396" s="3">
        <v>0</v>
      </c>
      <c r="X396" s="3">
        <v>0</v>
      </c>
      <c r="Y396" s="2">
        <v>3531</v>
      </c>
      <c r="Z396" s="2">
        <v>3475</v>
      </c>
      <c r="AA396" s="2">
        <v>-1.59</v>
      </c>
      <c r="AB396" s="3">
        <v>5924557</v>
      </c>
      <c r="AC396" s="3">
        <v>5776456</v>
      </c>
      <c r="AD396" s="3">
        <v>5723096</v>
      </c>
      <c r="AE396" s="3">
        <v>5700000</v>
      </c>
      <c r="AF396" s="3">
        <v>6813102</v>
      </c>
      <c r="AG396" s="3">
        <v>5313100</v>
      </c>
      <c r="AH396" s="2">
        <v>8.3800000000000008</v>
      </c>
      <c r="AI396" s="5">
        <v>6.18</v>
      </c>
    </row>
    <row r="397" spans="1:35" x14ac:dyDescent="0.3">
      <c r="A397" s="4" t="str">
        <f>"460901"</f>
        <v>460901</v>
      </c>
      <c r="B397" s="2" t="s">
        <v>393</v>
      </c>
      <c r="C397" s="3">
        <v>57619200</v>
      </c>
      <c r="D397" s="3">
        <v>59627200</v>
      </c>
      <c r="E397" s="2">
        <v>3.48</v>
      </c>
      <c r="F397" s="3">
        <v>12568748</v>
      </c>
      <c r="G397" s="3">
        <v>12807631</v>
      </c>
      <c r="H397" s="3"/>
      <c r="I397" s="3"/>
      <c r="J397" s="3"/>
      <c r="K397" s="3"/>
      <c r="L397" s="3"/>
      <c r="M397" s="3"/>
      <c r="N397" s="3">
        <v>12568748</v>
      </c>
      <c r="O397" s="3">
        <v>12807631</v>
      </c>
      <c r="P397" s="2">
        <v>1.9</v>
      </c>
      <c r="Q397" s="3">
        <v>971862</v>
      </c>
      <c r="R397" s="3">
        <v>904406</v>
      </c>
      <c r="S397" s="3">
        <v>12002788</v>
      </c>
      <c r="T397" s="3">
        <v>11903225</v>
      </c>
      <c r="U397" s="3">
        <v>11596886</v>
      </c>
      <c r="V397" s="3">
        <v>11903225</v>
      </c>
      <c r="W397" s="3">
        <v>405902</v>
      </c>
      <c r="X397" s="3">
        <v>0</v>
      </c>
      <c r="Y397" s="2">
        <v>1853</v>
      </c>
      <c r="Z397" s="2">
        <v>1857</v>
      </c>
      <c r="AA397" s="2">
        <v>0.22</v>
      </c>
      <c r="AB397" s="3">
        <v>34362000</v>
      </c>
      <c r="AC397" s="3">
        <v>33772600</v>
      </c>
      <c r="AD397" s="3">
        <v>1555000</v>
      </c>
      <c r="AE397" s="3">
        <v>2000000</v>
      </c>
      <c r="AF397" s="3">
        <v>2304768</v>
      </c>
      <c r="AG397" s="3">
        <v>1795100</v>
      </c>
      <c r="AH397" s="2">
        <v>4</v>
      </c>
      <c r="AI397" s="5">
        <v>3.01</v>
      </c>
    </row>
    <row r="398" spans="1:35" x14ac:dyDescent="0.3">
      <c r="A398" s="4" t="str">
        <f>"461300"</f>
        <v>461300</v>
      </c>
      <c r="B398" s="2" t="s">
        <v>394</v>
      </c>
      <c r="C398" s="3">
        <v>88505455</v>
      </c>
      <c r="D398" s="3">
        <v>91159811</v>
      </c>
      <c r="E398" s="2">
        <v>3</v>
      </c>
      <c r="F398" s="3">
        <v>26643488</v>
      </c>
      <c r="G398" s="3">
        <v>26643488</v>
      </c>
      <c r="H398" s="3"/>
      <c r="I398" s="3"/>
      <c r="J398" s="3"/>
      <c r="K398" s="3"/>
      <c r="L398" s="3"/>
      <c r="M398" s="3"/>
      <c r="N398" s="3">
        <v>26643488</v>
      </c>
      <c r="O398" s="3">
        <v>26643488</v>
      </c>
      <c r="P398" s="2">
        <v>0</v>
      </c>
      <c r="Q398" s="3">
        <v>1083222</v>
      </c>
      <c r="R398" s="3">
        <v>1916533</v>
      </c>
      <c r="S398" s="3">
        <v>26041988</v>
      </c>
      <c r="T398" s="3">
        <v>27958521</v>
      </c>
      <c r="U398" s="3">
        <v>25560266</v>
      </c>
      <c r="V398" s="3">
        <v>24726955</v>
      </c>
      <c r="W398" s="3">
        <v>481722</v>
      </c>
      <c r="X398" s="3">
        <v>3231566</v>
      </c>
      <c r="Y398" s="2">
        <v>3611</v>
      </c>
      <c r="Z398" s="2">
        <v>3620</v>
      </c>
      <c r="AA398" s="2">
        <v>0.25</v>
      </c>
      <c r="AB398" s="3">
        <v>0</v>
      </c>
      <c r="AC398" s="3">
        <v>0</v>
      </c>
      <c r="AD398" s="3">
        <v>837811</v>
      </c>
      <c r="AE398" s="3">
        <v>0</v>
      </c>
      <c r="AF398" s="3">
        <v>3540218</v>
      </c>
      <c r="AG398" s="3">
        <v>3646392</v>
      </c>
      <c r="AH398" s="2">
        <v>4</v>
      </c>
      <c r="AI398" s="5">
        <v>4</v>
      </c>
    </row>
    <row r="399" spans="1:35" x14ac:dyDescent="0.3">
      <c r="A399" s="4" t="str">
        <f>"461801"</f>
        <v>461801</v>
      </c>
      <c r="B399" s="2" t="s">
        <v>395</v>
      </c>
      <c r="C399" s="3">
        <v>27617000</v>
      </c>
      <c r="D399" s="3">
        <v>27929000</v>
      </c>
      <c r="E399" s="2">
        <v>1.1299999999999999</v>
      </c>
      <c r="F399" s="3">
        <v>7120035</v>
      </c>
      <c r="G399" s="3">
        <v>7120035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7120035</v>
      </c>
      <c r="O399" s="3">
        <v>7120035</v>
      </c>
      <c r="P399" s="2">
        <v>0</v>
      </c>
      <c r="Q399" s="3">
        <v>178813</v>
      </c>
      <c r="R399" s="3">
        <v>206412</v>
      </c>
      <c r="S399" s="3">
        <v>6941222</v>
      </c>
      <c r="T399" s="3">
        <v>7056118</v>
      </c>
      <c r="U399" s="3">
        <v>6941222</v>
      </c>
      <c r="V399" s="3">
        <v>6913623</v>
      </c>
      <c r="W399" s="3">
        <v>0</v>
      </c>
      <c r="X399" s="3">
        <v>142495</v>
      </c>
      <c r="Y399" s="2">
        <v>1018</v>
      </c>
      <c r="Z399" s="2">
        <v>980</v>
      </c>
      <c r="AA399" s="2">
        <v>-3.73</v>
      </c>
      <c r="AB399" s="3">
        <v>2831419</v>
      </c>
      <c r="AC399" s="3">
        <v>2731418</v>
      </c>
      <c r="AD399" s="3">
        <v>1618101</v>
      </c>
      <c r="AE399" s="3">
        <v>1199787</v>
      </c>
      <c r="AF399" s="3">
        <v>1103113</v>
      </c>
      <c r="AG399" s="3">
        <v>1117160</v>
      </c>
      <c r="AH399" s="2">
        <v>3.99</v>
      </c>
      <c r="AI399" s="5">
        <v>4</v>
      </c>
    </row>
    <row r="400" spans="1:35" x14ac:dyDescent="0.3">
      <c r="A400" s="4" t="str">
        <f>"461901"</f>
        <v>461901</v>
      </c>
      <c r="B400" s="2" t="s">
        <v>396</v>
      </c>
      <c r="C400" s="3">
        <v>23240836</v>
      </c>
      <c r="D400" s="3">
        <v>24416606</v>
      </c>
      <c r="E400" s="2">
        <v>5.0599999999999996</v>
      </c>
      <c r="F400" s="3">
        <v>6951455</v>
      </c>
      <c r="G400" s="3">
        <v>6866782</v>
      </c>
      <c r="H400" s="3">
        <v>94000</v>
      </c>
      <c r="I400" s="3">
        <v>94000</v>
      </c>
      <c r="J400" s="3">
        <v>0</v>
      </c>
      <c r="K400" s="3">
        <v>0</v>
      </c>
      <c r="L400" s="3">
        <v>0</v>
      </c>
      <c r="M400" s="3">
        <v>0</v>
      </c>
      <c r="N400" s="3">
        <v>7045455</v>
      </c>
      <c r="O400" s="3">
        <v>6960782</v>
      </c>
      <c r="P400" s="2">
        <v>-1.2</v>
      </c>
      <c r="Q400" s="3">
        <v>201226</v>
      </c>
      <c r="R400" s="3">
        <v>531249</v>
      </c>
      <c r="S400" s="3">
        <v>7344437</v>
      </c>
      <c r="T400" s="3">
        <v>7532031</v>
      </c>
      <c r="U400" s="3">
        <v>6750229</v>
      </c>
      <c r="V400" s="3">
        <v>6335533</v>
      </c>
      <c r="W400" s="3">
        <v>594208</v>
      </c>
      <c r="X400" s="3">
        <v>1196498</v>
      </c>
      <c r="Y400" s="2">
        <v>738</v>
      </c>
      <c r="Z400" s="2">
        <v>738</v>
      </c>
      <c r="AA400" s="2">
        <v>0</v>
      </c>
      <c r="AB400" s="3">
        <v>3989676</v>
      </c>
      <c r="AC400" s="3">
        <v>3805692</v>
      </c>
      <c r="AD400" s="3">
        <v>150000</v>
      </c>
      <c r="AE400" s="3">
        <v>185275</v>
      </c>
      <c r="AF400" s="3">
        <v>1865894</v>
      </c>
      <c r="AG400" s="3">
        <v>1880619</v>
      </c>
      <c r="AH400" s="2">
        <v>8.0299999999999994</v>
      </c>
      <c r="AI400" s="5">
        <v>7.7</v>
      </c>
    </row>
    <row r="401" spans="1:35" x14ac:dyDescent="0.3">
      <c r="A401" s="4" t="str">
        <f>"462001"</f>
        <v>462001</v>
      </c>
      <c r="B401" s="2" t="s">
        <v>397</v>
      </c>
      <c r="C401" s="3">
        <v>47335501</v>
      </c>
      <c r="D401" s="3">
        <v>49518145</v>
      </c>
      <c r="E401" s="2">
        <v>4.6100000000000003</v>
      </c>
      <c r="F401" s="3">
        <v>17426873</v>
      </c>
      <c r="G401" s="3">
        <v>17426873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17426873</v>
      </c>
      <c r="O401" s="3">
        <v>17426873</v>
      </c>
      <c r="P401" s="2">
        <v>0</v>
      </c>
      <c r="Q401" s="3">
        <v>221294</v>
      </c>
      <c r="R401" s="3">
        <v>302547</v>
      </c>
      <c r="S401" s="3">
        <v>17584472</v>
      </c>
      <c r="T401" s="3">
        <v>17683988</v>
      </c>
      <c r="U401" s="3">
        <v>17205579</v>
      </c>
      <c r="V401" s="3">
        <v>17124326</v>
      </c>
      <c r="W401" s="3">
        <v>378893</v>
      </c>
      <c r="X401" s="3">
        <v>559662</v>
      </c>
      <c r="Y401" s="2">
        <v>1700</v>
      </c>
      <c r="Z401" s="2">
        <v>1661</v>
      </c>
      <c r="AA401" s="2">
        <v>-2.29</v>
      </c>
      <c r="AB401" s="3">
        <v>13855477</v>
      </c>
      <c r="AC401" s="3">
        <v>17131035</v>
      </c>
      <c r="AD401" s="3">
        <v>714089</v>
      </c>
      <c r="AE401" s="3">
        <v>0</v>
      </c>
      <c r="AF401" s="3">
        <v>1893419</v>
      </c>
      <c r="AG401" s="3">
        <v>1980725</v>
      </c>
      <c r="AH401" s="2">
        <v>4</v>
      </c>
      <c r="AI401" s="5">
        <v>4</v>
      </c>
    </row>
    <row r="402" spans="1:35" x14ac:dyDescent="0.3">
      <c r="A402" s="4" t="str">
        <f>"470202"</f>
        <v>470202</v>
      </c>
      <c r="B402" s="2" t="s">
        <v>398</v>
      </c>
      <c r="C402" s="3">
        <v>10195655</v>
      </c>
      <c r="D402" s="3">
        <v>10300655</v>
      </c>
      <c r="E402" s="2">
        <v>1.03</v>
      </c>
      <c r="F402" s="3">
        <v>2538050</v>
      </c>
      <c r="G402" s="3">
        <v>2595150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2538050</v>
      </c>
      <c r="O402" s="3">
        <v>2595150</v>
      </c>
      <c r="P402" s="2">
        <v>2.25</v>
      </c>
      <c r="Q402" s="3">
        <v>0</v>
      </c>
      <c r="R402" s="3">
        <v>0</v>
      </c>
      <c r="S402" s="3">
        <v>2564230</v>
      </c>
      <c r="T402" s="3">
        <v>2609066</v>
      </c>
      <c r="U402" s="3">
        <v>2538050</v>
      </c>
      <c r="V402" s="3">
        <v>2595150</v>
      </c>
      <c r="W402" s="3">
        <v>26180</v>
      </c>
      <c r="X402" s="3">
        <v>13916</v>
      </c>
      <c r="Y402" s="2">
        <v>335</v>
      </c>
      <c r="Z402" s="2">
        <v>335</v>
      </c>
      <c r="AA402" s="2">
        <v>0</v>
      </c>
      <c r="AB402" s="3">
        <v>2151247</v>
      </c>
      <c r="AC402" s="3">
        <v>3340166</v>
      </c>
      <c r="AD402" s="3">
        <v>470735</v>
      </c>
      <c r="AE402" s="3">
        <v>319000</v>
      </c>
      <c r="AF402" s="3">
        <v>406953</v>
      </c>
      <c r="AG402" s="3">
        <v>414624</v>
      </c>
      <c r="AH402" s="2">
        <v>3.99</v>
      </c>
      <c r="AI402" s="5">
        <v>4.03</v>
      </c>
    </row>
    <row r="403" spans="1:35" x14ac:dyDescent="0.3">
      <c r="A403" s="4" t="str">
        <f>"470501"</f>
        <v>470501</v>
      </c>
      <c r="B403" s="2" t="s">
        <v>399</v>
      </c>
      <c r="C403" s="3">
        <v>10638125</v>
      </c>
      <c r="D403" s="3">
        <v>10215239</v>
      </c>
      <c r="E403" s="2">
        <v>-3.98</v>
      </c>
      <c r="F403" s="3">
        <v>2654009</v>
      </c>
      <c r="G403" s="3">
        <v>2642904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2654009</v>
      </c>
      <c r="O403" s="3">
        <v>2642904</v>
      </c>
      <c r="P403" s="2">
        <v>-0.42</v>
      </c>
      <c r="Q403" s="3">
        <v>227692</v>
      </c>
      <c r="R403" s="3">
        <v>186743</v>
      </c>
      <c r="S403" s="3">
        <v>2509710</v>
      </c>
      <c r="T403" s="3">
        <v>2456161</v>
      </c>
      <c r="U403" s="3">
        <v>2426317</v>
      </c>
      <c r="V403" s="3">
        <v>2456161</v>
      </c>
      <c r="W403" s="3">
        <v>83393</v>
      </c>
      <c r="X403" s="3">
        <v>0</v>
      </c>
      <c r="Y403" s="2">
        <v>389</v>
      </c>
      <c r="Z403" s="2">
        <v>342</v>
      </c>
      <c r="AA403" s="2">
        <v>-12.08</v>
      </c>
      <c r="AB403" s="3">
        <v>1290802</v>
      </c>
      <c r="AC403" s="3">
        <v>1493302</v>
      </c>
      <c r="AD403" s="3">
        <v>180000</v>
      </c>
      <c r="AE403" s="3">
        <v>150000</v>
      </c>
      <c r="AF403" s="3">
        <v>1536873</v>
      </c>
      <c r="AG403" s="3">
        <v>1334373</v>
      </c>
      <c r="AH403" s="2">
        <v>14.45</v>
      </c>
      <c r="AI403" s="5">
        <v>13.06</v>
      </c>
    </row>
    <row r="404" spans="1:35" x14ac:dyDescent="0.3">
      <c r="A404" s="4" t="str">
        <f>"470801"</f>
        <v>470801</v>
      </c>
      <c r="B404" s="2" t="s">
        <v>400</v>
      </c>
      <c r="C404" s="3">
        <v>10206112</v>
      </c>
      <c r="D404" s="3">
        <v>10242847</v>
      </c>
      <c r="E404" s="2">
        <v>0.36</v>
      </c>
      <c r="F404" s="3">
        <v>2782401</v>
      </c>
      <c r="G404" s="3">
        <v>2836202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2782401</v>
      </c>
      <c r="O404" s="3">
        <v>2836202</v>
      </c>
      <c r="P404" s="2">
        <v>1.93</v>
      </c>
      <c r="Q404" s="3">
        <v>96518</v>
      </c>
      <c r="R404" s="3">
        <v>111931</v>
      </c>
      <c r="S404" s="3">
        <v>2722429</v>
      </c>
      <c r="T404" s="3">
        <v>2724271</v>
      </c>
      <c r="U404" s="3">
        <v>2685883</v>
      </c>
      <c r="V404" s="3">
        <v>2724271</v>
      </c>
      <c r="W404" s="3">
        <v>36546</v>
      </c>
      <c r="X404" s="3">
        <v>0</v>
      </c>
      <c r="Y404" s="2">
        <v>312</v>
      </c>
      <c r="Z404" s="2">
        <v>315</v>
      </c>
      <c r="AA404" s="2">
        <v>0.96</v>
      </c>
      <c r="AB404" s="3">
        <v>2743440</v>
      </c>
      <c r="AC404" s="3">
        <v>2973455</v>
      </c>
      <c r="AD404" s="3">
        <v>275000</v>
      </c>
      <c r="AE404" s="3">
        <v>288382</v>
      </c>
      <c r="AF404" s="3">
        <v>408244</v>
      </c>
      <c r="AG404" s="3">
        <v>409714</v>
      </c>
      <c r="AH404" s="2">
        <v>4</v>
      </c>
      <c r="AI404" s="5">
        <v>4</v>
      </c>
    </row>
    <row r="405" spans="1:35" x14ac:dyDescent="0.3">
      <c r="A405" s="4" t="str">
        <f>"470901"</f>
        <v>470901</v>
      </c>
      <c r="B405" s="2" t="s">
        <v>401</v>
      </c>
      <c r="C405" s="3">
        <v>9463099</v>
      </c>
      <c r="D405" s="3">
        <v>9582185</v>
      </c>
      <c r="E405" s="2">
        <v>1.26</v>
      </c>
      <c r="F405" s="3">
        <v>3524889</v>
      </c>
      <c r="G405" s="3">
        <v>3754007</v>
      </c>
      <c r="H405" s="3"/>
      <c r="I405" s="3"/>
      <c r="J405" s="3"/>
      <c r="K405" s="3"/>
      <c r="L405" s="3"/>
      <c r="M405" s="3"/>
      <c r="N405" s="3">
        <v>3524889</v>
      </c>
      <c r="O405" s="3">
        <v>3754007</v>
      </c>
      <c r="P405" s="2">
        <v>6.5</v>
      </c>
      <c r="Q405" s="3">
        <v>233650</v>
      </c>
      <c r="R405" s="3">
        <v>150598</v>
      </c>
      <c r="S405" s="3">
        <v>3291239</v>
      </c>
      <c r="T405" s="3">
        <v>3331721</v>
      </c>
      <c r="U405" s="3">
        <v>3291239</v>
      </c>
      <c r="V405" s="3">
        <v>3603409</v>
      </c>
      <c r="W405" s="3">
        <v>0</v>
      </c>
      <c r="X405" s="3">
        <v>-271688</v>
      </c>
      <c r="Y405" s="2">
        <v>340</v>
      </c>
      <c r="Z405" s="2">
        <v>291</v>
      </c>
      <c r="AA405" s="2">
        <v>-14.41</v>
      </c>
      <c r="AB405" s="3">
        <v>267441</v>
      </c>
      <c r="AC405" s="3">
        <v>553151</v>
      </c>
      <c r="AD405" s="3">
        <v>117710</v>
      </c>
      <c r="AE405" s="3">
        <v>5302</v>
      </c>
      <c r="AF405" s="3">
        <v>285546</v>
      </c>
      <c r="AG405" s="3">
        <v>380000</v>
      </c>
      <c r="AH405" s="2">
        <v>3.02</v>
      </c>
      <c r="AI405" s="5">
        <v>3.97</v>
      </c>
    </row>
    <row r="406" spans="1:35" x14ac:dyDescent="0.3">
      <c r="A406" s="4" t="str">
        <f>"471101"</f>
        <v>471101</v>
      </c>
      <c r="B406" s="2" t="s">
        <v>402</v>
      </c>
      <c r="C406" s="3">
        <v>10735511</v>
      </c>
      <c r="D406" s="3">
        <v>11145241</v>
      </c>
      <c r="E406" s="2">
        <v>3.82</v>
      </c>
      <c r="F406" s="3">
        <v>4256614</v>
      </c>
      <c r="G406" s="3">
        <v>4341746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4256614</v>
      </c>
      <c r="O406" s="3">
        <v>4341746</v>
      </c>
      <c r="P406" s="2">
        <v>2</v>
      </c>
      <c r="Q406" s="3">
        <v>187083</v>
      </c>
      <c r="R406" s="3">
        <v>245785</v>
      </c>
      <c r="S406" s="3">
        <v>4069536</v>
      </c>
      <c r="T406" s="3">
        <v>4121798</v>
      </c>
      <c r="U406" s="3">
        <v>4069531</v>
      </c>
      <c r="V406" s="3">
        <v>4095961</v>
      </c>
      <c r="W406" s="3">
        <v>5</v>
      </c>
      <c r="X406" s="3">
        <v>25837</v>
      </c>
      <c r="Y406" s="2">
        <v>368</v>
      </c>
      <c r="Z406" s="2">
        <v>361</v>
      </c>
      <c r="AA406" s="2">
        <v>-1.9</v>
      </c>
      <c r="AB406" s="3">
        <v>1162556</v>
      </c>
      <c r="AC406" s="3">
        <v>1128365</v>
      </c>
      <c r="AD406" s="3">
        <v>661332</v>
      </c>
      <c r="AE406" s="3">
        <v>789815</v>
      </c>
      <c r="AF406" s="3">
        <v>1055016</v>
      </c>
      <c r="AG406" s="3">
        <v>1075938</v>
      </c>
      <c r="AH406" s="2">
        <v>9.83</v>
      </c>
      <c r="AI406" s="5">
        <v>9.65</v>
      </c>
    </row>
    <row r="407" spans="1:35" x14ac:dyDescent="0.3">
      <c r="A407" s="4" t="str">
        <f>"471201"</f>
        <v>471201</v>
      </c>
      <c r="B407" s="2" t="s">
        <v>403</v>
      </c>
      <c r="C407" s="3">
        <v>9640527</v>
      </c>
      <c r="D407" s="3">
        <v>9675000</v>
      </c>
      <c r="E407" s="2">
        <v>0.36</v>
      </c>
      <c r="F407" s="3">
        <v>3080824</v>
      </c>
      <c r="G407" s="3">
        <v>3104000</v>
      </c>
      <c r="H407" s="3"/>
      <c r="I407" s="3"/>
      <c r="J407" s="3"/>
      <c r="K407" s="3"/>
      <c r="L407" s="3"/>
      <c r="M407" s="3"/>
      <c r="N407" s="3">
        <v>3080824</v>
      </c>
      <c r="O407" s="3">
        <v>3104000</v>
      </c>
      <c r="P407" s="2">
        <v>0.75</v>
      </c>
      <c r="Q407" s="3">
        <v>178221</v>
      </c>
      <c r="R407" s="3">
        <v>162371</v>
      </c>
      <c r="S407" s="3">
        <v>2902603</v>
      </c>
      <c r="T407" s="3">
        <v>2943607</v>
      </c>
      <c r="U407" s="3">
        <v>2902603</v>
      </c>
      <c r="V407" s="3">
        <v>2941629</v>
      </c>
      <c r="W407" s="3">
        <v>0</v>
      </c>
      <c r="X407" s="3">
        <v>1978</v>
      </c>
      <c r="Y407" s="2">
        <v>334</v>
      </c>
      <c r="Z407" s="2">
        <v>322</v>
      </c>
      <c r="AA407" s="2">
        <v>-3.59</v>
      </c>
      <c r="AB407" s="3">
        <v>2271861</v>
      </c>
      <c r="AC407" s="3">
        <v>2852539</v>
      </c>
      <c r="AD407" s="3">
        <v>165000</v>
      </c>
      <c r="AE407" s="3">
        <v>100000</v>
      </c>
      <c r="AF407" s="3">
        <v>1477243</v>
      </c>
      <c r="AG407" s="3">
        <v>1477243</v>
      </c>
      <c r="AH407" s="2">
        <v>15.32</v>
      </c>
      <c r="AI407" s="5">
        <v>15.27</v>
      </c>
    </row>
    <row r="408" spans="1:35" x14ac:dyDescent="0.3">
      <c r="A408" s="4" t="str">
        <f>"471400"</f>
        <v>471400</v>
      </c>
      <c r="B408" s="2" t="s">
        <v>404</v>
      </c>
      <c r="C408" s="3">
        <v>40942352</v>
      </c>
      <c r="D408" s="3">
        <v>42112198</v>
      </c>
      <c r="E408" s="2">
        <v>2.86</v>
      </c>
      <c r="F408" s="3">
        <v>22091425</v>
      </c>
      <c r="G408" s="3">
        <v>22176861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22091425</v>
      </c>
      <c r="O408" s="3">
        <v>22176861</v>
      </c>
      <c r="P408" s="2">
        <v>0.39</v>
      </c>
      <c r="Q408" s="3">
        <v>1133744</v>
      </c>
      <c r="R408" s="3">
        <v>984426</v>
      </c>
      <c r="S408" s="3">
        <v>20957681</v>
      </c>
      <c r="T408" s="3">
        <v>21192435</v>
      </c>
      <c r="U408" s="3">
        <v>20957681</v>
      </c>
      <c r="V408" s="3">
        <v>21192435</v>
      </c>
      <c r="W408" s="3">
        <v>0</v>
      </c>
      <c r="X408" s="3">
        <v>0</v>
      </c>
      <c r="Y408" s="2">
        <v>1629</v>
      </c>
      <c r="Z408" s="2">
        <v>1629</v>
      </c>
      <c r="AA408" s="2">
        <v>0</v>
      </c>
      <c r="AB408" s="3">
        <v>826588</v>
      </c>
      <c r="AC408" s="3">
        <v>626885</v>
      </c>
      <c r="AD408" s="3">
        <v>1000000</v>
      </c>
      <c r="AE408" s="3">
        <v>1000000</v>
      </c>
      <c r="AF408" s="3">
        <v>2799458</v>
      </c>
      <c r="AG408" s="3">
        <v>2300000</v>
      </c>
      <c r="AH408" s="2">
        <v>6.84</v>
      </c>
      <c r="AI408" s="5">
        <v>5.46</v>
      </c>
    </row>
    <row r="409" spans="1:35" x14ac:dyDescent="0.3">
      <c r="A409" s="4" t="str">
        <f>"471601"</f>
        <v>471601</v>
      </c>
      <c r="B409" s="2" t="s">
        <v>405</v>
      </c>
      <c r="C409" s="3">
        <v>22831405</v>
      </c>
      <c r="D409" s="3">
        <v>23293288</v>
      </c>
      <c r="E409" s="2">
        <v>2.02</v>
      </c>
      <c r="F409" s="3">
        <v>7420915</v>
      </c>
      <c r="G409" s="3">
        <v>7420915</v>
      </c>
      <c r="H409" s="3"/>
      <c r="I409" s="3"/>
      <c r="J409" s="3"/>
      <c r="K409" s="3"/>
      <c r="L409" s="3"/>
      <c r="M409" s="3"/>
      <c r="N409" s="3">
        <v>7420915</v>
      </c>
      <c r="O409" s="3">
        <v>7420915</v>
      </c>
      <c r="P409" s="2">
        <v>0</v>
      </c>
      <c r="Q409" s="3">
        <v>397238</v>
      </c>
      <c r="R409" s="3">
        <v>374800</v>
      </c>
      <c r="S409" s="3">
        <v>7023677</v>
      </c>
      <c r="T409" s="3">
        <v>7154176</v>
      </c>
      <c r="U409" s="3">
        <v>7023677</v>
      </c>
      <c r="V409" s="3">
        <v>7046115</v>
      </c>
      <c r="W409" s="3">
        <v>0</v>
      </c>
      <c r="X409" s="3">
        <v>108061</v>
      </c>
      <c r="Y409" s="2">
        <v>725</v>
      </c>
      <c r="Z409" s="2">
        <v>725</v>
      </c>
      <c r="AA409" s="2">
        <v>0</v>
      </c>
      <c r="AB409" s="3">
        <v>2711348</v>
      </c>
      <c r="AC409" s="3">
        <v>3282700</v>
      </c>
      <c r="AD409" s="3">
        <v>703300</v>
      </c>
      <c r="AE409" s="3">
        <v>625000</v>
      </c>
      <c r="AF409" s="3">
        <v>1718501</v>
      </c>
      <c r="AG409" s="3">
        <v>2200000</v>
      </c>
      <c r="AH409" s="2">
        <v>7.53</v>
      </c>
      <c r="AI409" s="5">
        <v>9.44</v>
      </c>
    </row>
    <row r="410" spans="1:35" x14ac:dyDescent="0.3">
      <c r="A410" s="4" t="str">
        <f>"471701"</f>
        <v>471701</v>
      </c>
      <c r="B410" s="2" t="s">
        <v>406</v>
      </c>
      <c r="C410" s="3">
        <v>19804375</v>
      </c>
      <c r="D410" s="3">
        <v>20911064</v>
      </c>
      <c r="E410" s="2">
        <v>5.59</v>
      </c>
      <c r="F410" s="3">
        <v>12454053</v>
      </c>
      <c r="G410" s="3">
        <v>12649890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12454053</v>
      </c>
      <c r="O410" s="3">
        <v>12649890</v>
      </c>
      <c r="P410" s="2">
        <v>1.57</v>
      </c>
      <c r="Q410" s="3">
        <v>684827</v>
      </c>
      <c r="R410" s="3">
        <v>714923</v>
      </c>
      <c r="S410" s="3">
        <v>11769226</v>
      </c>
      <c r="T410" s="3">
        <v>11934967</v>
      </c>
      <c r="U410" s="3">
        <v>11769226</v>
      </c>
      <c r="V410" s="3">
        <v>11934967</v>
      </c>
      <c r="W410" s="3">
        <v>0</v>
      </c>
      <c r="X410" s="3">
        <v>0</v>
      </c>
      <c r="Y410" s="2">
        <v>788</v>
      </c>
      <c r="Z410" s="2">
        <v>780</v>
      </c>
      <c r="AA410" s="2">
        <v>-1.02</v>
      </c>
      <c r="AB410" s="3">
        <v>1989939</v>
      </c>
      <c r="AC410" s="3">
        <v>1990616</v>
      </c>
      <c r="AD410" s="3">
        <v>605664</v>
      </c>
      <c r="AE410" s="3">
        <v>500000</v>
      </c>
      <c r="AF410" s="3">
        <v>880903</v>
      </c>
      <c r="AG410" s="3">
        <v>836442</v>
      </c>
      <c r="AH410" s="2">
        <v>4.45</v>
      </c>
      <c r="AI410" s="5">
        <v>4</v>
      </c>
    </row>
    <row r="411" spans="1:35" x14ac:dyDescent="0.3">
      <c r="A411" s="4" t="str">
        <f>"472001"</f>
        <v>472001</v>
      </c>
      <c r="B411" s="2" t="s">
        <v>407</v>
      </c>
      <c r="C411" s="3">
        <v>12611767</v>
      </c>
      <c r="D411" s="3">
        <v>12688485</v>
      </c>
      <c r="E411" s="2">
        <v>0.61</v>
      </c>
      <c r="F411" s="3">
        <v>3669377</v>
      </c>
      <c r="G411" s="3">
        <v>3736095</v>
      </c>
      <c r="H411" s="3"/>
      <c r="I411" s="3"/>
      <c r="J411" s="3"/>
      <c r="K411" s="3"/>
      <c r="L411" s="3"/>
      <c r="M411" s="3"/>
      <c r="N411" s="3">
        <v>3669377</v>
      </c>
      <c r="O411" s="3">
        <v>3736095</v>
      </c>
      <c r="P411" s="2">
        <v>1.82</v>
      </c>
      <c r="Q411" s="3">
        <v>116673</v>
      </c>
      <c r="R411" s="3">
        <v>155311</v>
      </c>
      <c r="S411" s="3">
        <v>3556232</v>
      </c>
      <c r="T411" s="3">
        <v>3602345</v>
      </c>
      <c r="U411" s="3">
        <v>3552704</v>
      </c>
      <c r="V411" s="3">
        <v>3580784</v>
      </c>
      <c r="W411" s="3">
        <v>3528</v>
      </c>
      <c r="X411" s="3">
        <v>21561</v>
      </c>
      <c r="Y411" s="2">
        <v>439</v>
      </c>
      <c r="Z411" s="2">
        <v>435</v>
      </c>
      <c r="AA411" s="2">
        <v>-0.91</v>
      </c>
      <c r="AB411" s="3">
        <v>312744</v>
      </c>
      <c r="AC411" s="3">
        <v>262744</v>
      </c>
      <c r="AD411" s="3">
        <v>1160239</v>
      </c>
      <c r="AE411" s="3">
        <v>1240239</v>
      </c>
      <c r="AF411" s="3">
        <v>504470</v>
      </c>
      <c r="AG411" s="3">
        <v>507539</v>
      </c>
      <c r="AH411" s="2">
        <v>4</v>
      </c>
      <c r="AI411" s="5">
        <v>4</v>
      </c>
    </row>
    <row r="412" spans="1:35" x14ac:dyDescent="0.3">
      <c r="A412" s="4" t="str">
        <f>"472202"</f>
        <v>472202</v>
      </c>
      <c r="B412" s="2" t="s">
        <v>408</v>
      </c>
      <c r="C412" s="3">
        <v>13425523</v>
      </c>
      <c r="D412" s="3">
        <v>13722278</v>
      </c>
      <c r="E412" s="2">
        <v>2.21</v>
      </c>
      <c r="F412" s="3">
        <v>5308039</v>
      </c>
      <c r="G412" s="3">
        <v>5308039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5308039</v>
      </c>
      <c r="O412" s="3">
        <v>5308039</v>
      </c>
      <c r="P412" s="2">
        <v>0</v>
      </c>
      <c r="Q412" s="3">
        <v>224977</v>
      </c>
      <c r="R412" s="3">
        <v>221093</v>
      </c>
      <c r="S412" s="3">
        <v>5203654</v>
      </c>
      <c r="T412" s="3">
        <v>5186018</v>
      </c>
      <c r="U412" s="3">
        <v>5083062</v>
      </c>
      <c r="V412" s="3">
        <v>5086946</v>
      </c>
      <c r="W412" s="3">
        <v>120592</v>
      </c>
      <c r="X412" s="3">
        <v>99072</v>
      </c>
      <c r="Y412" s="2">
        <v>449</v>
      </c>
      <c r="Z412" s="2">
        <v>449</v>
      </c>
      <c r="AA412" s="2">
        <v>0</v>
      </c>
      <c r="AB412" s="3">
        <v>2736658</v>
      </c>
      <c r="AC412" s="3">
        <v>2986658</v>
      </c>
      <c r="AD412" s="3">
        <v>400000</v>
      </c>
      <c r="AE412" s="3">
        <v>640000</v>
      </c>
      <c r="AF412" s="3">
        <v>917808</v>
      </c>
      <c r="AG412" s="3">
        <v>545000</v>
      </c>
      <c r="AH412" s="2">
        <v>6.84</v>
      </c>
      <c r="AI412" s="5">
        <v>3.97</v>
      </c>
    </row>
    <row r="413" spans="1:35" x14ac:dyDescent="0.3">
      <c r="A413" s="4" t="str">
        <f>"472506"</f>
        <v>472506</v>
      </c>
      <c r="B413" s="2" t="s">
        <v>409</v>
      </c>
      <c r="C413" s="3">
        <v>11623926</v>
      </c>
      <c r="D413" s="3">
        <v>11700578</v>
      </c>
      <c r="E413" s="2">
        <v>0.66</v>
      </c>
      <c r="F413" s="3">
        <v>3481809</v>
      </c>
      <c r="G413" s="3">
        <v>3550400</v>
      </c>
      <c r="H413" s="3"/>
      <c r="I413" s="3"/>
      <c r="J413" s="3"/>
      <c r="K413" s="3"/>
      <c r="L413" s="3"/>
      <c r="M413" s="3"/>
      <c r="N413" s="3">
        <v>3481809</v>
      </c>
      <c r="O413" s="3">
        <v>3550400</v>
      </c>
      <c r="P413" s="2">
        <v>1.97</v>
      </c>
      <c r="Q413" s="3">
        <v>345171</v>
      </c>
      <c r="R413" s="3">
        <v>343137</v>
      </c>
      <c r="S413" s="3">
        <v>3139527</v>
      </c>
      <c r="T413" s="3">
        <v>3180505</v>
      </c>
      <c r="U413" s="3">
        <v>3136638</v>
      </c>
      <c r="V413" s="3">
        <v>3207263</v>
      </c>
      <c r="W413" s="3">
        <v>2889</v>
      </c>
      <c r="X413" s="3">
        <v>-26758</v>
      </c>
      <c r="Y413" s="2">
        <v>354</v>
      </c>
      <c r="Z413" s="2">
        <v>320</v>
      </c>
      <c r="AA413" s="2">
        <v>-9.6</v>
      </c>
      <c r="AB413" s="3">
        <v>743384</v>
      </c>
      <c r="AC413" s="3">
        <v>1043545</v>
      </c>
      <c r="AD413" s="3">
        <v>945000</v>
      </c>
      <c r="AE413" s="3">
        <v>750000</v>
      </c>
      <c r="AF413" s="3">
        <v>1525378</v>
      </c>
      <c r="AG413" s="3">
        <v>1025378</v>
      </c>
      <c r="AH413" s="2">
        <v>13.12</v>
      </c>
      <c r="AI413" s="5">
        <v>8.76</v>
      </c>
    </row>
    <row r="414" spans="1:35" x14ac:dyDescent="0.3">
      <c r="A414" s="4" t="str">
        <f>"480101"</f>
        <v>480101</v>
      </c>
      <c r="B414" s="2" t="s">
        <v>410</v>
      </c>
      <c r="C414" s="3">
        <v>125312865</v>
      </c>
      <c r="D414" s="3">
        <v>127378406</v>
      </c>
      <c r="E414" s="2">
        <v>1.65</v>
      </c>
      <c r="F414" s="3">
        <v>87968121</v>
      </c>
      <c r="G414" s="3">
        <v>89755706</v>
      </c>
      <c r="H414" s="3"/>
      <c r="I414" s="3"/>
      <c r="J414" s="3"/>
      <c r="K414" s="3"/>
      <c r="L414" s="3"/>
      <c r="M414" s="3"/>
      <c r="N414" s="3">
        <v>87968121</v>
      </c>
      <c r="O414" s="3">
        <v>89755706</v>
      </c>
      <c r="P414" s="2">
        <v>2.0299999999999998</v>
      </c>
      <c r="Q414" s="3">
        <v>1351005</v>
      </c>
      <c r="R414" s="3">
        <v>1574519</v>
      </c>
      <c r="S414" s="3">
        <v>86617116</v>
      </c>
      <c r="T414" s="3">
        <v>88181187</v>
      </c>
      <c r="U414" s="3">
        <v>86617116</v>
      </c>
      <c r="V414" s="3">
        <v>88181187</v>
      </c>
      <c r="W414" s="3">
        <v>0</v>
      </c>
      <c r="X414" s="3">
        <v>0</v>
      </c>
      <c r="Y414" s="2">
        <v>4003</v>
      </c>
      <c r="Z414" s="2">
        <v>3903</v>
      </c>
      <c r="AA414" s="2">
        <v>-2.5</v>
      </c>
      <c r="AB414" s="3">
        <v>10663715</v>
      </c>
      <c r="AC414" s="3">
        <v>10534900</v>
      </c>
      <c r="AD414" s="3">
        <v>3425000</v>
      </c>
      <c r="AE414" s="3">
        <v>3235318</v>
      </c>
      <c r="AF414" s="3">
        <v>4930443</v>
      </c>
      <c r="AG414" s="3">
        <v>5095136</v>
      </c>
      <c r="AH414" s="2">
        <v>3.93</v>
      </c>
      <c r="AI414" s="5">
        <v>4</v>
      </c>
    </row>
    <row r="415" spans="1:35" x14ac:dyDescent="0.3">
      <c r="A415" s="4" t="str">
        <f>"480102"</f>
        <v>480102</v>
      </c>
      <c r="B415" s="2" t="s">
        <v>411</v>
      </c>
      <c r="C415" s="3">
        <v>130541386</v>
      </c>
      <c r="D415" s="3">
        <v>133581366</v>
      </c>
      <c r="E415" s="2">
        <v>2.33</v>
      </c>
      <c r="F415" s="3">
        <v>98594386</v>
      </c>
      <c r="G415" s="3">
        <v>100259366</v>
      </c>
      <c r="H415" s="3"/>
      <c r="I415" s="3"/>
      <c r="J415" s="3"/>
      <c r="K415" s="3"/>
      <c r="L415" s="3"/>
      <c r="M415" s="3"/>
      <c r="N415" s="3">
        <v>98594386</v>
      </c>
      <c r="O415" s="3">
        <v>100259366</v>
      </c>
      <c r="P415" s="2">
        <v>1.69</v>
      </c>
      <c r="Q415" s="3">
        <v>2315066</v>
      </c>
      <c r="R415" s="3">
        <v>2366842</v>
      </c>
      <c r="S415" s="3">
        <v>96297774</v>
      </c>
      <c r="T415" s="3">
        <v>97905363</v>
      </c>
      <c r="U415" s="3">
        <v>96279320</v>
      </c>
      <c r="V415" s="3">
        <v>97892524</v>
      </c>
      <c r="W415" s="3">
        <v>18454</v>
      </c>
      <c r="X415" s="3">
        <v>12839</v>
      </c>
      <c r="Y415" s="2">
        <v>4027</v>
      </c>
      <c r="Z415" s="2">
        <v>3876</v>
      </c>
      <c r="AA415" s="2">
        <v>-3.75</v>
      </c>
      <c r="AB415" s="3">
        <v>6062753</v>
      </c>
      <c r="AC415" s="3">
        <v>5541998</v>
      </c>
      <c r="AD415" s="3">
        <v>3510414</v>
      </c>
      <c r="AE415" s="3">
        <v>2200000</v>
      </c>
      <c r="AF415" s="3">
        <v>5221665</v>
      </c>
      <c r="AG415" s="3">
        <v>5343254</v>
      </c>
      <c r="AH415" s="2">
        <v>4</v>
      </c>
      <c r="AI415" s="5">
        <v>4</v>
      </c>
    </row>
    <row r="416" spans="1:35" x14ac:dyDescent="0.3">
      <c r="A416" s="4" t="str">
        <f>"480401"</f>
        <v>480401</v>
      </c>
      <c r="B416" s="2" t="s">
        <v>412</v>
      </c>
      <c r="C416" s="3">
        <v>25266610</v>
      </c>
      <c r="D416" s="3">
        <v>25951834</v>
      </c>
      <c r="E416" s="2">
        <v>2.71</v>
      </c>
      <c r="F416" s="3">
        <v>20586116</v>
      </c>
      <c r="G416" s="3">
        <v>20972614</v>
      </c>
      <c r="H416" s="3">
        <v>73150</v>
      </c>
      <c r="I416" s="3">
        <v>73150</v>
      </c>
      <c r="J416" s="3">
        <v>0</v>
      </c>
      <c r="K416" s="3">
        <v>0</v>
      </c>
      <c r="L416" s="3">
        <v>0</v>
      </c>
      <c r="M416" s="3">
        <v>0</v>
      </c>
      <c r="N416" s="3">
        <v>20659266</v>
      </c>
      <c r="O416" s="3">
        <v>21045764</v>
      </c>
      <c r="P416" s="2">
        <v>1.87</v>
      </c>
      <c r="Q416" s="3">
        <v>972032</v>
      </c>
      <c r="R416" s="3">
        <v>875541</v>
      </c>
      <c r="S416" s="3">
        <v>19614084</v>
      </c>
      <c r="T416" s="3">
        <v>20097073</v>
      </c>
      <c r="U416" s="3">
        <v>19614084</v>
      </c>
      <c r="V416" s="3">
        <v>20097073</v>
      </c>
      <c r="W416" s="3">
        <v>0</v>
      </c>
      <c r="X416" s="3">
        <v>0</v>
      </c>
      <c r="Y416" s="2">
        <v>820</v>
      </c>
      <c r="Z416" s="2">
        <v>790</v>
      </c>
      <c r="AA416" s="2">
        <v>-3.66</v>
      </c>
      <c r="AB416" s="3">
        <v>2194729</v>
      </c>
      <c r="AC416" s="3">
        <v>1959729</v>
      </c>
      <c r="AD416" s="3">
        <v>695000</v>
      </c>
      <c r="AE416" s="3">
        <v>645000</v>
      </c>
      <c r="AF416" s="3">
        <v>1021178</v>
      </c>
      <c r="AG416" s="3">
        <v>1038073</v>
      </c>
      <c r="AH416" s="2">
        <v>4.04</v>
      </c>
      <c r="AI416" s="5">
        <v>4</v>
      </c>
    </row>
    <row r="417" spans="1:35" x14ac:dyDescent="0.3">
      <c r="A417" s="4" t="str">
        <f>"480404"</f>
        <v>480404</v>
      </c>
      <c r="B417" s="2" t="s">
        <v>413</v>
      </c>
      <c r="C417" s="3">
        <v>11370216</v>
      </c>
      <c r="D417" s="3">
        <v>11692487</v>
      </c>
      <c r="E417" s="2">
        <v>2.83</v>
      </c>
      <c r="F417" s="3">
        <v>9503653</v>
      </c>
      <c r="G417" s="3">
        <v>9737463</v>
      </c>
      <c r="H417" s="3"/>
      <c r="I417" s="3"/>
      <c r="J417" s="3"/>
      <c r="K417" s="3"/>
      <c r="L417" s="3"/>
      <c r="M417" s="3"/>
      <c r="N417" s="3">
        <v>9503653</v>
      </c>
      <c r="O417" s="3">
        <v>9737463</v>
      </c>
      <c r="P417" s="2">
        <v>2.46</v>
      </c>
      <c r="Q417" s="3">
        <v>526312</v>
      </c>
      <c r="R417" s="3">
        <v>608332</v>
      </c>
      <c r="S417" s="3">
        <v>8977341</v>
      </c>
      <c r="T417" s="3">
        <v>9129131</v>
      </c>
      <c r="U417" s="3">
        <v>8977341</v>
      </c>
      <c r="V417" s="3">
        <v>9129131</v>
      </c>
      <c r="W417" s="3">
        <v>0</v>
      </c>
      <c r="X417" s="3">
        <v>0</v>
      </c>
      <c r="Y417" s="2">
        <v>207</v>
      </c>
      <c r="Z417" s="2">
        <v>213</v>
      </c>
      <c r="AA417" s="2">
        <v>2.9</v>
      </c>
      <c r="AB417" s="3">
        <v>2112655</v>
      </c>
      <c r="AC417" s="3">
        <v>2005397</v>
      </c>
      <c r="AD417" s="3">
        <v>1616212</v>
      </c>
      <c r="AE417" s="3">
        <v>1017478</v>
      </c>
      <c r="AF417" s="3">
        <v>454809</v>
      </c>
      <c r="AG417" s="3">
        <v>467699</v>
      </c>
      <c r="AH417" s="2">
        <v>4</v>
      </c>
      <c r="AI417" s="5">
        <v>4</v>
      </c>
    </row>
    <row r="418" spans="1:35" x14ac:dyDescent="0.3">
      <c r="A418" s="4" t="str">
        <f>"480503"</f>
        <v>480503</v>
      </c>
      <c r="B418" s="2" t="s">
        <v>414</v>
      </c>
      <c r="C418" s="3">
        <v>51907863</v>
      </c>
      <c r="D418" s="3">
        <v>53196449</v>
      </c>
      <c r="E418" s="2">
        <v>2.48</v>
      </c>
      <c r="F418" s="3">
        <v>38010949</v>
      </c>
      <c r="G418" s="3">
        <v>38755967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38010949</v>
      </c>
      <c r="O418" s="3">
        <v>38755967</v>
      </c>
      <c r="P418" s="2">
        <v>1.96</v>
      </c>
      <c r="Q418" s="3">
        <v>1051479</v>
      </c>
      <c r="R418" s="3">
        <v>1335827</v>
      </c>
      <c r="S418" s="3">
        <v>36959470</v>
      </c>
      <c r="T418" s="3">
        <v>37444854</v>
      </c>
      <c r="U418" s="3">
        <v>36959470</v>
      </c>
      <c r="V418" s="3">
        <v>37420140</v>
      </c>
      <c r="W418" s="3">
        <v>0</v>
      </c>
      <c r="X418" s="3">
        <v>24714</v>
      </c>
      <c r="Y418" s="2">
        <v>1595</v>
      </c>
      <c r="Z418" s="2">
        <v>1588</v>
      </c>
      <c r="AA418" s="2">
        <v>-0.44</v>
      </c>
      <c r="AB418" s="3">
        <v>5700000</v>
      </c>
      <c r="AC418" s="3">
        <v>5500000</v>
      </c>
      <c r="AD418" s="3">
        <v>1080000</v>
      </c>
      <c r="AE418" s="3">
        <v>800000</v>
      </c>
      <c r="AF418" s="3">
        <v>2127000</v>
      </c>
      <c r="AG418" s="3">
        <v>2170000</v>
      </c>
      <c r="AH418" s="2">
        <v>4.0999999999999996</v>
      </c>
      <c r="AI418" s="5">
        <v>4.08</v>
      </c>
    </row>
    <row r="419" spans="1:35" x14ac:dyDescent="0.3">
      <c r="A419" s="4" t="str">
        <f>"480601"</f>
        <v>480601</v>
      </c>
      <c r="B419" s="2" t="s">
        <v>415</v>
      </c>
      <c r="C419" s="3">
        <v>103981692</v>
      </c>
      <c r="D419" s="3">
        <v>104903457</v>
      </c>
      <c r="E419" s="2">
        <v>0.89</v>
      </c>
      <c r="F419" s="3">
        <v>78262965</v>
      </c>
      <c r="G419" s="3">
        <v>78956175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78262965</v>
      </c>
      <c r="O419" s="3">
        <v>78956175</v>
      </c>
      <c r="P419" s="2">
        <v>0.89</v>
      </c>
      <c r="Q419" s="3">
        <v>3473033</v>
      </c>
      <c r="R419" s="3">
        <v>3076442</v>
      </c>
      <c r="S419" s="3">
        <v>75369932</v>
      </c>
      <c r="T419" s="3">
        <v>75879733</v>
      </c>
      <c r="U419" s="3">
        <v>74789932</v>
      </c>
      <c r="V419" s="3">
        <v>75879733</v>
      </c>
      <c r="W419" s="3">
        <v>580000</v>
      </c>
      <c r="X419" s="3">
        <v>0</v>
      </c>
      <c r="Y419" s="2">
        <v>2984</v>
      </c>
      <c r="Z419" s="2">
        <v>3069</v>
      </c>
      <c r="AA419" s="2">
        <v>2.85</v>
      </c>
      <c r="AB419" s="3">
        <v>6309079</v>
      </c>
      <c r="AC419" s="3">
        <v>7972209</v>
      </c>
      <c r="AD419" s="3">
        <v>3000000</v>
      </c>
      <c r="AE419" s="3">
        <v>3000000</v>
      </c>
      <c r="AF419" s="3">
        <v>4159268</v>
      </c>
      <c r="AG419" s="3">
        <v>4196138</v>
      </c>
      <c r="AH419" s="2">
        <v>4</v>
      </c>
      <c r="AI419" s="5">
        <v>4</v>
      </c>
    </row>
    <row r="420" spans="1:35" x14ac:dyDescent="0.3">
      <c r="A420" s="4" t="str">
        <f>"490101"</f>
        <v>490101</v>
      </c>
      <c r="B420" s="2" t="s">
        <v>416</v>
      </c>
      <c r="C420" s="3">
        <v>21897649</v>
      </c>
      <c r="D420" s="3">
        <v>23840690</v>
      </c>
      <c r="E420" s="2">
        <v>8.8699999999999992</v>
      </c>
      <c r="F420" s="3">
        <v>9767611</v>
      </c>
      <c r="G420" s="3">
        <v>9961840</v>
      </c>
      <c r="H420" s="3"/>
      <c r="I420" s="3"/>
      <c r="J420" s="3"/>
      <c r="K420" s="3"/>
      <c r="L420" s="3"/>
      <c r="M420" s="3"/>
      <c r="N420" s="3">
        <v>9767611</v>
      </c>
      <c r="O420" s="3">
        <v>9961840</v>
      </c>
      <c r="P420" s="2">
        <v>1.99</v>
      </c>
      <c r="Q420" s="3">
        <v>80297</v>
      </c>
      <c r="R420" s="3">
        <v>336080</v>
      </c>
      <c r="S420" s="3">
        <v>9743314</v>
      </c>
      <c r="T420" s="3">
        <v>9868761</v>
      </c>
      <c r="U420" s="3">
        <v>9687314</v>
      </c>
      <c r="V420" s="3">
        <v>9625760</v>
      </c>
      <c r="W420" s="3">
        <v>56000</v>
      </c>
      <c r="X420" s="3">
        <v>243001</v>
      </c>
      <c r="Y420" s="2">
        <v>752</v>
      </c>
      <c r="Z420" s="2">
        <v>734</v>
      </c>
      <c r="AA420" s="2">
        <v>-2.39</v>
      </c>
      <c r="AB420" s="3">
        <v>1082147</v>
      </c>
      <c r="AC420" s="3">
        <v>3669735</v>
      </c>
      <c r="AD420" s="3">
        <v>500000</v>
      </c>
      <c r="AE420" s="3">
        <v>700000</v>
      </c>
      <c r="AF420" s="3">
        <v>3181253</v>
      </c>
      <c r="AG420" s="3">
        <v>1670134</v>
      </c>
      <c r="AH420" s="2">
        <v>14.53</v>
      </c>
      <c r="AI420" s="5">
        <v>7.01</v>
      </c>
    </row>
    <row r="421" spans="1:35" x14ac:dyDescent="0.3">
      <c r="A421" s="4" t="str">
        <f>"490202"</f>
        <v>490202</v>
      </c>
      <c r="B421" s="2" t="s">
        <v>417</v>
      </c>
      <c r="C421" s="3">
        <v>26174840</v>
      </c>
      <c r="D421" s="3">
        <v>26809812</v>
      </c>
      <c r="E421" s="2">
        <v>2.4300000000000002</v>
      </c>
      <c r="F421" s="3">
        <v>13574654</v>
      </c>
      <c r="G421" s="3">
        <v>13947957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13574654</v>
      </c>
      <c r="O421" s="3">
        <v>13947957</v>
      </c>
      <c r="P421" s="2">
        <v>2.75</v>
      </c>
      <c r="Q421" s="3">
        <v>275774</v>
      </c>
      <c r="R421" s="3">
        <v>236966</v>
      </c>
      <c r="S421" s="3">
        <v>13706850</v>
      </c>
      <c r="T421" s="3">
        <v>13711268</v>
      </c>
      <c r="U421" s="3">
        <v>13298880</v>
      </c>
      <c r="V421" s="3">
        <v>13710991</v>
      </c>
      <c r="W421" s="3">
        <v>407970</v>
      </c>
      <c r="X421" s="3">
        <v>277</v>
      </c>
      <c r="Y421" s="2">
        <v>1181</v>
      </c>
      <c r="Z421" s="2">
        <v>1148</v>
      </c>
      <c r="AA421" s="2">
        <v>-2.79</v>
      </c>
      <c r="AB421" s="3">
        <v>2634748</v>
      </c>
      <c r="AC421" s="3">
        <v>2523680</v>
      </c>
      <c r="AD421" s="3">
        <v>614285</v>
      </c>
      <c r="AE421" s="3">
        <v>500000</v>
      </c>
      <c r="AF421" s="3">
        <v>1046994</v>
      </c>
      <c r="AG421" s="3">
        <v>1072392</v>
      </c>
      <c r="AH421" s="2">
        <v>4</v>
      </c>
      <c r="AI421" s="5">
        <v>4</v>
      </c>
    </row>
    <row r="422" spans="1:35" x14ac:dyDescent="0.3">
      <c r="A422" s="4" t="str">
        <f>"490301"</f>
        <v>490301</v>
      </c>
      <c r="B422" s="2" t="s">
        <v>418</v>
      </c>
      <c r="C422" s="3">
        <v>99778012</v>
      </c>
      <c r="D422" s="3">
        <v>103535117</v>
      </c>
      <c r="E422" s="2">
        <v>3.77</v>
      </c>
      <c r="F422" s="3">
        <v>58374546</v>
      </c>
      <c r="G422" s="3">
        <v>58374546</v>
      </c>
      <c r="H422" s="3"/>
      <c r="I422" s="3"/>
      <c r="J422" s="3"/>
      <c r="K422" s="3"/>
      <c r="L422" s="3"/>
      <c r="M422" s="3"/>
      <c r="N422" s="3">
        <v>58374546</v>
      </c>
      <c r="O422" s="3">
        <v>58374546</v>
      </c>
      <c r="P422" s="2">
        <v>0</v>
      </c>
      <c r="Q422" s="3">
        <v>3409999</v>
      </c>
      <c r="R422" s="3">
        <v>4402577</v>
      </c>
      <c r="S422" s="3">
        <v>55031167</v>
      </c>
      <c r="T422" s="3">
        <v>54723998</v>
      </c>
      <c r="U422" s="3">
        <v>54964547</v>
      </c>
      <c r="V422" s="3">
        <v>53971969</v>
      </c>
      <c r="W422" s="3">
        <v>66620</v>
      </c>
      <c r="X422" s="3">
        <v>752029</v>
      </c>
      <c r="Y422" s="2">
        <v>4105</v>
      </c>
      <c r="Z422" s="2">
        <v>4018</v>
      </c>
      <c r="AA422" s="2">
        <v>-2.12</v>
      </c>
      <c r="AB422" s="3">
        <v>13906650</v>
      </c>
      <c r="AC422" s="3">
        <v>12898893</v>
      </c>
      <c r="AD422" s="3">
        <v>6829322</v>
      </c>
      <c r="AE422" s="3">
        <v>6829322</v>
      </c>
      <c r="AF422" s="3">
        <v>5671424</v>
      </c>
      <c r="AG422" s="3">
        <v>3958601</v>
      </c>
      <c r="AH422" s="2">
        <v>5.68</v>
      </c>
      <c r="AI422" s="5">
        <v>3.82</v>
      </c>
    </row>
    <row r="423" spans="1:35" x14ac:dyDescent="0.3">
      <c r="A423" s="4" t="str">
        <f>"490501"</f>
        <v>490501</v>
      </c>
      <c r="B423" s="2" t="s">
        <v>419</v>
      </c>
      <c r="C423" s="3">
        <v>23305428</v>
      </c>
      <c r="D423" s="3">
        <v>24061805</v>
      </c>
      <c r="E423" s="2">
        <v>3.25</v>
      </c>
      <c r="F423" s="3">
        <v>9785711</v>
      </c>
      <c r="G423" s="3">
        <v>9785711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9785711</v>
      </c>
      <c r="O423" s="3">
        <v>9785711</v>
      </c>
      <c r="P423" s="2">
        <v>0</v>
      </c>
      <c r="Q423" s="3">
        <v>132071</v>
      </c>
      <c r="R423" s="3">
        <v>122655</v>
      </c>
      <c r="S423" s="3">
        <v>9653640</v>
      </c>
      <c r="T423" s="3">
        <v>9663056</v>
      </c>
      <c r="U423" s="3">
        <v>9653640</v>
      </c>
      <c r="V423" s="3">
        <v>9663056</v>
      </c>
      <c r="W423" s="3">
        <v>0</v>
      </c>
      <c r="X423" s="3">
        <v>0</v>
      </c>
      <c r="Y423" s="2">
        <v>1089</v>
      </c>
      <c r="Z423" s="2">
        <v>1046</v>
      </c>
      <c r="AA423" s="2">
        <v>-3.95</v>
      </c>
      <c r="AB423" s="3">
        <v>1452478</v>
      </c>
      <c r="AC423" s="3">
        <v>1799027</v>
      </c>
      <c r="AD423" s="3">
        <v>1277483</v>
      </c>
      <c r="AE423" s="3">
        <v>1618728</v>
      </c>
      <c r="AF423" s="3">
        <v>1474725</v>
      </c>
      <c r="AG423" s="3">
        <v>962472</v>
      </c>
      <c r="AH423" s="2">
        <v>6.33</v>
      </c>
      <c r="AI423" s="5">
        <v>4</v>
      </c>
    </row>
    <row r="424" spans="1:35" x14ac:dyDescent="0.3">
      <c r="A424" s="4" t="str">
        <f>"490601"</f>
        <v>490601</v>
      </c>
      <c r="B424" s="2" t="s">
        <v>420</v>
      </c>
      <c r="C424" s="3">
        <v>52795298</v>
      </c>
      <c r="D424" s="3">
        <v>54749178</v>
      </c>
      <c r="E424" s="2">
        <v>3.7</v>
      </c>
      <c r="F424" s="3">
        <v>16133387</v>
      </c>
      <c r="G424" s="3">
        <v>16148318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16133387</v>
      </c>
      <c r="O424" s="3">
        <v>16148318</v>
      </c>
      <c r="P424" s="2">
        <v>0.09</v>
      </c>
      <c r="Q424" s="3">
        <v>788196</v>
      </c>
      <c r="R424" s="3">
        <v>544879</v>
      </c>
      <c r="S424" s="3">
        <v>15345191</v>
      </c>
      <c r="T424" s="3">
        <v>15603439</v>
      </c>
      <c r="U424" s="3">
        <v>15345191</v>
      </c>
      <c r="V424" s="3">
        <v>15603439</v>
      </c>
      <c r="W424" s="3">
        <v>0</v>
      </c>
      <c r="X424" s="3">
        <v>0</v>
      </c>
      <c r="Y424" s="2">
        <v>2350</v>
      </c>
      <c r="Z424" s="2">
        <v>2300</v>
      </c>
      <c r="AA424" s="2">
        <v>-2.13</v>
      </c>
      <c r="AB424" s="3">
        <v>2720179</v>
      </c>
      <c r="AC424" s="3">
        <v>2418340</v>
      </c>
      <c r="AD424" s="3">
        <v>1000000</v>
      </c>
      <c r="AE424" s="3">
        <v>750000</v>
      </c>
      <c r="AF424" s="3">
        <v>2111811</v>
      </c>
      <c r="AG424" s="3">
        <v>3000000</v>
      </c>
      <c r="AH424" s="2">
        <v>4</v>
      </c>
      <c r="AI424" s="5">
        <v>5.48</v>
      </c>
    </row>
    <row r="425" spans="1:35" x14ac:dyDescent="0.3">
      <c r="A425" s="4" t="str">
        <f>"490804"</f>
        <v>490804</v>
      </c>
      <c r="B425" s="2" t="s">
        <v>421</v>
      </c>
      <c r="C425" s="3">
        <v>9864410</v>
      </c>
      <c r="D425" s="3">
        <v>10148898</v>
      </c>
      <c r="E425" s="2">
        <v>2.88</v>
      </c>
      <c r="F425" s="3">
        <v>5567523</v>
      </c>
      <c r="G425" s="3">
        <v>5663056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5567523</v>
      </c>
      <c r="O425" s="3">
        <v>5663056</v>
      </c>
      <c r="P425" s="2">
        <v>1.72</v>
      </c>
      <c r="Q425" s="3">
        <v>0</v>
      </c>
      <c r="R425" s="3">
        <v>0</v>
      </c>
      <c r="S425" s="3">
        <v>5567523</v>
      </c>
      <c r="T425" s="3">
        <v>5663056</v>
      </c>
      <c r="U425" s="3">
        <v>5567523</v>
      </c>
      <c r="V425" s="3">
        <v>5663056</v>
      </c>
      <c r="W425" s="3">
        <v>0</v>
      </c>
      <c r="X425" s="3">
        <v>0</v>
      </c>
      <c r="Y425" s="2">
        <v>354</v>
      </c>
      <c r="Z425" s="2">
        <v>333</v>
      </c>
      <c r="AA425" s="2">
        <v>-5.93</v>
      </c>
      <c r="AB425" s="3">
        <v>1834681</v>
      </c>
      <c r="AC425" s="3">
        <v>1834681</v>
      </c>
      <c r="AD425" s="3">
        <v>156000</v>
      </c>
      <c r="AE425" s="3">
        <v>156000</v>
      </c>
      <c r="AF425" s="3">
        <v>505676</v>
      </c>
      <c r="AG425" s="3">
        <v>505676</v>
      </c>
      <c r="AH425" s="2">
        <v>5.13</v>
      </c>
      <c r="AI425" s="5">
        <v>4.9800000000000004</v>
      </c>
    </row>
    <row r="426" spans="1:35" x14ac:dyDescent="0.3">
      <c r="A426" s="4" t="str">
        <f>"491200"</f>
        <v>491200</v>
      </c>
      <c r="B426" s="2" t="s">
        <v>422</v>
      </c>
      <c r="C426" s="3">
        <v>27028974</v>
      </c>
      <c r="D426" s="3">
        <v>27694567</v>
      </c>
      <c r="E426" s="2">
        <v>2.46</v>
      </c>
      <c r="F426" s="3">
        <v>7685344</v>
      </c>
      <c r="G426" s="3">
        <v>8361655</v>
      </c>
      <c r="H426" s="3"/>
      <c r="I426" s="3"/>
      <c r="J426" s="3"/>
      <c r="K426" s="3"/>
      <c r="L426" s="3"/>
      <c r="M426" s="3"/>
      <c r="N426" s="3">
        <v>7685344</v>
      </c>
      <c r="O426" s="3">
        <v>8361655</v>
      </c>
      <c r="P426" s="2">
        <v>8.8000000000000007</v>
      </c>
      <c r="Q426" s="3">
        <v>1285900</v>
      </c>
      <c r="R426" s="3">
        <v>2373766</v>
      </c>
      <c r="S426" s="3">
        <v>4877268</v>
      </c>
      <c r="T426" s="3">
        <v>6667682</v>
      </c>
      <c r="U426" s="3">
        <v>6399444</v>
      </c>
      <c r="V426" s="3">
        <v>5987889</v>
      </c>
      <c r="W426" s="3">
        <v>-1522176</v>
      </c>
      <c r="X426" s="3">
        <v>679793</v>
      </c>
      <c r="Y426" s="2">
        <v>1103</v>
      </c>
      <c r="Z426" s="2">
        <v>1115</v>
      </c>
      <c r="AA426" s="2">
        <v>1.0900000000000001</v>
      </c>
      <c r="AB426" s="3">
        <v>376211</v>
      </c>
      <c r="AC426" s="3">
        <v>0</v>
      </c>
      <c r="AD426" s="3">
        <v>405895</v>
      </c>
      <c r="AE426" s="3">
        <v>1267459</v>
      </c>
      <c r="AF426" s="3">
        <v>890459</v>
      </c>
      <c r="AG426" s="3">
        <v>0</v>
      </c>
      <c r="AH426" s="2">
        <v>3.29</v>
      </c>
      <c r="AI426" s="5">
        <v>0</v>
      </c>
    </row>
    <row r="427" spans="1:35" x14ac:dyDescent="0.3">
      <c r="A427" s="4" t="str">
        <f>"491302"</f>
        <v>491302</v>
      </c>
      <c r="B427" s="2" t="s">
        <v>423</v>
      </c>
      <c r="C427" s="3">
        <v>60993612</v>
      </c>
      <c r="D427" s="3">
        <v>61456847</v>
      </c>
      <c r="E427" s="2">
        <v>0.76</v>
      </c>
      <c r="F427" s="3">
        <v>32481774</v>
      </c>
      <c r="G427" s="3">
        <v>32790622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32481774</v>
      </c>
      <c r="O427" s="3">
        <v>32790622</v>
      </c>
      <c r="P427" s="2">
        <v>0.95</v>
      </c>
      <c r="Q427" s="3">
        <v>570494</v>
      </c>
      <c r="R427" s="3">
        <v>618121</v>
      </c>
      <c r="S427" s="3">
        <v>31911280</v>
      </c>
      <c r="T427" s="3">
        <v>32481348</v>
      </c>
      <c r="U427" s="3">
        <v>31911280</v>
      </c>
      <c r="V427" s="3">
        <v>32172501</v>
      </c>
      <c r="W427" s="3">
        <v>0</v>
      </c>
      <c r="X427" s="3">
        <v>308847</v>
      </c>
      <c r="Y427" s="2">
        <v>2650</v>
      </c>
      <c r="Z427" s="2">
        <v>2650</v>
      </c>
      <c r="AA427" s="2">
        <v>0</v>
      </c>
      <c r="AB427" s="3">
        <v>4263045</v>
      </c>
      <c r="AC427" s="3">
        <v>3393751</v>
      </c>
      <c r="AD427" s="3">
        <v>780000</v>
      </c>
      <c r="AE427" s="3">
        <v>780000</v>
      </c>
      <c r="AF427" s="3">
        <v>2176725</v>
      </c>
      <c r="AG427" s="3">
        <v>2458274</v>
      </c>
      <c r="AH427" s="2">
        <v>3.57</v>
      </c>
      <c r="AI427" s="5">
        <v>4</v>
      </c>
    </row>
    <row r="428" spans="1:35" x14ac:dyDescent="0.3">
      <c r="A428" s="4" t="str">
        <f>"491401"</f>
        <v>491401</v>
      </c>
      <c r="B428" s="2" t="s">
        <v>424</v>
      </c>
      <c r="C428" s="3">
        <v>21820026</v>
      </c>
      <c r="D428" s="3">
        <v>22581184</v>
      </c>
      <c r="E428" s="2">
        <v>3.49</v>
      </c>
      <c r="F428" s="3">
        <v>8444242</v>
      </c>
      <c r="G428" s="3">
        <v>8486463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8444242</v>
      </c>
      <c r="O428" s="3">
        <v>8486463</v>
      </c>
      <c r="P428" s="2">
        <v>0.5</v>
      </c>
      <c r="Q428" s="3">
        <v>0</v>
      </c>
      <c r="R428" s="3">
        <v>0</v>
      </c>
      <c r="S428" s="3">
        <v>8736285</v>
      </c>
      <c r="T428" s="3">
        <v>8685906</v>
      </c>
      <c r="U428" s="3">
        <v>8444242</v>
      </c>
      <c r="V428" s="3">
        <v>8486463</v>
      </c>
      <c r="W428" s="3">
        <v>292043</v>
      </c>
      <c r="X428" s="3">
        <v>199443</v>
      </c>
      <c r="Y428" s="2">
        <v>934</v>
      </c>
      <c r="Z428" s="2">
        <v>911</v>
      </c>
      <c r="AA428" s="2">
        <v>-2.46</v>
      </c>
      <c r="AB428" s="3">
        <v>7226902</v>
      </c>
      <c r="AC428" s="3">
        <v>7226902</v>
      </c>
      <c r="AD428" s="3">
        <v>1000000</v>
      </c>
      <c r="AE428" s="3">
        <v>642005</v>
      </c>
      <c r="AF428" s="3">
        <v>966410</v>
      </c>
      <c r="AG428" s="3">
        <v>903247</v>
      </c>
      <c r="AH428" s="2">
        <v>4.43</v>
      </c>
      <c r="AI428" s="5">
        <v>4</v>
      </c>
    </row>
    <row r="429" spans="1:35" x14ac:dyDescent="0.3">
      <c r="A429" s="4" t="str">
        <f>"491501"</f>
        <v>491501</v>
      </c>
      <c r="B429" s="2" t="s">
        <v>425</v>
      </c>
      <c r="C429" s="3">
        <v>25988979</v>
      </c>
      <c r="D429" s="3">
        <v>26159094</v>
      </c>
      <c r="E429" s="2">
        <v>0.65</v>
      </c>
      <c r="F429" s="3">
        <v>14044355</v>
      </c>
      <c r="G429" s="3">
        <v>14323119</v>
      </c>
      <c r="H429" s="3"/>
      <c r="I429" s="3"/>
      <c r="J429" s="3"/>
      <c r="K429" s="3"/>
      <c r="L429" s="3"/>
      <c r="M429" s="3"/>
      <c r="N429" s="3">
        <v>14044355</v>
      </c>
      <c r="O429" s="3">
        <v>14323119</v>
      </c>
      <c r="P429" s="2">
        <v>1.98</v>
      </c>
      <c r="Q429" s="3">
        <v>786163</v>
      </c>
      <c r="R429" s="3">
        <v>819367</v>
      </c>
      <c r="S429" s="3">
        <v>13258192</v>
      </c>
      <c r="T429" s="3">
        <v>13503752</v>
      </c>
      <c r="U429" s="3">
        <v>13258192</v>
      </c>
      <c r="V429" s="3">
        <v>13503752</v>
      </c>
      <c r="W429" s="3">
        <v>0</v>
      </c>
      <c r="X429" s="3">
        <v>0</v>
      </c>
      <c r="Y429" s="2">
        <v>901</v>
      </c>
      <c r="Z429" s="2">
        <v>888</v>
      </c>
      <c r="AA429" s="2">
        <v>-1.44</v>
      </c>
      <c r="AB429" s="3">
        <v>4948644</v>
      </c>
      <c r="AC429" s="3">
        <v>3877597</v>
      </c>
      <c r="AD429" s="3">
        <v>850000</v>
      </c>
      <c r="AE429" s="3">
        <v>800000</v>
      </c>
      <c r="AF429" s="3">
        <v>1045356</v>
      </c>
      <c r="AG429" s="3">
        <v>1803769</v>
      </c>
      <c r="AH429" s="2">
        <v>4.0199999999999996</v>
      </c>
      <c r="AI429" s="5">
        <v>6.9</v>
      </c>
    </row>
    <row r="430" spans="1:35" x14ac:dyDescent="0.3">
      <c r="A430" s="4" t="str">
        <f>"491700"</f>
        <v>491700</v>
      </c>
      <c r="B430" s="2" t="s">
        <v>426</v>
      </c>
      <c r="C430" s="3">
        <v>113651375</v>
      </c>
      <c r="D430" s="3">
        <v>115293164</v>
      </c>
      <c r="E430" s="2">
        <v>1.44</v>
      </c>
      <c r="F430" s="3">
        <v>37941094</v>
      </c>
      <c r="G430" s="3">
        <v>37941094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37941094</v>
      </c>
      <c r="O430" s="3">
        <v>37941094</v>
      </c>
      <c r="P430" s="2">
        <v>0</v>
      </c>
      <c r="Q430" s="3">
        <v>988862</v>
      </c>
      <c r="R430" s="3">
        <v>833353</v>
      </c>
      <c r="S430" s="3">
        <v>37005589</v>
      </c>
      <c r="T430" s="3">
        <v>37640278</v>
      </c>
      <c r="U430" s="3">
        <v>36952232</v>
      </c>
      <c r="V430" s="3">
        <v>37107741</v>
      </c>
      <c r="W430" s="3">
        <v>53357</v>
      </c>
      <c r="X430" s="3">
        <v>532537</v>
      </c>
      <c r="Y430" s="2">
        <v>4700</v>
      </c>
      <c r="Z430" s="2">
        <v>4600</v>
      </c>
      <c r="AA430" s="2">
        <v>-2.13</v>
      </c>
      <c r="AB430" s="3">
        <v>9194126</v>
      </c>
      <c r="AC430" s="3">
        <v>11177181</v>
      </c>
      <c r="AD430" s="3">
        <v>9135495</v>
      </c>
      <c r="AE430" s="3">
        <v>3400000</v>
      </c>
      <c r="AF430" s="3">
        <v>4546055</v>
      </c>
      <c r="AG430" s="3">
        <v>4611726</v>
      </c>
      <c r="AH430" s="2">
        <v>4</v>
      </c>
      <c r="AI430" s="5">
        <v>4</v>
      </c>
    </row>
    <row r="431" spans="1:35" x14ac:dyDescent="0.3">
      <c r="A431" s="4" t="str">
        <f>"500101"</f>
        <v>500101</v>
      </c>
      <c r="B431" s="2" t="s">
        <v>427</v>
      </c>
      <c r="C431" s="3">
        <v>212814204</v>
      </c>
      <c r="D431" s="3">
        <v>220799579</v>
      </c>
      <c r="E431" s="2">
        <v>3.75</v>
      </c>
      <c r="F431" s="3">
        <v>169694987</v>
      </c>
      <c r="G431" s="3">
        <v>173937224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169694987</v>
      </c>
      <c r="O431" s="3">
        <v>173937224</v>
      </c>
      <c r="P431" s="2">
        <v>2.5</v>
      </c>
      <c r="Q431" s="3">
        <v>3497075</v>
      </c>
      <c r="R431" s="3">
        <v>5170395</v>
      </c>
      <c r="S431" s="3">
        <v>166197912</v>
      </c>
      <c r="T431" s="3">
        <v>168766829</v>
      </c>
      <c r="U431" s="3">
        <v>166197912</v>
      </c>
      <c r="V431" s="3">
        <v>168766829</v>
      </c>
      <c r="W431" s="3">
        <v>0</v>
      </c>
      <c r="X431" s="3">
        <v>0</v>
      </c>
      <c r="Y431" s="2">
        <v>7802</v>
      </c>
      <c r="Z431" s="2">
        <v>7913</v>
      </c>
      <c r="AA431" s="2">
        <v>1.42</v>
      </c>
      <c r="AB431" s="3">
        <v>22147191</v>
      </c>
      <c r="AC431" s="3">
        <v>22166572</v>
      </c>
      <c r="AD431" s="3">
        <v>0</v>
      </c>
      <c r="AE431" s="3">
        <v>0</v>
      </c>
      <c r="AF431" s="3">
        <v>11396559</v>
      </c>
      <c r="AG431" s="3">
        <v>8831983</v>
      </c>
      <c r="AH431" s="2">
        <v>5.36</v>
      </c>
      <c r="AI431" s="5">
        <v>4</v>
      </c>
    </row>
    <row r="432" spans="1:35" x14ac:dyDescent="0.3">
      <c r="A432" s="4" t="str">
        <f>"500108"</f>
        <v>500108</v>
      </c>
      <c r="B432" s="2" t="s">
        <v>428</v>
      </c>
      <c r="C432" s="3">
        <v>76156263</v>
      </c>
      <c r="D432" s="3">
        <v>79028650</v>
      </c>
      <c r="E432" s="2">
        <v>3.77</v>
      </c>
      <c r="F432" s="3">
        <v>57910630</v>
      </c>
      <c r="G432" s="3">
        <v>57910630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57910630</v>
      </c>
      <c r="O432" s="3">
        <v>57910630</v>
      </c>
      <c r="P432" s="2">
        <v>0</v>
      </c>
      <c r="Q432" s="3">
        <v>3940406</v>
      </c>
      <c r="R432" s="3">
        <v>3595556</v>
      </c>
      <c r="S432" s="3">
        <v>53970224</v>
      </c>
      <c r="T432" s="3">
        <v>55231026</v>
      </c>
      <c r="U432" s="3">
        <v>53970224</v>
      </c>
      <c r="V432" s="3">
        <v>54315074</v>
      </c>
      <c r="W432" s="3">
        <v>0</v>
      </c>
      <c r="X432" s="3">
        <v>915952</v>
      </c>
      <c r="Y432" s="2">
        <v>2267</v>
      </c>
      <c r="Z432" s="2">
        <v>2260</v>
      </c>
      <c r="AA432" s="2">
        <v>-0.31</v>
      </c>
      <c r="AB432" s="3">
        <v>13721518</v>
      </c>
      <c r="AC432" s="3">
        <v>15140610</v>
      </c>
      <c r="AD432" s="3">
        <v>3824635</v>
      </c>
      <c r="AE432" s="3">
        <v>4048579</v>
      </c>
      <c r="AF432" s="3">
        <v>3046252</v>
      </c>
      <c r="AG432" s="3">
        <v>3161146</v>
      </c>
      <c r="AH432" s="2">
        <v>4</v>
      </c>
      <c r="AI432" s="5">
        <v>4</v>
      </c>
    </row>
    <row r="433" spans="1:35" x14ac:dyDescent="0.3">
      <c r="A433" s="4" t="str">
        <f>"500201"</f>
        <v>500201</v>
      </c>
      <c r="B433" s="2" t="s">
        <v>429</v>
      </c>
      <c r="C433" s="3">
        <v>232789532</v>
      </c>
      <c r="D433" s="3">
        <v>239826945</v>
      </c>
      <c r="E433" s="2">
        <v>3.02</v>
      </c>
      <c r="F433" s="3">
        <v>152062624</v>
      </c>
      <c r="G433" s="3">
        <v>151062624</v>
      </c>
      <c r="H433" s="3"/>
      <c r="I433" s="3"/>
      <c r="J433" s="3"/>
      <c r="K433" s="3"/>
      <c r="L433" s="3"/>
      <c r="M433" s="3"/>
      <c r="N433" s="3">
        <v>152062624</v>
      </c>
      <c r="O433" s="3">
        <v>151062624</v>
      </c>
      <c r="P433" s="2">
        <v>-0.66</v>
      </c>
      <c r="Q433" s="3">
        <v>1865552</v>
      </c>
      <c r="R433" s="3">
        <v>1906085</v>
      </c>
      <c r="S433" s="3">
        <v>153771047</v>
      </c>
      <c r="T433" s="3">
        <v>154025740</v>
      </c>
      <c r="U433" s="3">
        <v>150197072</v>
      </c>
      <c r="V433" s="3">
        <v>149156539</v>
      </c>
      <c r="W433" s="3">
        <v>3573975</v>
      </c>
      <c r="X433" s="3">
        <v>4869201</v>
      </c>
      <c r="Y433" s="2">
        <v>8116</v>
      </c>
      <c r="Z433" s="2">
        <v>8002</v>
      </c>
      <c r="AA433" s="2">
        <v>-1.4</v>
      </c>
      <c r="AB433" s="3">
        <v>59009438</v>
      </c>
      <c r="AC433" s="3">
        <v>65581702</v>
      </c>
      <c r="AD433" s="3">
        <v>9368969</v>
      </c>
      <c r="AE433" s="3">
        <v>7895792</v>
      </c>
      <c r="AF433" s="3">
        <v>14599976</v>
      </c>
      <c r="AG433" s="3">
        <v>9593078</v>
      </c>
      <c r="AH433" s="2">
        <v>6.27</v>
      </c>
      <c r="AI433" s="5">
        <v>4</v>
      </c>
    </row>
    <row r="434" spans="1:35" x14ac:dyDescent="0.3">
      <c r="A434" s="4" t="str">
        <f>"500301"</f>
        <v>500301</v>
      </c>
      <c r="B434" s="2" t="s">
        <v>430</v>
      </c>
      <c r="C434" s="3">
        <v>96839306</v>
      </c>
      <c r="D434" s="3">
        <v>98208170</v>
      </c>
      <c r="E434" s="2">
        <v>1.41</v>
      </c>
      <c r="F434" s="3">
        <v>83594265</v>
      </c>
      <c r="G434" s="3">
        <v>83676185</v>
      </c>
      <c r="H434" s="3"/>
      <c r="I434" s="3"/>
      <c r="J434" s="3"/>
      <c r="K434" s="3"/>
      <c r="L434" s="3"/>
      <c r="M434" s="3"/>
      <c r="N434" s="3">
        <v>83594265</v>
      </c>
      <c r="O434" s="3">
        <v>83676185</v>
      </c>
      <c r="P434" s="2">
        <v>0.1</v>
      </c>
      <c r="Q434" s="3">
        <v>3771926</v>
      </c>
      <c r="R434" s="3">
        <v>2568600</v>
      </c>
      <c r="S434" s="3">
        <v>79822340</v>
      </c>
      <c r="T434" s="3">
        <v>81107585</v>
      </c>
      <c r="U434" s="3">
        <v>79822339</v>
      </c>
      <c r="V434" s="3">
        <v>81107585</v>
      </c>
      <c r="W434" s="3">
        <v>1</v>
      </c>
      <c r="X434" s="3">
        <v>0</v>
      </c>
      <c r="Y434" s="2">
        <v>2924</v>
      </c>
      <c r="Z434" s="2">
        <v>2820</v>
      </c>
      <c r="AA434" s="2">
        <v>-3.56</v>
      </c>
      <c r="AB434" s="3">
        <v>23942388</v>
      </c>
      <c r="AC434" s="3">
        <v>29015209</v>
      </c>
      <c r="AD434" s="3">
        <v>373751</v>
      </c>
      <c r="AE434" s="3">
        <v>1000000</v>
      </c>
      <c r="AF434" s="3">
        <v>3873572</v>
      </c>
      <c r="AG434" s="3">
        <v>3928327</v>
      </c>
      <c r="AH434" s="2">
        <v>4</v>
      </c>
      <c r="AI434" s="5">
        <v>4</v>
      </c>
    </row>
    <row r="435" spans="1:35" x14ac:dyDescent="0.3">
      <c r="A435" s="4" t="str">
        <f>"500304"</f>
        <v>500304</v>
      </c>
      <c r="B435" s="2" t="s">
        <v>431</v>
      </c>
      <c r="C435" s="3">
        <v>90684000</v>
      </c>
      <c r="D435" s="3">
        <v>91388000</v>
      </c>
      <c r="E435" s="2">
        <v>0.78</v>
      </c>
      <c r="F435" s="3">
        <v>73020260</v>
      </c>
      <c r="G435" s="3">
        <v>73020260</v>
      </c>
      <c r="H435" s="3"/>
      <c r="I435" s="3"/>
      <c r="J435" s="3"/>
      <c r="K435" s="3"/>
      <c r="L435" s="3"/>
      <c r="M435" s="3"/>
      <c r="N435" s="3">
        <v>73020260</v>
      </c>
      <c r="O435" s="3">
        <v>73020260</v>
      </c>
      <c r="P435" s="2">
        <v>0</v>
      </c>
      <c r="Q435" s="3">
        <v>1194513</v>
      </c>
      <c r="R435" s="3">
        <v>888858</v>
      </c>
      <c r="S435" s="3">
        <v>71825749</v>
      </c>
      <c r="T435" s="3">
        <v>73024978</v>
      </c>
      <c r="U435" s="3">
        <v>71825747</v>
      </c>
      <c r="V435" s="3">
        <v>72131402</v>
      </c>
      <c r="W435" s="3">
        <v>2</v>
      </c>
      <c r="X435" s="3">
        <v>893576</v>
      </c>
      <c r="Y435" s="2">
        <v>2918</v>
      </c>
      <c r="Z435" s="2">
        <v>2804</v>
      </c>
      <c r="AA435" s="2">
        <v>-3.91</v>
      </c>
      <c r="AB435" s="3">
        <v>17080000</v>
      </c>
      <c r="AC435" s="3">
        <v>16738000</v>
      </c>
      <c r="AD435" s="3">
        <v>8661780</v>
      </c>
      <c r="AE435" s="3">
        <v>6500000</v>
      </c>
      <c r="AF435" s="3">
        <v>3627360</v>
      </c>
      <c r="AG435" s="3">
        <v>3655520</v>
      </c>
      <c r="AH435" s="2">
        <v>4</v>
      </c>
      <c r="AI435" s="5">
        <v>4</v>
      </c>
    </row>
    <row r="436" spans="1:35" x14ac:dyDescent="0.3">
      <c r="A436" s="4" t="str">
        <f>"500308"</f>
        <v>500308</v>
      </c>
      <c r="B436" s="2" t="s">
        <v>432</v>
      </c>
      <c r="C436" s="3">
        <v>70992208</v>
      </c>
      <c r="D436" s="3">
        <v>73976753</v>
      </c>
      <c r="E436" s="2">
        <v>4.2</v>
      </c>
      <c r="F436" s="3">
        <v>57803420</v>
      </c>
      <c r="G436" s="3">
        <v>58926118</v>
      </c>
      <c r="H436" s="3"/>
      <c r="I436" s="3"/>
      <c r="J436" s="3"/>
      <c r="K436" s="3"/>
      <c r="L436" s="3"/>
      <c r="M436" s="3"/>
      <c r="N436" s="3">
        <v>57803420</v>
      </c>
      <c r="O436" s="3">
        <v>58926118</v>
      </c>
      <c r="P436" s="2">
        <v>1.94</v>
      </c>
      <c r="Q436" s="3">
        <v>808739</v>
      </c>
      <c r="R436" s="3">
        <v>723535</v>
      </c>
      <c r="S436" s="3">
        <v>56994681</v>
      </c>
      <c r="T436" s="3">
        <v>58202583</v>
      </c>
      <c r="U436" s="3">
        <v>56994681</v>
      </c>
      <c r="V436" s="3">
        <v>58202583</v>
      </c>
      <c r="W436" s="3">
        <v>0</v>
      </c>
      <c r="X436" s="3">
        <v>0</v>
      </c>
      <c r="Y436" s="2">
        <v>2341</v>
      </c>
      <c r="Z436" s="2">
        <v>2350</v>
      </c>
      <c r="AA436" s="2">
        <v>0.38</v>
      </c>
      <c r="AB436" s="3">
        <v>1127821</v>
      </c>
      <c r="AC436" s="3">
        <v>500000</v>
      </c>
      <c r="AD436" s="3">
        <v>1127821</v>
      </c>
      <c r="AE436" s="3">
        <v>1000000</v>
      </c>
      <c r="AF436" s="3">
        <v>2839688</v>
      </c>
      <c r="AG436" s="3">
        <v>2959070</v>
      </c>
      <c r="AH436" s="2">
        <v>4</v>
      </c>
      <c r="AI436" s="5">
        <v>4</v>
      </c>
    </row>
    <row r="437" spans="1:35" x14ac:dyDescent="0.3">
      <c r="A437" s="4" t="str">
        <f>"500401"</f>
        <v>500401</v>
      </c>
      <c r="B437" s="2" t="s">
        <v>433</v>
      </c>
      <c r="C437" s="3">
        <v>144033814</v>
      </c>
      <c r="D437" s="3">
        <v>144842711</v>
      </c>
      <c r="E437" s="2">
        <v>0.56000000000000005</v>
      </c>
      <c r="F437" s="3">
        <v>112837534</v>
      </c>
      <c r="G437" s="3">
        <v>113943342</v>
      </c>
      <c r="H437" s="3">
        <v>0</v>
      </c>
      <c r="I437" s="3"/>
      <c r="J437" s="3" t="s">
        <v>98</v>
      </c>
      <c r="K437" s="3"/>
      <c r="L437" s="3"/>
      <c r="M437" s="3"/>
      <c r="N437" s="3">
        <v>112837534</v>
      </c>
      <c r="O437" s="3">
        <v>113943342</v>
      </c>
      <c r="P437" s="2">
        <v>0.98</v>
      </c>
      <c r="Q437" s="3">
        <v>4434275</v>
      </c>
      <c r="R437" s="3">
        <v>4731427</v>
      </c>
      <c r="S437" s="3">
        <v>108571747</v>
      </c>
      <c r="T437" s="3">
        <v>109211915</v>
      </c>
      <c r="U437" s="3">
        <v>108403259</v>
      </c>
      <c r="V437" s="3">
        <v>109211915</v>
      </c>
      <c r="W437" s="3">
        <v>168488</v>
      </c>
      <c r="X437" s="3">
        <v>0</v>
      </c>
      <c r="Y437" s="2">
        <v>3985</v>
      </c>
      <c r="Z437" s="2">
        <v>3794</v>
      </c>
      <c r="AA437" s="2">
        <v>-4.79</v>
      </c>
      <c r="AB437" s="3">
        <v>30590576</v>
      </c>
      <c r="AC437" s="3">
        <v>30000000</v>
      </c>
      <c r="AD437" s="3">
        <v>3100000</v>
      </c>
      <c r="AE437" s="3">
        <v>3100000</v>
      </c>
      <c r="AF437" s="3">
        <v>5761353</v>
      </c>
      <c r="AG437" s="3">
        <v>5789708</v>
      </c>
      <c r="AH437" s="2">
        <v>4</v>
      </c>
      <c r="AI437" s="5">
        <v>4</v>
      </c>
    </row>
    <row r="438" spans="1:35" x14ac:dyDescent="0.3">
      <c r="A438" s="4" t="str">
        <f>"500402"</f>
        <v>500402</v>
      </c>
      <c r="B438" s="2" t="s">
        <v>434</v>
      </c>
      <c r="C438" s="3">
        <v>245744853</v>
      </c>
      <c r="D438" s="3">
        <v>272449633</v>
      </c>
      <c r="E438" s="2">
        <v>10.87</v>
      </c>
      <c r="F438" s="3">
        <v>154490227</v>
      </c>
      <c r="G438" s="3">
        <v>154490227</v>
      </c>
      <c r="H438" s="3"/>
      <c r="I438" s="3"/>
      <c r="J438" s="3"/>
      <c r="K438" s="3"/>
      <c r="L438" s="3"/>
      <c r="M438" s="3"/>
      <c r="N438" s="3">
        <v>154490227</v>
      </c>
      <c r="O438" s="3">
        <v>154490227</v>
      </c>
      <c r="P438" s="2">
        <v>0</v>
      </c>
      <c r="Q438" s="3">
        <v>2314317</v>
      </c>
      <c r="R438" s="3">
        <v>2590102</v>
      </c>
      <c r="S438" s="3">
        <v>157089206</v>
      </c>
      <c r="T438" s="3">
        <v>156023654</v>
      </c>
      <c r="U438" s="3">
        <v>152175910</v>
      </c>
      <c r="V438" s="3">
        <v>151900125</v>
      </c>
      <c r="W438" s="3">
        <v>4913296</v>
      </c>
      <c r="X438" s="3">
        <v>4123529</v>
      </c>
      <c r="Y438" s="2">
        <v>9538</v>
      </c>
      <c r="Z438" s="2">
        <v>9132</v>
      </c>
      <c r="AA438" s="2">
        <v>-4.26</v>
      </c>
      <c r="AB438" s="3">
        <v>102990</v>
      </c>
      <c r="AC438" s="3">
        <v>102990</v>
      </c>
      <c r="AD438" s="3">
        <v>710000</v>
      </c>
      <c r="AE438" s="3">
        <v>710000</v>
      </c>
      <c r="AF438" s="3">
        <v>8486745</v>
      </c>
      <c r="AG438" s="3">
        <v>8486745</v>
      </c>
      <c r="AH438" s="2">
        <v>3.45</v>
      </c>
      <c r="AI438" s="5">
        <v>3.11</v>
      </c>
    </row>
    <row r="439" spans="1:35" x14ac:dyDescent="0.3">
      <c r="A439" s="4" t="str">
        <f>"510101"</f>
        <v>510101</v>
      </c>
      <c r="B439" s="2" t="s">
        <v>435</v>
      </c>
      <c r="C439" s="3">
        <v>24008913</v>
      </c>
      <c r="D439" s="3">
        <v>26279357</v>
      </c>
      <c r="E439" s="2">
        <v>9.4600000000000009</v>
      </c>
      <c r="F439" s="3">
        <v>5233598</v>
      </c>
      <c r="G439" s="3">
        <v>5285934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5233598</v>
      </c>
      <c r="O439" s="3">
        <v>5285934</v>
      </c>
      <c r="P439" s="2">
        <v>1</v>
      </c>
      <c r="Q439" s="3">
        <v>230934</v>
      </c>
      <c r="R439" s="3">
        <v>274930</v>
      </c>
      <c r="S439" s="3">
        <v>5135194</v>
      </c>
      <c r="T439" s="3">
        <v>5094265</v>
      </c>
      <c r="U439" s="3">
        <v>5002664</v>
      </c>
      <c r="V439" s="3">
        <v>5011004</v>
      </c>
      <c r="W439" s="3">
        <v>132530</v>
      </c>
      <c r="X439" s="3">
        <v>83261</v>
      </c>
      <c r="Y439" s="2">
        <v>1030</v>
      </c>
      <c r="Z439" s="2">
        <v>1030</v>
      </c>
      <c r="AA439" s="2">
        <v>0</v>
      </c>
      <c r="AB439" s="3">
        <v>7487274</v>
      </c>
      <c r="AC439" s="3">
        <v>7638323</v>
      </c>
      <c r="AD439" s="3">
        <v>750000</v>
      </c>
      <c r="AE439" s="3">
        <v>750000</v>
      </c>
      <c r="AF439" s="3">
        <v>2343483</v>
      </c>
      <c r="AG439" s="3">
        <v>2469526</v>
      </c>
      <c r="AH439" s="2">
        <v>9.76</v>
      </c>
      <c r="AI439" s="5">
        <v>9.4</v>
      </c>
    </row>
    <row r="440" spans="1:35" x14ac:dyDescent="0.3">
      <c r="A440" s="4" t="str">
        <f>"510201"</f>
        <v>510201</v>
      </c>
      <c r="B440" s="2" t="s">
        <v>436</v>
      </c>
      <c r="C440" s="3">
        <v>31032033</v>
      </c>
      <c r="D440" s="3">
        <v>33107411</v>
      </c>
      <c r="E440" s="2">
        <v>6.69</v>
      </c>
      <c r="F440" s="3">
        <v>10154781</v>
      </c>
      <c r="G440" s="3">
        <v>10449000</v>
      </c>
      <c r="H440" s="3"/>
      <c r="I440" s="3"/>
      <c r="J440" s="3"/>
      <c r="K440" s="3"/>
      <c r="L440" s="3"/>
      <c r="M440" s="3"/>
      <c r="N440" s="3">
        <v>10154781</v>
      </c>
      <c r="O440" s="3">
        <v>10449000</v>
      </c>
      <c r="P440" s="2">
        <v>2.9</v>
      </c>
      <c r="Q440" s="3">
        <v>328615</v>
      </c>
      <c r="R440" s="3">
        <v>405511</v>
      </c>
      <c r="S440" s="3">
        <v>9826166</v>
      </c>
      <c r="T440" s="3">
        <v>10104822</v>
      </c>
      <c r="U440" s="3">
        <v>9826166</v>
      </c>
      <c r="V440" s="3">
        <v>10043489</v>
      </c>
      <c r="W440" s="3">
        <v>0</v>
      </c>
      <c r="X440" s="3">
        <v>61333</v>
      </c>
      <c r="Y440" s="2">
        <v>1200</v>
      </c>
      <c r="Z440" s="2">
        <v>1187</v>
      </c>
      <c r="AA440" s="2">
        <v>-1.08</v>
      </c>
      <c r="AB440" s="3">
        <v>1135018</v>
      </c>
      <c r="AC440" s="3">
        <v>3434895</v>
      </c>
      <c r="AD440" s="3">
        <v>2607337</v>
      </c>
      <c r="AE440" s="3">
        <v>2477875</v>
      </c>
      <c r="AF440" s="3">
        <v>1279664</v>
      </c>
      <c r="AG440" s="3">
        <v>1324300</v>
      </c>
      <c r="AH440" s="2">
        <v>4.12</v>
      </c>
      <c r="AI440" s="5">
        <v>4</v>
      </c>
    </row>
    <row r="441" spans="1:35" x14ac:dyDescent="0.3">
      <c r="A441" s="4" t="str">
        <f>"510401"</f>
        <v>510401</v>
      </c>
      <c r="B441" s="2" t="s">
        <v>437</v>
      </c>
      <c r="C441" s="3">
        <v>11266612</v>
      </c>
      <c r="D441" s="3">
        <v>11345218</v>
      </c>
      <c r="E441" s="2">
        <v>0.7</v>
      </c>
      <c r="F441" s="3">
        <v>4331437</v>
      </c>
      <c r="G441" s="3">
        <v>4332178</v>
      </c>
      <c r="H441" s="3"/>
      <c r="I441" s="3"/>
      <c r="J441" s="3"/>
      <c r="K441" s="3"/>
      <c r="L441" s="3"/>
      <c r="M441" s="3"/>
      <c r="N441" s="3">
        <v>4331437</v>
      </c>
      <c r="O441" s="3">
        <v>4332178</v>
      </c>
      <c r="P441" s="2">
        <v>0.02</v>
      </c>
      <c r="Q441" s="3">
        <v>253158</v>
      </c>
      <c r="R441" s="3">
        <v>169535</v>
      </c>
      <c r="S441" s="3">
        <v>4078279</v>
      </c>
      <c r="T441" s="3">
        <v>4162643</v>
      </c>
      <c r="U441" s="3">
        <v>4078279</v>
      </c>
      <c r="V441" s="3">
        <v>4162643</v>
      </c>
      <c r="W441" s="3">
        <v>0</v>
      </c>
      <c r="X441" s="3">
        <v>0</v>
      </c>
      <c r="Y441" s="2">
        <v>280</v>
      </c>
      <c r="Z441" s="2">
        <v>280</v>
      </c>
      <c r="AA441" s="2">
        <v>0</v>
      </c>
      <c r="AB441" s="3">
        <v>2462936</v>
      </c>
      <c r="AC441" s="3">
        <v>3106370</v>
      </c>
      <c r="AD441" s="3">
        <v>1031304</v>
      </c>
      <c r="AE441" s="3">
        <v>1000000</v>
      </c>
      <c r="AF441" s="3">
        <v>1065939</v>
      </c>
      <c r="AG441" s="3">
        <v>453809</v>
      </c>
      <c r="AH441" s="2">
        <v>9.4600000000000009</v>
      </c>
      <c r="AI441" s="5">
        <v>4</v>
      </c>
    </row>
    <row r="442" spans="1:35" x14ac:dyDescent="0.3">
      <c r="A442" s="4" t="str">
        <f>"510501"</f>
        <v>510501</v>
      </c>
      <c r="B442" s="2" t="s">
        <v>438</v>
      </c>
      <c r="C442" s="3">
        <v>10920370</v>
      </c>
      <c r="D442" s="3">
        <v>11105716</v>
      </c>
      <c r="E442" s="2">
        <v>1.7</v>
      </c>
      <c r="F442" s="3">
        <v>7712319</v>
      </c>
      <c r="G442" s="3">
        <v>7840259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7712319</v>
      </c>
      <c r="O442" s="3">
        <v>7840259</v>
      </c>
      <c r="P442" s="2">
        <v>1.66</v>
      </c>
      <c r="Q442" s="3">
        <v>476654</v>
      </c>
      <c r="R442" s="3">
        <v>495289</v>
      </c>
      <c r="S442" s="3">
        <v>7235665</v>
      </c>
      <c r="T442" s="3">
        <v>7344970</v>
      </c>
      <c r="U442" s="3">
        <v>7235665</v>
      </c>
      <c r="V442" s="3">
        <v>7344970</v>
      </c>
      <c r="W442" s="3">
        <v>0</v>
      </c>
      <c r="X442" s="3">
        <v>0</v>
      </c>
      <c r="Y442" s="2">
        <v>368</v>
      </c>
      <c r="Z442" s="2">
        <v>370</v>
      </c>
      <c r="AA442" s="2">
        <v>0.54</v>
      </c>
      <c r="AB442" s="3">
        <v>3962951</v>
      </c>
      <c r="AC442" s="3">
        <v>4307677</v>
      </c>
      <c r="AD442" s="3">
        <v>229934</v>
      </c>
      <c r="AE442" s="3">
        <v>168037</v>
      </c>
      <c r="AF442" s="3">
        <v>266314</v>
      </c>
      <c r="AG442" s="3">
        <v>250000</v>
      </c>
      <c r="AH442" s="2">
        <v>2.44</v>
      </c>
      <c r="AI442" s="5">
        <v>2.25</v>
      </c>
    </row>
    <row r="443" spans="1:35" x14ac:dyDescent="0.3">
      <c r="A443" s="4" t="str">
        <f>"511101"</f>
        <v>511101</v>
      </c>
      <c r="B443" s="2" t="s">
        <v>439</v>
      </c>
      <c r="C443" s="3">
        <v>37550000</v>
      </c>
      <c r="D443" s="3">
        <v>39960574</v>
      </c>
      <c r="E443" s="2">
        <v>6.42</v>
      </c>
      <c r="F443" s="3">
        <v>6496152</v>
      </c>
      <c r="G443" s="3">
        <v>6686829</v>
      </c>
      <c r="H443" s="3"/>
      <c r="I443" s="3"/>
      <c r="J443" s="3"/>
      <c r="K443" s="3"/>
      <c r="L443" s="3"/>
      <c r="M443" s="3"/>
      <c r="N443" s="3">
        <v>6496152</v>
      </c>
      <c r="O443" s="3">
        <v>6686829</v>
      </c>
      <c r="P443" s="2">
        <v>2.94</v>
      </c>
      <c r="Q443" s="3">
        <v>425797</v>
      </c>
      <c r="R443" s="3">
        <v>462949</v>
      </c>
      <c r="S443" s="3">
        <v>6070357</v>
      </c>
      <c r="T443" s="3">
        <v>6223880</v>
      </c>
      <c r="U443" s="3">
        <v>6070355</v>
      </c>
      <c r="V443" s="3">
        <v>6223880</v>
      </c>
      <c r="W443" s="3">
        <v>2</v>
      </c>
      <c r="X443" s="3">
        <v>0</v>
      </c>
      <c r="Y443" s="2">
        <v>1451</v>
      </c>
      <c r="Z443" s="2">
        <v>1425</v>
      </c>
      <c r="AA443" s="2">
        <v>-1.79</v>
      </c>
      <c r="AB443" s="3">
        <v>8536100</v>
      </c>
      <c r="AC443" s="3">
        <v>9786100</v>
      </c>
      <c r="AD443" s="3">
        <v>3260574</v>
      </c>
      <c r="AE443" s="3">
        <v>3000000</v>
      </c>
      <c r="AF443" s="3">
        <v>3592033</v>
      </c>
      <c r="AG443" s="3">
        <v>2602607</v>
      </c>
      <c r="AH443" s="2">
        <v>9.57</v>
      </c>
      <c r="AI443" s="5">
        <v>6.51</v>
      </c>
    </row>
    <row r="444" spans="1:35" x14ac:dyDescent="0.3">
      <c r="A444" s="4" t="str">
        <f>"511201"</f>
        <v>511201</v>
      </c>
      <c r="B444" s="2" t="s">
        <v>440</v>
      </c>
      <c r="C444" s="3">
        <v>8747387</v>
      </c>
      <c r="D444" s="3">
        <v>9302473</v>
      </c>
      <c r="E444" s="2">
        <v>6.35</v>
      </c>
      <c r="F444" s="3">
        <v>3725700</v>
      </c>
      <c r="G444" s="3">
        <v>3844694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3725700</v>
      </c>
      <c r="O444" s="3">
        <v>3844694</v>
      </c>
      <c r="P444" s="2">
        <v>3.19</v>
      </c>
      <c r="Q444" s="3">
        <v>0</v>
      </c>
      <c r="R444" s="3">
        <v>0</v>
      </c>
      <c r="S444" s="3">
        <v>3725700</v>
      </c>
      <c r="T444" s="3">
        <v>3844694</v>
      </c>
      <c r="U444" s="3">
        <v>3725700</v>
      </c>
      <c r="V444" s="3">
        <v>3844694</v>
      </c>
      <c r="W444" s="3">
        <v>0</v>
      </c>
      <c r="X444" s="3">
        <v>0</v>
      </c>
      <c r="Y444" s="2">
        <v>235</v>
      </c>
      <c r="Z444" s="2">
        <v>260</v>
      </c>
      <c r="AA444" s="2">
        <v>10.64</v>
      </c>
      <c r="AB444" s="3">
        <v>2505199</v>
      </c>
      <c r="AC444" s="3">
        <v>2539190</v>
      </c>
      <c r="AD444" s="3">
        <v>1049685</v>
      </c>
      <c r="AE444" s="3">
        <v>1049685</v>
      </c>
      <c r="AF444" s="3">
        <v>734098</v>
      </c>
      <c r="AG444" s="3">
        <v>372099</v>
      </c>
      <c r="AH444" s="2">
        <v>8.39</v>
      </c>
      <c r="AI444" s="5">
        <v>4</v>
      </c>
    </row>
    <row r="445" spans="1:35" x14ac:dyDescent="0.3">
      <c r="A445" s="4" t="str">
        <f>"511301"</f>
        <v>511301</v>
      </c>
      <c r="B445" s="2" t="s">
        <v>441</v>
      </c>
      <c r="C445" s="3">
        <v>11269040</v>
      </c>
      <c r="D445" s="3">
        <v>12876705</v>
      </c>
      <c r="E445" s="2">
        <v>14.27</v>
      </c>
      <c r="F445" s="3">
        <v>2614345</v>
      </c>
      <c r="G445" s="3">
        <v>2614345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2614345</v>
      </c>
      <c r="O445" s="3">
        <v>2614345</v>
      </c>
      <c r="P445" s="2">
        <v>0</v>
      </c>
      <c r="Q445" s="3">
        <v>87871</v>
      </c>
      <c r="R445" s="3">
        <v>79648</v>
      </c>
      <c r="S445" s="3">
        <v>2572931</v>
      </c>
      <c r="T445" s="3">
        <v>2597134</v>
      </c>
      <c r="U445" s="3">
        <v>2526474</v>
      </c>
      <c r="V445" s="3">
        <v>2534697</v>
      </c>
      <c r="W445" s="3">
        <v>46457</v>
      </c>
      <c r="X445" s="3">
        <v>62437</v>
      </c>
      <c r="Y445" s="2">
        <v>443</v>
      </c>
      <c r="Z445" s="2">
        <v>446</v>
      </c>
      <c r="AA445" s="2">
        <v>0.68</v>
      </c>
      <c r="AB445" s="3">
        <v>989108</v>
      </c>
      <c r="AC445" s="3">
        <v>1140108</v>
      </c>
      <c r="AD445" s="3">
        <v>1443375</v>
      </c>
      <c r="AE445" s="3">
        <v>1536088</v>
      </c>
      <c r="AF445" s="3">
        <v>569050</v>
      </c>
      <c r="AG445" s="3">
        <v>1027805</v>
      </c>
      <c r="AH445" s="2">
        <v>5.05</v>
      </c>
      <c r="AI445" s="5">
        <v>7.98</v>
      </c>
    </row>
    <row r="446" spans="1:35" x14ac:dyDescent="0.3">
      <c r="A446" s="4" t="str">
        <f>"511602"</f>
        <v>511602</v>
      </c>
      <c r="B446" s="2" t="s">
        <v>442</v>
      </c>
      <c r="C446" s="3">
        <v>15021769</v>
      </c>
      <c r="D446" s="3">
        <v>15890213</v>
      </c>
      <c r="E446" s="2">
        <v>5.78</v>
      </c>
      <c r="F446" s="3">
        <v>3726897</v>
      </c>
      <c r="G446" s="3">
        <v>3830411</v>
      </c>
      <c r="H446" s="3"/>
      <c r="I446" s="3"/>
      <c r="J446" s="3"/>
      <c r="K446" s="3"/>
      <c r="L446" s="3"/>
      <c r="M446" s="3"/>
      <c r="N446" s="3">
        <v>3726897</v>
      </c>
      <c r="O446" s="3">
        <v>3830411</v>
      </c>
      <c r="P446" s="2">
        <v>2.78</v>
      </c>
      <c r="Q446" s="3">
        <v>76680</v>
      </c>
      <c r="R446" s="3">
        <v>77943</v>
      </c>
      <c r="S446" s="3">
        <v>3650217</v>
      </c>
      <c r="T446" s="3">
        <v>3752468</v>
      </c>
      <c r="U446" s="3">
        <v>3650217</v>
      </c>
      <c r="V446" s="3">
        <v>3752468</v>
      </c>
      <c r="W446" s="3">
        <v>0</v>
      </c>
      <c r="X446" s="3">
        <v>0</v>
      </c>
      <c r="Y446" s="2">
        <v>585</v>
      </c>
      <c r="Z446" s="2">
        <v>585</v>
      </c>
      <c r="AA446" s="2">
        <v>0</v>
      </c>
      <c r="AB446" s="3">
        <v>2396932</v>
      </c>
      <c r="AC446" s="3">
        <v>2098906</v>
      </c>
      <c r="AD446" s="3">
        <v>1887525</v>
      </c>
      <c r="AE446" s="3">
        <v>1497309</v>
      </c>
      <c r="AF446" s="3">
        <v>509407</v>
      </c>
      <c r="AG446" s="3">
        <v>601597</v>
      </c>
      <c r="AH446" s="2">
        <v>3.39</v>
      </c>
      <c r="AI446" s="5">
        <v>3.79</v>
      </c>
    </row>
    <row r="447" spans="1:35" x14ac:dyDescent="0.3">
      <c r="A447" s="4" t="str">
        <f>"511901"</f>
        <v>511901</v>
      </c>
      <c r="B447" s="2" t="s">
        <v>443</v>
      </c>
      <c r="C447" s="3">
        <v>17398688</v>
      </c>
      <c r="D447" s="3">
        <v>18187232</v>
      </c>
      <c r="E447" s="2">
        <v>4.53</v>
      </c>
      <c r="F447" s="3">
        <v>4524336</v>
      </c>
      <c r="G447" s="3">
        <v>4614825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4524336</v>
      </c>
      <c r="O447" s="3">
        <v>4614825</v>
      </c>
      <c r="P447" s="2">
        <v>2</v>
      </c>
      <c r="Q447" s="3">
        <v>0</v>
      </c>
      <c r="R447" s="3">
        <v>0</v>
      </c>
      <c r="S447" s="3">
        <v>4524517</v>
      </c>
      <c r="T447" s="3">
        <v>4629630</v>
      </c>
      <c r="U447" s="3">
        <v>4524336</v>
      </c>
      <c r="V447" s="3">
        <v>4614825</v>
      </c>
      <c r="W447" s="3">
        <v>181</v>
      </c>
      <c r="X447" s="3">
        <v>14805</v>
      </c>
      <c r="Y447" s="2">
        <v>696</v>
      </c>
      <c r="Z447" s="2">
        <v>691</v>
      </c>
      <c r="AA447" s="2">
        <v>-0.72</v>
      </c>
      <c r="AB447" s="3">
        <v>1497663</v>
      </c>
      <c r="AC447" s="3">
        <v>1240647</v>
      </c>
      <c r="AD447" s="3">
        <v>1050000</v>
      </c>
      <c r="AE447" s="3">
        <v>810000</v>
      </c>
      <c r="AF447" s="3">
        <v>663514</v>
      </c>
      <c r="AG447" s="3">
        <v>600000</v>
      </c>
      <c r="AH447" s="2">
        <v>3.81</v>
      </c>
      <c r="AI447" s="5">
        <v>3.3</v>
      </c>
    </row>
    <row r="448" spans="1:35" x14ac:dyDescent="0.3">
      <c r="A448" s="4" t="str">
        <f>"512001"</f>
        <v>512001</v>
      </c>
      <c r="B448" s="2" t="s">
        <v>444</v>
      </c>
      <c r="C448" s="3">
        <v>56665033</v>
      </c>
      <c r="D448" s="3">
        <v>59712626</v>
      </c>
      <c r="E448" s="2">
        <v>5.38</v>
      </c>
      <c r="F448" s="3">
        <v>14831697</v>
      </c>
      <c r="G448" s="3">
        <v>14831697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14831697</v>
      </c>
      <c r="O448" s="3">
        <v>14831697</v>
      </c>
      <c r="P448" s="2">
        <v>0</v>
      </c>
      <c r="Q448" s="3">
        <v>0</v>
      </c>
      <c r="R448" s="3">
        <v>0</v>
      </c>
      <c r="S448" s="3">
        <v>15110679</v>
      </c>
      <c r="T448" s="3">
        <v>15296377</v>
      </c>
      <c r="U448" s="3">
        <v>14831697</v>
      </c>
      <c r="V448" s="3">
        <v>14831697</v>
      </c>
      <c r="W448" s="3">
        <v>278982</v>
      </c>
      <c r="X448" s="3">
        <v>464680</v>
      </c>
      <c r="Y448" s="2">
        <v>2453</v>
      </c>
      <c r="Z448" s="2">
        <v>2447</v>
      </c>
      <c r="AA448" s="2">
        <v>-0.24</v>
      </c>
      <c r="AB448" s="3">
        <v>15623836</v>
      </c>
      <c r="AC448" s="3">
        <v>17816821</v>
      </c>
      <c r="AD448" s="3">
        <v>2258881</v>
      </c>
      <c r="AE448" s="3">
        <v>2008193</v>
      </c>
      <c r="AF448" s="3">
        <v>6344642</v>
      </c>
      <c r="AG448" s="3">
        <v>4203181</v>
      </c>
      <c r="AH448" s="2">
        <v>11.2</v>
      </c>
      <c r="AI448" s="5">
        <v>7.04</v>
      </c>
    </row>
    <row r="449" spans="1:35" x14ac:dyDescent="0.3">
      <c r="A449" s="4" t="str">
        <f>"512101"</f>
        <v>512101</v>
      </c>
      <c r="B449" s="2" t="s">
        <v>445</v>
      </c>
      <c r="C449" s="3">
        <v>11015458</v>
      </c>
      <c r="D449" s="3">
        <v>10953442</v>
      </c>
      <c r="E449" s="2">
        <v>-0.56000000000000005</v>
      </c>
      <c r="F449" s="3">
        <v>3961883</v>
      </c>
      <c r="G449" s="3">
        <v>3941155</v>
      </c>
      <c r="H449" s="3"/>
      <c r="I449" s="3"/>
      <c r="J449" s="3"/>
      <c r="K449" s="3"/>
      <c r="L449" s="3"/>
      <c r="M449" s="3"/>
      <c r="N449" s="3">
        <v>3961883</v>
      </c>
      <c r="O449" s="3">
        <v>3941155</v>
      </c>
      <c r="P449" s="2">
        <v>-0.52</v>
      </c>
      <c r="Q449" s="3">
        <v>111007</v>
      </c>
      <c r="R449" s="3">
        <v>0</v>
      </c>
      <c r="S449" s="3">
        <v>3850876</v>
      </c>
      <c r="T449" s="3">
        <v>3941155</v>
      </c>
      <c r="U449" s="3">
        <v>3850876</v>
      </c>
      <c r="V449" s="3">
        <v>3941155</v>
      </c>
      <c r="W449" s="3">
        <v>0</v>
      </c>
      <c r="X449" s="3">
        <v>0</v>
      </c>
      <c r="Y449" s="2">
        <v>347</v>
      </c>
      <c r="Z449" s="2">
        <v>363</v>
      </c>
      <c r="AA449" s="2">
        <v>4.6100000000000003</v>
      </c>
      <c r="AB449" s="3">
        <v>2328701</v>
      </c>
      <c r="AC449" s="3">
        <v>2364548</v>
      </c>
      <c r="AD449" s="3">
        <v>649203</v>
      </c>
      <c r="AE449" s="3">
        <v>753837</v>
      </c>
      <c r="AF449" s="3">
        <v>1312371</v>
      </c>
      <c r="AG449" s="3">
        <v>438138</v>
      </c>
      <c r="AH449" s="2">
        <v>11.91</v>
      </c>
      <c r="AI449" s="5">
        <v>4</v>
      </c>
    </row>
    <row r="450" spans="1:35" x14ac:dyDescent="0.3">
      <c r="A450" s="4" t="str">
        <f>"512201"</f>
        <v>512201</v>
      </c>
      <c r="B450" s="2" t="s">
        <v>446</v>
      </c>
      <c r="C450" s="3">
        <v>24574114</v>
      </c>
      <c r="D450" s="3">
        <v>24834943</v>
      </c>
      <c r="E450" s="2">
        <v>1.06</v>
      </c>
      <c r="F450" s="3">
        <v>6534756</v>
      </c>
      <c r="G450" s="3">
        <v>6534756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6534756</v>
      </c>
      <c r="O450" s="3">
        <v>6534756</v>
      </c>
      <c r="P450" s="2">
        <v>0</v>
      </c>
      <c r="Q450" s="3">
        <v>0</v>
      </c>
      <c r="R450" s="3">
        <v>0</v>
      </c>
      <c r="S450" s="3">
        <v>6686356</v>
      </c>
      <c r="T450" s="3">
        <v>6733500</v>
      </c>
      <c r="U450" s="3">
        <v>6534756</v>
      </c>
      <c r="V450" s="3">
        <v>6534756</v>
      </c>
      <c r="W450" s="3">
        <v>151600</v>
      </c>
      <c r="X450" s="3">
        <v>198744</v>
      </c>
      <c r="Y450" s="2">
        <v>932</v>
      </c>
      <c r="Z450" s="2">
        <v>914</v>
      </c>
      <c r="AA450" s="2">
        <v>-1.93</v>
      </c>
      <c r="AB450" s="3">
        <v>4269655</v>
      </c>
      <c r="AC450" s="3">
        <v>5400627</v>
      </c>
      <c r="AD450" s="3">
        <v>728179</v>
      </c>
      <c r="AE450" s="3">
        <v>731781</v>
      </c>
      <c r="AF450" s="3">
        <v>1635683</v>
      </c>
      <c r="AG450" s="3">
        <v>1374891</v>
      </c>
      <c r="AH450" s="2">
        <v>6.66</v>
      </c>
      <c r="AI450" s="5">
        <v>5.54</v>
      </c>
    </row>
    <row r="451" spans="1:35" x14ac:dyDescent="0.3">
      <c r="A451" s="4" t="str">
        <f>"512300"</f>
        <v>512300</v>
      </c>
      <c r="B451" s="2" t="s">
        <v>447</v>
      </c>
      <c r="C451" s="3">
        <v>47200000</v>
      </c>
      <c r="D451" s="3">
        <v>49388000</v>
      </c>
      <c r="E451" s="2">
        <v>4.6399999999999997</v>
      </c>
      <c r="F451" s="3">
        <v>10598360</v>
      </c>
      <c r="G451" s="3">
        <v>10598360</v>
      </c>
      <c r="H451" s="3"/>
      <c r="I451" s="3"/>
      <c r="J451" s="3"/>
      <c r="K451" s="3"/>
      <c r="L451" s="3"/>
      <c r="M451" s="3"/>
      <c r="N451" s="3">
        <v>10598360</v>
      </c>
      <c r="O451" s="3">
        <v>10598360</v>
      </c>
      <c r="P451" s="2">
        <v>0</v>
      </c>
      <c r="Q451" s="3">
        <v>99572</v>
      </c>
      <c r="R451" s="3">
        <v>0</v>
      </c>
      <c r="S451" s="3">
        <v>10498788</v>
      </c>
      <c r="T451" s="3">
        <v>10654427</v>
      </c>
      <c r="U451" s="3">
        <v>10498788</v>
      </c>
      <c r="V451" s="3">
        <v>10598360</v>
      </c>
      <c r="W451" s="3">
        <v>0</v>
      </c>
      <c r="X451" s="3">
        <v>56067</v>
      </c>
      <c r="Y451" s="2">
        <v>1588</v>
      </c>
      <c r="Z451" s="2">
        <v>1588</v>
      </c>
      <c r="AA451" s="2">
        <v>0</v>
      </c>
      <c r="AB451" s="3">
        <v>2400000</v>
      </c>
      <c r="AC451" s="3">
        <v>2700000</v>
      </c>
      <c r="AD451" s="3">
        <v>4457061</v>
      </c>
      <c r="AE451" s="3">
        <v>2128567</v>
      </c>
      <c r="AF451" s="3">
        <v>1888000</v>
      </c>
      <c r="AG451" s="3">
        <v>1975520</v>
      </c>
      <c r="AH451" s="2">
        <v>4</v>
      </c>
      <c r="AI451" s="5">
        <v>4</v>
      </c>
    </row>
    <row r="452" spans="1:35" x14ac:dyDescent="0.3">
      <c r="A452" s="4" t="str">
        <f>"512404"</f>
        <v>512404</v>
      </c>
      <c r="B452" s="2" t="s">
        <v>448</v>
      </c>
      <c r="C452" s="3">
        <v>14868219</v>
      </c>
      <c r="D452" s="3">
        <v>15222247</v>
      </c>
      <c r="E452" s="2">
        <v>2.38</v>
      </c>
      <c r="F452" s="3">
        <v>3656378</v>
      </c>
      <c r="G452" s="3">
        <v>3725351</v>
      </c>
      <c r="H452" s="3"/>
      <c r="I452" s="3"/>
      <c r="J452" s="3"/>
      <c r="K452" s="3"/>
      <c r="L452" s="3" t="s">
        <v>98</v>
      </c>
      <c r="M452" s="3" t="s">
        <v>98</v>
      </c>
      <c r="N452" s="3">
        <v>3656378</v>
      </c>
      <c r="O452" s="3">
        <v>3725351</v>
      </c>
      <c r="P452" s="2">
        <v>1.89</v>
      </c>
      <c r="Q452" s="3">
        <v>130851</v>
      </c>
      <c r="R452" s="3">
        <v>120915</v>
      </c>
      <c r="S452" s="3">
        <v>3555334</v>
      </c>
      <c r="T452" s="3">
        <v>3604436</v>
      </c>
      <c r="U452" s="3">
        <v>3525527</v>
      </c>
      <c r="V452" s="3">
        <v>3604436</v>
      </c>
      <c r="W452" s="3">
        <v>29807</v>
      </c>
      <c r="X452" s="3">
        <v>0</v>
      </c>
      <c r="Y452" s="2">
        <v>563</v>
      </c>
      <c r="Z452" s="2">
        <v>560</v>
      </c>
      <c r="AA452" s="2">
        <v>-0.53</v>
      </c>
      <c r="AB452" s="3">
        <v>3577036</v>
      </c>
      <c r="AC452" s="3">
        <v>3827036</v>
      </c>
      <c r="AD452" s="3">
        <v>813095</v>
      </c>
      <c r="AE452" s="3">
        <v>800000</v>
      </c>
      <c r="AF452" s="3">
        <v>583914</v>
      </c>
      <c r="AG452" s="3">
        <v>605038</v>
      </c>
      <c r="AH452" s="2">
        <v>3.93</v>
      </c>
      <c r="AI452" s="5">
        <v>3.97</v>
      </c>
    </row>
    <row r="453" spans="1:35" x14ac:dyDescent="0.3">
      <c r="A453" s="4" t="str">
        <f>"512501"</f>
        <v>512501</v>
      </c>
      <c r="B453" s="2" t="s">
        <v>449</v>
      </c>
      <c r="C453" s="3">
        <v>12136504</v>
      </c>
      <c r="D453" s="3">
        <v>12354826</v>
      </c>
      <c r="E453" s="2">
        <v>1.8</v>
      </c>
      <c r="F453" s="3">
        <v>4080495</v>
      </c>
      <c r="G453" s="3">
        <v>4161858</v>
      </c>
      <c r="H453" s="3"/>
      <c r="I453" s="3"/>
      <c r="J453" s="3"/>
      <c r="K453" s="3"/>
      <c r="L453" s="3"/>
      <c r="M453" s="3"/>
      <c r="N453" s="3">
        <v>4080495</v>
      </c>
      <c r="O453" s="3">
        <v>4161858</v>
      </c>
      <c r="P453" s="2">
        <v>1.99</v>
      </c>
      <c r="Q453" s="3">
        <v>458978</v>
      </c>
      <c r="R453" s="3">
        <v>445658</v>
      </c>
      <c r="S453" s="3">
        <v>3621517</v>
      </c>
      <c r="T453" s="3">
        <v>3716200</v>
      </c>
      <c r="U453" s="3">
        <v>3621517</v>
      </c>
      <c r="V453" s="3">
        <v>3716200</v>
      </c>
      <c r="W453" s="3">
        <v>0</v>
      </c>
      <c r="X453" s="3">
        <v>0</v>
      </c>
      <c r="Y453" s="2">
        <v>340</v>
      </c>
      <c r="Z453" s="2">
        <v>340</v>
      </c>
      <c r="AA453" s="2">
        <v>0</v>
      </c>
      <c r="AB453" s="3">
        <v>2141602</v>
      </c>
      <c r="AC453" s="3">
        <v>2201000</v>
      </c>
      <c r="AD453" s="3">
        <v>990620</v>
      </c>
      <c r="AE453" s="3">
        <v>990000</v>
      </c>
      <c r="AF453" s="3">
        <v>442065</v>
      </c>
      <c r="AG453" s="3">
        <v>490000</v>
      </c>
      <c r="AH453" s="2">
        <v>3.64</v>
      </c>
      <c r="AI453" s="5">
        <v>3.97</v>
      </c>
    </row>
    <row r="454" spans="1:35" x14ac:dyDescent="0.3">
      <c r="A454" s="4" t="str">
        <f>"512902"</f>
        <v>512902</v>
      </c>
      <c r="B454" s="2" t="s">
        <v>450</v>
      </c>
      <c r="C454" s="3">
        <v>34985741</v>
      </c>
      <c r="D454" s="3">
        <v>35815351</v>
      </c>
      <c r="E454" s="2">
        <v>2.37</v>
      </c>
      <c r="F454" s="3">
        <v>13945896</v>
      </c>
      <c r="G454" s="3">
        <v>14167364</v>
      </c>
      <c r="H454" s="3"/>
      <c r="I454" s="3"/>
      <c r="J454" s="3"/>
      <c r="K454" s="3"/>
      <c r="L454" s="3"/>
      <c r="M454" s="3"/>
      <c r="N454" s="3">
        <v>13945896</v>
      </c>
      <c r="O454" s="3">
        <v>14167364</v>
      </c>
      <c r="P454" s="2">
        <v>1.59</v>
      </c>
      <c r="Q454" s="3">
        <v>367156</v>
      </c>
      <c r="R454" s="3">
        <v>371690</v>
      </c>
      <c r="S454" s="3">
        <v>13578740</v>
      </c>
      <c r="T454" s="3">
        <v>13795674</v>
      </c>
      <c r="U454" s="3">
        <v>13578740</v>
      </c>
      <c r="V454" s="3">
        <v>13795674</v>
      </c>
      <c r="W454" s="3">
        <v>0</v>
      </c>
      <c r="X454" s="3">
        <v>0</v>
      </c>
      <c r="Y454" s="2">
        <v>1265</v>
      </c>
      <c r="Z454" s="2">
        <v>1280</v>
      </c>
      <c r="AA454" s="2">
        <v>1.19</v>
      </c>
      <c r="AB454" s="3">
        <v>4660832</v>
      </c>
      <c r="AC454" s="3">
        <v>3900433</v>
      </c>
      <c r="AD454" s="3">
        <v>2179151</v>
      </c>
      <c r="AE454" s="3">
        <v>2365034</v>
      </c>
      <c r="AF454" s="3">
        <v>3126328</v>
      </c>
      <c r="AG454" s="3">
        <v>3862675</v>
      </c>
      <c r="AH454" s="2">
        <v>8.94</v>
      </c>
      <c r="AI454" s="5">
        <v>10.78</v>
      </c>
    </row>
    <row r="455" spans="1:35" x14ac:dyDescent="0.3">
      <c r="A455" s="4" t="str">
        <f>"513102"</f>
        <v>513102</v>
      </c>
      <c r="B455" s="2" t="s">
        <v>451</v>
      </c>
      <c r="C455" s="3">
        <v>15999299</v>
      </c>
      <c r="D455" s="3">
        <v>16690000</v>
      </c>
      <c r="E455" s="2">
        <v>4.32</v>
      </c>
      <c r="F455" s="3">
        <v>1985312</v>
      </c>
      <c r="G455" s="3">
        <v>1985312</v>
      </c>
      <c r="H455" s="3"/>
      <c r="I455" s="3"/>
      <c r="J455" s="3"/>
      <c r="K455" s="3"/>
      <c r="L455" s="3"/>
      <c r="M455" s="3"/>
      <c r="N455" s="3">
        <v>1985312</v>
      </c>
      <c r="O455" s="3">
        <v>1985312</v>
      </c>
      <c r="P455" s="2">
        <v>0</v>
      </c>
      <c r="Q455" s="3">
        <v>55625</v>
      </c>
      <c r="R455" s="3">
        <v>162440</v>
      </c>
      <c r="S455" s="3">
        <v>1946971</v>
      </c>
      <c r="T455" s="3">
        <v>1850758</v>
      </c>
      <c r="U455" s="3">
        <v>1929687</v>
      </c>
      <c r="V455" s="3">
        <v>1822872</v>
      </c>
      <c r="W455" s="3">
        <v>17284</v>
      </c>
      <c r="X455" s="3">
        <v>27886</v>
      </c>
      <c r="Y455" s="2">
        <v>509</v>
      </c>
      <c r="Z455" s="2">
        <v>491</v>
      </c>
      <c r="AA455" s="2">
        <v>-3.54</v>
      </c>
      <c r="AB455" s="3">
        <v>3024220</v>
      </c>
      <c r="AC455" s="3">
        <v>3975000</v>
      </c>
      <c r="AD455" s="3">
        <v>1107131</v>
      </c>
      <c r="AE455" s="3">
        <v>1025711</v>
      </c>
      <c r="AF455" s="3">
        <v>2498610</v>
      </c>
      <c r="AG455" s="3">
        <v>1669000</v>
      </c>
      <c r="AH455" s="2">
        <v>15.62</v>
      </c>
      <c r="AI455" s="5">
        <v>10</v>
      </c>
    </row>
    <row r="456" spans="1:35" x14ac:dyDescent="0.3">
      <c r="A456" s="4" t="str">
        <f>"520101"</f>
        <v>520101</v>
      </c>
      <c r="B456" s="2" t="s">
        <v>452</v>
      </c>
      <c r="C456" s="3">
        <v>70885844</v>
      </c>
      <c r="D456" s="3">
        <v>72549692</v>
      </c>
      <c r="E456" s="2">
        <v>2.35</v>
      </c>
      <c r="F456" s="3">
        <v>42363777</v>
      </c>
      <c r="G456" s="3">
        <v>43338144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42363777</v>
      </c>
      <c r="O456" s="3">
        <v>43338144</v>
      </c>
      <c r="P456" s="2">
        <v>2.2999999999999998</v>
      </c>
      <c r="Q456" s="3">
        <v>1742113</v>
      </c>
      <c r="R456" s="3">
        <v>1865900</v>
      </c>
      <c r="S456" s="3">
        <v>40749078</v>
      </c>
      <c r="T456" s="3">
        <v>41503698</v>
      </c>
      <c r="U456" s="3">
        <v>40621664</v>
      </c>
      <c r="V456" s="3">
        <v>41472244</v>
      </c>
      <c r="W456" s="3">
        <v>127414</v>
      </c>
      <c r="X456" s="3">
        <v>31454</v>
      </c>
      <c r="Y456" s="2">
        <v>3100</v>
      </c>
      <c r="Z456" s="2">
        <v>3110</v>
      </c>
      <c r="AA456" s="2">
        <v>0.32</v>
      </c>
      <c r="AB456" s="3">
        <v>6680527</v>
      </c>
      <c r="AC456" s="3">
        <v>6690600</v>
      </c>
      <c r="AD456" s="3">
        <v>2750000</v>
      </c>
      <c r="AE456" s="3">
        <v>2750000</v>
      </c>
      <c r="AF456" s="3">
        <v>2428004</v>
      </c>
      <c r="AG456" s="3">
        <v>2901987</v>
      </c>
      <c r="AH456" s="2">
        <v>3.43</v>
      </c>
      <c r="AI456" s="5">
        <v>4</v>
      </c>
    </row>
    <row r="457" spans="1:35" x14ac:dyDescent="0.3">
      <c r="A457" s="4" t="str">
        <f>"520302"</f>
        <v>520302</v>
      </c>
      <c r="B457" s="2" t="s">
        <v>453</v>
      </c>
      <c r="C457" s="3">
        <v>181657429</v>
      </c>
      <c r="D457" s="3">
        <v>187158384</v>
      </c>
      <c r="E457" s="2">
        <v>3.03</v>
      </c>
      <c r="F457" s="3">
        <v>128320744</v>
      </c>
      <c r="G457" s="3">
        <v>130891758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128320744</v>
      </c>
      <c r="O457" s="3">
        <v>130891758</v>
      </c>
      <c r="P457" s="2">
        <v>2</v>
      </c>
      <c r="Q457" s="3">
        <v>3321276</v>
      </c>
      <c r="R457" s="3">
        <v>2414852</v>
      </c>
      <c r="S457" s="3">
        <v>125547568</v>
      </c>
      <c r="T457" s="3">
        <v>128476906</v>
      </c>
      <c r="U457" s="3">
        <v>124999468</v>
      </c>
      <c r="V457" s="3">
        <v>128476906</v>
      </c>
      <c r="W457" s="3">
        <v>548100</v>
      </c>
      <c r="X457" s="3">
        <v>0</v>
      </c>
      <c r="Y457" s="2">
        <v>9524</v>
      </c>
      <c r="Z457" s="2">
        <v>9441</v>
      </c>
      <c r="AA457" s="2">
        <v>-0.87</v>
      </c>
      <c r="AB457" s="3">
        <v>26483425</v>
      </c>
      <c r="AC457" s="3">
        <v>26706115</v>
      </c>
      <c r="AD457" s="3">
        <v>3833999</v>
      </c>
      <c r="AE457" s="3">
        <v>2910000</v>
      </c>
      <c r="AF457" s="3">
        <v>6591883</v>
      </c>
      <c r="AG457" s="3">
        <v>7348372</v>
      </c>
      <c r="AH457" s="2">
        <v>3.63</v>
      </c>
      <c r="AI457" s="5">
        <v>3.93</v>
      </c>
    </row>
    <row r="458" spans="1:35" x14ac:dyDescent="0.3">
      <c r="A458" s="4" t="str">
        <f>"520401"</f>
        <v>520401</v>
      </c>
      <c r="B458" s="2" t="s">
        <v>454</v>
      </c>
      <c r="C458" s="3">
        <v>22791863</v>
      </c>
      <c r="D458" s="3">
        <v>23193495</v>
      </c>
      <c r="E458" s="2">
        <v>1.76</v>
      </c>
      <c r="F458" s="3">
        <v>9750000</v>
      </c>
      <c r="G458" s="3">
        <v>9750000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9750000</v>
      </c>
      <c r="O458" s="3">
        <v>9750000</v>
      </c>
      <c r="P458" s="2">
        <v>0</v>
      </c>
      <c r="Q458" s="3">
        <v>394053</v>
      </c>
      <c r="R458" s="3">
        <v>218782</v>
      </c>
      <c r="S458" s="3">
        <v>9369405</v>
      </c>
      <c r="T458" s="3">
        <v>9550046</v>
      </c>
      <c r="U458" s="3">
        <v>9355947</v>
      </c>
      <c r="V458" s="3">
        <v>9531218</v>
      </c>
      <c r="W458" s="3">
        <v>13458</v>
      </c>
      <c r="X458" s="3">
        <v>18828</v>
      </c>
      <c r="Y458" s="2">
        <v>1088</v>
      </c>
      <c r="Z458" s="2">
        <v>1100</v>
      </c>
      <c r="AA458" s="2">
        <v>1.1000000000000001</v>
      </c>
      <c r="AB458" s="3">
        <v>3720073</v>
      </c>
      <c r="AC458" s="3">
        <v>4200000</v>
      </c>
      <c r="AD458" s="3">
        <v>663719</v>
      </c>
      <c r="AE458" s="3">
        <v>650000</v>
      </c>
      <c r="AF458" s="3">
        <v>2277089</v>
      </c>
      <c r="AG458" s="3">
        <v>2000000</v>
      </c>
      <c r="AH458" s="2">
        <v>9.99</v>
      </c>
      <c r="AI458" s="5">
        <v>8.6199999999999992</v>
      </c>
    </row>
    <row r="459" spans="1:35" x14ac:dyDescent="0.3">
      <c r="A459" s="4" t="str">
        <f>"520601"</f>
        <v>520601</v>
      </c>
      <c r="B459" s="2" t="s">
        <v>455</v>
      </c>
      <c r="C459" s="3">
        <v>3646000</v>
      </c>
      <c r="D459" s="3">
        <v>3746725</v>
      </c>
      <c r="E459" s="2">
        <v>2.76</v>
      </c>
      <c r="F459" s="3">
        <v>2327000</v>
      </c>
      <c r="G459" s="3">
        <v>2389725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2327000</v>
      </c>
      <c r="O459" s="3">
        <v>2389725</v>
      </c>
      <c r="P459" s="2">
        <v>2.7</v>
      </c>
      <c r="Q459" s="3">
        <v>0</v>
      </c>
      <c r="R459" s="3">
        <v>0</v>
      </c>
      <c r="S459" s="3">
        <v>2349727</v>
      </c>
      <c r="T459" s="3">
        <v>2392718</v>
      </c>
      <c r="U459" s="3">
        <v>2327000</v>
      </c>
      <c r="V459" s="3">
        <v>2389725</v>
      </c>
      <c r="W459" s="3">
        <v>22727</v>
      </c>
      <c r="X459" s="3">
        <v>2993</v>
      </c>
      <c r="Y459" s="2">
        <v>60</v>
      </c>
      <c r="Z459" s="2">
        <v>64</v>
      </c>
      <c r="AA459" s="2">
        <v>6.67</v>
      </c>
      <c r="AB459" s="3">
        <v>2252601</v>
      </c>
      <c r="AC459" s="3">
        <v>2190569</v>
      </c>
      <c r="AD459" s="3">
        <v>355000</v>
      </c>
      <c r="AE459" s="3">
        <v>345000</v>
      </c>
      <c r="AF459" s="3">
        <v>145840</v>
      </c>
      <c r="AG459" s="3">
        <v>149869</v>
      </c>
      <c r="AH459" s="2">
        <v>4</v>
      </c>
      <c r="AI459" s="5">
        <v>4</v>
      </c>
    </row>
    <row r="460" spans="1:35" x14ac:dyDescent="0.3">
      <c r="A460" s="4" t="str">
        <f>"520701"</f>
        <v>520701</v>
      </c>
      <c r="B460" s="2" t="s">
        <v>456</v>
      </c>
      <c r="C460" s="3">
        <v>22948831</v>
      </c>
      <c r="D460" s="3">
        <v>23452247</v>
      </c>
      <c r="E460" s="2">
        <v>2.19</v>
      </c>
      <c r="F460" s="3">
        <v>11048166</v>
      </c>
      <c r="G460" s="3">
        <v>11129922</v>
      </c>
      <c r="H460" s="3">
        <v>0</v>
      </c>
      <c r="I460" s="3">
        <v>91337</v>
      </c>
      <c r="J460" s="3">
        <v>0</v>
      </c>
      <c r="K460" s="3">
        <v>0</v>
      </c>
      <c r="L460" s="3">
        <v>0</v>
      </c>
      <c r="M460" s="3">
        <v>0</v>
      </c>
      <c r="N460" s="3">
        <v>11048166</v>
      </c>
      <c r="O460" s="3">
        <v>11221259</v>
      </c>
      <c r="P460" s="2">
        <v>1.57</v>
      </c>
      <c r="Q460" s="3">
        <v>695174</v>
      </c>
      <c r="R460" s="3">
        <v>578535</v>
      </c>
      <c r="S460" s="3">
        <v>10593505</v>
      </c>
      <c r="T460" s="3">
        <v>10557702</v>
      </c>
      <c r="U460" s="3">
        <v>10352992</v>
      </c>
      <c r="V460" s="3">
        <v>10551387</v>
      </c>
      <c r="W460" s="3">
        <v>240513</v>
      </c>
      <c r="X460" s="3">
        <v>6315</v>
      </c>
      <c r="Y460" s="2">
        <v>837</v>
      </c>
      <c r="Z460" s="2">
        <v>816</v>
      </c>
      <c r="AA460" s="2">
        <v>-2.5099999999999998</v>
      </c>
      <c r="AB460" s="3">
        <v>4274561</v>
      </c>
      <c r="AC460" s="3">
        <v>4694561</v>
      </c>
      <c r="AD460" s="3">
        <v>1825000</v>
      </c>
      <c r="AE460" s="3">
        <v>1523386</v>
      </c>
      <c r="AF460" s="3">
        <v>1841062</v>
      </c>
      <c r="AG460" s="3">
        <v>2337176</v>
      </c>
      <c r="AH460" s="2">
        <v>8.02</v>
      </c>
      <c r="AI460" s="5">
        <v>9.9700000000000006</v>
      </c>
    </row>
    <row r="461" spans="1:35" x14ac:dyDescent="0.3">
      <c r="A461" s="4" t="str">
        <f>"521200"</f>
        <v>521200</v>
      </c>
      <c r="B461" s="2" t="s">
        <v>457</v>
      </c>
      <c r="C461" s="3">
        <v>28392986</v>
      </c>
      <c r="D461" s="3">
        <v>31768546</v>
      </c>
      <c r="E461" s="2">
        <v>11.89</v>
      </c>
      <c r="F461" s="3">
        <v>14127295</v>
      </c>
      <c r="G461" s="3">
        <v>14127295</v>
      </c>
      <c r="H461" s="3"/>
      <c r="I461" s="3"/>
      <c r="J461" s="3"/>
      <c r="K461" s="3"/>
      <c r="L461" s="3"/>
      <c r="M461" s="3"/>
      <c r="N461" s="3">
        <v>14127295</v>
      </c>
      <c r="O461" s="3">
        <v>14127295</v>
      </c>
      <c r="P461" s="2">
        <v>0</v>
      </c>
      <c r="Q461" s="3">
        <v>515465</v>
      </c>
      <c r="R461" s="3">
        <v>881772</v>
      </c>
      <c r="S461" s="3">
        <v>13611830</v>
      </c>
      <c r="T461" s="3">
        <v>13939450</v>
      </c>
      <c r="U461" s="3">
        <v>13611830</v>
      </c>
      <c r="V461" s="3">
        <v>13245523</v>
      </c>
      <c r="W461" s="3">
        <v>0</v>
      </c>
      <c r="X461" s="3">
        <v>693927</v>
      </c>
      <c r="Y461" s="2">
        <v>1360</v>
      </c>
      <c r="Z461" s="2">
        <v>1354</v>
      </c>
      <c r="AA461" s="2">
        <v>-0.44</v>
      </c>
      <c r="AB461" s="3">
        <v>1042926</v>
      </c>
      <c r="AC461" s="3">
        <v>719150</v>
      </c>
      <c r="AD461" s="3">
        <v>1056038</v>
      </c>
      <c r="AE461" s="3">
        <v>2760936</v>
      </c>
      <c r="AF461" s="3">
        <v>5051262</v>
      </c>
      <c r="AG461" s="3">
        <v>4922626</v>
      </c>
      <c r="AH461" s="2">
        <v>17.79</v>
      </c>
      <c r="AI461" s="5">
        <v>15.5</v>
      </c>
    </row>
    <row r="462" spans="1:35" x14ac:dyDescent="0.3">
      <c r="A462" s="4" t="str">
        <f>"521301"</f>
        <v>521301</v>
      </c>
      <c r="B462" s="2" t="s">
        <v>458</v>
      </c>
      <c r="C462" s="3">
        <v>93258635</v>
      </c>
      <c r="D462" s="3">
        <v>94927725</v>
      </c>
      <c r="E462" s="2">
        <v>1.79</v>
      </c>
      <c r="F462" s="3">
        <v>53848641</v>
      </c>
      <c r="G462" s="3">
        <v>54895674</v>
      </c>
      <c r="H462" s="3"/>
      <c r="I462" s="3"/>
      <c r="J462" s="3"/>
      <c r="K462" s="3"/>
      <c r="L462" s="3"/>
      <c r="M462" s="3"/>
      <c r="N462" s="3">
        <v>53848641</v>
      </c>
      <c r="O462" s="3">
        <v>54895674</v>
      </c>
      <c r="P462" s="2">
        <v>1.94</v>
      </c>
      <c r="Q462" s="3">
        <v>1603946</v>
      </c>
      <c r="R462" s="3">
        <v>1685316</v>
      </c>
      <c r="S462" s="3">
        <v>53906066</v>
      </c>
      <c r="T462" s="3">
        <v>54469778</v>
      </c>
      <c r="U462" s="3">
        <v>52244695</v>
      </c>
      <c r="V462" s="3">
        <v>53210358</v>
      </c>
      <c r="W462" s="3">
        <v>1661371</v>
      </c>
      <c r="X462" s="3">
        <v>1259420</v>
      </c>
      <c r="Y462" s="2">
        <v>4063</v>
      </c>
      <c r="Z462" s="2">
        <v>4029</v>
      </c>
      <c r="AA462" s="2">
        <v>-0.84</v>
      </c>
      <c r="AB462" s="3">
        <v>8733000</v>
      </c>
      <c r="AC462" s="3">
        <v>8620000</v>
      </c>
      <c r="AD462" s="3">
        <v>1744671</v>
      </c>
      <c r="AE462" s="3">
        <v>1250000</v>
      </c>
      <c r="AF462" s="3">
        <v>2910964</v>
      </c>
      <c r="AG462" s="3">
        <v>3325000</v>
      </c>
      <c r="AH462" s="2">
        <v>3.12</v>
      </c>
      <c r="AI462" s="5">
        <v>3.5</v>
      </c>
    </row>
    <row r="463" spans="1:35" x14ac:dyDescent="0.3">
      <c r="A463" s="4" t="str">
        <f>"521401"</f>
        <v>521401</v>
      </c>
      <c r="B463" s="2" t="s">
        <v>459</v>
      </c>
      <c r="C463" s="3">
        <v>59967402</v>
      </c>
      <c r="D463" s="3">
        <v>64311177</v>
      </c>
      <c r="E463" s="2">
        <v>7.24</v>
      </c>
      <c r="F463" s="3">
        <v>32005454</v>
      </c>
      <c r="G463" s="3">
        <v>32561218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32005454</v>
      </c>
      <c r="O463" s="3">
        <v>32561218</v>
      </c>
      <c r="P463" s="2">
        <v>1.74</v>
      </c>
      <c r="Q463" s="3">
        <v>1088078</v>
      </c>
      <c r="R463" s="3">
        <v>923839</v>
      </c>
      <c r="S463" s="3">
        <v>31095181</v>
      </c>
      <c r="T463" s="3">
        <v>31819485</v>
      </c>
      <c r="U463" s="3">
        <v>30917376</v>
      </c>
      <c r="V463" s="3">
        <v>31637379</v>
      </c>
      <c r="W463" s="3">
        <v>177805</v>
      </c>
      <c r="X463" s="3">
        <v>182106</v>
      </c>
      <c r="Y463" s="2">
        <v>2938</v>
      </c>
      <c r="Z463" s="2">
        <v>2938</v>
      </c>
      <c r="AA463" s="2">
        <v>0</v>
      </c>
      <c r="AB463" s="3">
        <v>19733926</v>
      </c>
      <c r="AC463" s="3">
        <v>20207926</v>
      </c>
      <c r="AD463" s="3">
        <v>1624000</v>
      </c>
      <c r="AE463" s="3">
        <v>0</v>
      </c>
      <c r="AF463" s="3">
        <v>3330263</v>
      </c>
      <c r="AG463" s="3">
        <v>2572447</v>
      </c>
      <c r="AH463" s="2">
        <v>5.55</v>
      </c>
      <c r="AI463" s="5">
        <v>4</v>
      </c>
    </row>
    <row r="464" spans="1:35" x14ac:dyDescent="0.3">
      <c r="A464" s="4" t="str">
        <f>"521701"</f>
        <v>521701</v>
      </c>
      <c r="B464" s="2" t="s">
        <v>460</v>
      </c>
      <c r="C464" s="3">
        <v>37464080</v>
      </c>
      <c r="D464" s="3">
        <v>38037598</v>
      </c>
      <c r="E464" s="2">
        <v>1.53</v>
      </c>
      <c r="F464" s="3">
        <v>18031493</v>
      </c>
      <c r="G464" s="3">
        <v>18193776</v>
      </c>
      <c r="H464" s="3"/>
      <c r="I464" s="3"/>
      <c r="J464" s="3"/>
      <c r="K464" s="3"/>
      <c r="L464" s="3"/>
      <c r="M464" s="3"/>
      <c r="N464" s="3">
        <v>18031493</v>
      </c>
      <c r="O464" s="3">
        <v>18193776</v>
      </c>
      <c r="P464" s="2">
        <v>0.9</v>
      </c>
      <c r="Q464" s="3">
        <v>648263</v>
      </c>
      <c r="R464" s="3">
        <v>757648</v>
      </c>
      <c r="S464" s="3">
        <v>18059302</v>
      </c>
      <c r="T464" s="3">
        <v>17887747</v>
      </c>
      <c r="U464" s="3">
        <v>17383230</v>
      </c>
      <c r="V464" s="3">
        <v>17436128</v>
      </c>
      <c r="W464" s="3">
        <v>676072</v>
      </c>
      <c r="X464" s="3">
        <v>451619</v>
      </c>
      <c r="Y464" s="2">
        <v>1510</v>
      </c>
      <c r="Z464" s="2">
        <v>1450</v>
      </c>
      <c r="AA464" s="2">
        <v>-3.97</v>
      </c>
      <c r="AB464" s="3">
        <v>4001835</v>
      </c>
      <c r="AC464" s="3">
        <v>4274547</v>
      </c>
      <c r="AD464" s="3">
        <v>3342478</v>
      </c>
      <c r="AE464" s="3">
        <v>3125000</v>
      </c>
      <c r="AF464" s="3">
        <v>2307454</v>
      </c>
      <c r="AG464" s="3">
        <v>1863842</v>
      </c>
      <c r="AH464" s="2">
        <v>6.16</v>
      </c>
      <c r="AI464" s="5">
        <v>4.9000000000000004</v>
      </c>
    </row>
    <row r="465" spans="1:35" x14ac:dyDescent="0.3">
      <c r="A465" s="4" t="str">
        <f>"521800"</f>
        <v>521800</v>
      </c>
      <c r="B465" s="2" t="s">
        <v>461</v>
      </c>
      <c r="C465" s="3">
        <v>132397035</v>
      </c>
      <c r="D465" s="3">
        <v>134623813</v>
      </c>
      <c r="E465" s="2">
        <v>1.68</v>
      </c>
      <c r="F465" s="3">
        <v>89034904</v>
      </c>
      <c r="G465" s="3">
        <v>91038189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89034904</v>
      </c>
      <c r="O465" s="3">
        <v>91038189</v>
      </c>
      <c r="P465" s="2">
        <v>2.25</v>
      </c>
      <c r="Q465" s="3">
        <v>5243468</v>
      </c>
      <c r="R465" s="3">
        <v>5506083</v>
      </c>
      <c r="S465" s="3">
        <v>83821632</v>
      </c>
      <c r="T465" s="3">
        <v>85549898</v>
      </c>
      <c r="U465" s="3">
        <v>83791436</v>
      </c>
      <c r="V465" s="3">
        <v>85532106</v>
      </c>
      <c r="W465" s="3">
        <v>30196</v>
      </c>
      <c r="X465" s="3">
        <v>17792</v>
      </c>
      <c r="Y465" s="2">
        <v>6257</v>
      </c>
      <c r="Z465" s="2">
        <v>6121</v>
      </c>
      <c r="AA465" s="2">
        <v>-2.17</v>
      </c>
      <c r="AB465" s="3">
        <v>14088579</v>
      </c>
      <c r="AC465" s="3">
        <v>12541550</v>
      </c>
      <c r="AD465" s="3">
        <v>7003397</v>
      </c>
      <c r="AE465" s="3">
        <v>7007657</v>
      </c>
      <c r="AF465" s="3">
        <v>6279860</v>
      </c>
      <c r="AG465" s="3">
        <v>6906671</v>
      </c>
      <c r="AH465" s="2">
        <v>4.74</v>
      </c>
      <c r="AI465" s="5">
        <v>5.13</v>
      </c>
    </row>
    <row r="466" spans="1:35" x14ac:dyDescent="0.3">
      <c r="A466" s="4" t="str">
        <f>"522001"</f>
        <v>522001</v>
      </c>
      <c r="B466" s="2" t="s">
        <v>462</v>
      </c>
      <c r="C466" s="3">
        <v>26181978</v>
      </c>
      <c r="D466" s="3">
        <v>28717619</v>
      </c>
      <c r="E466" s="2">
        <v>9.68</v>
      </c>
      <c r="F466" s="3">
        <v>11518614</v>
      </c>
      <c r="G466" s="3">
        <v>12020441</v>
      </c>
      <c r="H466" s="3"/>
      <c r="I466" s="3"/>
      <c r="J466" s="3"/>
      <c r="K466" s="3"/>
      <c r="L466" s="3"/>
      <c r="M466" s="3"/>
      <c r="N466" s="3">
        <v>11518614</v>
      </c>
      <c r="O466" s="3">
        <v>12020441</v>
      </c>
      <c r="P466" s="2">
        <v>4.3600000000000003</v>
      </c>
      <c r="Q466" s="3">
        <v>846879</v>
      </c>
      <c r="R466" s="3">
        <v>858252</v>
      </c>
      <c r="S466" s="3">
        <v>11719026</v>
      </c>
      <c r="T466" s="3">
        <v>12055898</v>
      </c>
      <c r="U466" s="3">
        <v>10671735</v>
      </c>
      <c r="V466" s="3">
        <v>11162189</v>
      </c>
      <c r="W466" s="3">
        <v>1047291</v>
      </c>
      <c r="X466" s="3">
        <v>893709</v>
      </c>
      <c r="Y466" s="2">
        <v>1035</v>
      </c>
      <c r="Z466" s="2">
        <v>1046</v>
      </c>
      <c r="AA466" s="2">
        <v>1.06</v>
      </c>
      <c r="AB466" s="3">
        <v>3853208</v>
      </c>
      <c r="AC466" s="3">
        <v>3103208</v>
      </c>
      <c r="AD466" s="3">
        <v>1550000</v>
      </c>
      <c r="AE466" s="3">
        <v>1950000</v>
      </c>
      <c r="AF466" s="3">
        <v>4778187</v>
      </c>
      <c r="AG466" s="3">
        <v>4589316</v>
      </c>
      <c r="AH466" s="2">
        <v>18.25</v>
      </c>
      <c r="AI466" s="5">
        <v>15.98</v>
      </c>
    </row>
    <row r="467" spans="1:35" x14ac:dyDescent="0.3">
      <c r="A467" s="4" t="str">
        <f>"522101"</f>
        <v>522101</v>
      </c>
      <c r="B467" s="2" t="s">
        <v>463</v>
      </c>
      <c r="C467" s="3">
        <v>21516060</v>
      </c>
      <c r="D467" s="3">
        <v>20791576</v>
      </c>
      <c r="E467" s="2">
        <v>-3.37</v>
      </c>
      <c r="F467" s="3">
        <v>11570000</v>
      </c>
      <c r="G467" s="3">
        <v>11680000</v>
      </c>
      <c r="H467" s="3">
        <v>0</v>
      </c>
      <c r="I467" s="3">
        <v>0</v>
      </c>
      <c r="J467" s="3">
        <v>0</v>
      </c>
      <c r="K467" s="3">
        <v>0</v>
      </c>
      <c r="L467" s="3"/>
      <c r="M467" s="3"/>
      <c r="N467" s="3">
        <v>11570000</v>
      </c>
      <c r="O467" s="3">
        <v>11680000</v>
      </c>
      <c r="P467" s="2">
        <v>0.95</v>
      </c>
      <c r="Q467" s="3">
        <v>650599</v>
      </c>
      <c r="R467" s="3">
        <v>774989</v>
      </c>
      <c r="S467" s="3">
        <v>10920253</v>
      </c>
      <c r="T467" s="3">
        <v>11005181</v>
      </c>
      <c r="U467" s="3">
        <v>10919401</v>
      </c>
      <c r="V467" s="3">
        <v>10905011</v>
      </c>
      <c r="W467" s="3">
        <v>852</v>
      </c>
      <c r="X467" s="3">
        <v>100170</v>
      </c>
      <c r="Y467" s="2">
        <v>746</v>
      </c>
      <c r="Z467" s="2">
        <v>730</v>
      </c>
      <c r="AA467" s="2">
        <v>-2.14</v>
      </c>
      <c r="AB467" s="3">
        <v>1609135</v>
      </c>
      <c r="AC467" s="3">
        <v>2220495</v>
      </c>
      <c r="AD467" s="3">
        <v>1555921</v>
      </c>
      <c r="AE467" s="3">
        <v>1042576</v>
      </c>
      <c r="AF467" s="3">
        <v>1997273</v>
      </c>
      <c r="AG467" s="3">
        <v>2000000</v>
      </c>
      <c r="AH467" s="2">
        <v>9.2799999999999994</v>
      </c>
      <c r="AI467" s="5">
        <v>9.6199999999999992</v>
      </c>
    </row>
    <row r="468" spans="1:35" x14ac:dyDescent="0.3">
      <c r="A468" s="4" t="str">
        <f>"530101"</f>
        <v>530101</v>
      </c>
      <c r="B468" s="2" t="s">
        <v>464</v>
      </c>
      <c r="C468" s="3">
        <v>17565000</v>
      </c>
      <c r="D468" s="3">
        <v>17885000</v>
      </c>
      <c r="E468" s="2">
        <v>1.82</v>
      </c>
      <c r="F468" s="3">
        <v>8225470</v>
      </c>
      <c r="G468" s="3">
        <v>8385866</v>
      </c>
      <c r="H468" s="3"/>
      <c r="I468" s="3"/>
      <c r="J468" s="3"/>
      <c r="K468" s="3"/>
      <c r="L468" s="3"/>
      <c r="M468" s="3"/>
      <c r="N468" s="3">
        <v>8225470</v>
      </c>
      <c r="O468" s="3">
        <v>8385866</v>
      </c>
      <c r="P468" s="2">
        <v>1.95</v>
      </c>
      <c r="Q468" s="3">
        <v>320597</v>
      </c>
      <c r="R468" s="3">
        <v>495947</v>
      </c>
      <c r="S468" s="3">
        <v>8484901</v>
      </c>
      <c r="T468" s="3">
        <v>8591308</v>
      </c>
      <c r="U468" s="3">
        <v>7904873</v>
      </c>
      <c r="V468" s="3">
        <v>7889919</v>
      </c>
      <c r="W468" s="3">
        <v>580028</v>
      </c>
      <c r="X468" s="3">
        <v>701389</v>
      </c>
      <c r="Y468" s="2">
        <v>684</v>
      </c>
      <c r="Z468" s="2">
        <v>680</v>
      </c>
      <c r="AA468" s="2">
        <v>-0.57999999999999996</v>
      </c>
      <c r="AB468" s="3">
        <v>5084971</v>
      </c>
      <c r="AC468" s="3">
        <v>4984971</v>
      </c>
      <c r="AD468" s="3">
        <v>617450</v>
      </c>
      <c r="AE468" s="3">
        <v>884869</v>
      </c>
      <c r="AF468" s="3">
        <v>2291031</v>
      </c>
      <c r="AG468" s="3">
        <v>3135682</v>
      </c>
      <c r="AH468" s="2">
        <v>13.04</v>
      </c>
      <c r="AI468" s="5">
        <v>17.53</v>
      </c>
    </row>
    <row r="469" spans="1:35" x14ac:dyDescent="0.3">
      <c r="A469" s="4" t="str">
        <f>"530202"</f>
        <v>530202</v>
      </c>
      <c r="B469" s="2" t="s">
        <v>465</v>
      </c>
      <c r="C469" s="3">
        <v>58160883</v>
      </c>
      <c r="D469" s="3">
        <v>59127425</v>
      </c>
      <c r="E469" s="2">
        <v>1.66</v>
      </c>
      <c r="F469" s="3">
        <v>31007380</v>
      </c>
      <c r="G469" s="3">
        <v>31047688</v>
      </c>
      <c r="H469" s="3"/>
      <c r="I469" s="3"/>
      <c r="J469" s="3"/>
      <c r="K469" s="3"/>
      <c r="L469" s="3"/>
      <c r="M469" s="3"/>
      <c r="N469" s="3">
        <v>31007380</v>
      </c>
      <c r="O469" s="3">
        <v>31047688</v>
      </c>
      <c r="P469" s="2">
        <v>0.13</v>
      </c>
      <c r="Q469" s="3">
        <v>1444452</v>
      </c>
      <c r="R469" s="3">
        <v>1266799</v>
      </c>
      <c r="S469" s="3">
        <v>29563832</v>
      </c>
      <c r="T469" s="3">
        <v>29781465</v>
      </c>
      <c r="U469" s="3">
        <v>29562928</v>
      </c>
      <c r="V469" s="3">
        <v>29780889</v>
      </c>
      <c r="W469" s="3">
        <v>904</v>
      </c>
      <c r="X469" s="3">
        <v>576</v>
      </c>
      <c r="Y469" s="2">
        <v>2368</v>
      </c>
      <c r="Z469" s="2">
        <v>2370</v>
      </c>
      <c r="AA469" s="2">
        <v>0.08</v>
      </c>
      <c r="AB469" s="3">
        <v>5066882</v>
      </c>
      <c r="AC469" s="3">
        <v>4633500</v>
      </c>
      <c r="AD469" s="3">
        <v>4369504</v>
      </c>
      <c r="AE469" s="3">
        <v>4369504</v>
      </c>
      <c r="AF469" s="3">
        <v>2689003</v>
      </c>
      <c r="AG469" s="3">
        <v>2053069</v>
      </c>
      <c r="AH469" s="2">
        <v>4.62</v>
      </c>
      <c r="AI469" s="5">
        <v>3.47</v>
      </c>
    </row>
    <row r="470" spans="1:35" x14ac:dyDescent="0.3">
      <c r="A470" s="4" t="str">
        <f>"530301"</f>
        <v>530301</v>
      </c>
      <c r="B470" s="2" t="s">
        <v>466</v>
      </c>
      <c r="C470" s="3">
        <v>90796620</v>
      </c>
      <c r="D470" s="3">
        <v>93057512</v>
      </c>
      <c r="E470" s="2">
        <v>2.4900000000000002</v>
      </c>
      <c r="F470" s="3">
        <v>59639263</v>
      </c>
      <c r="G470" s="3">
        <v>60335247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59639263</v>
      </c>
      <c r="O470" s="3">
        <v>60335247</v>
      </c>
      <c r="P470" s="2">
        <v>1.17</v>
      </c>
      <c r="Q470" s="3">
        <v>3133721</v>
      </c>
      <c r="R470" s="3">
        <v>2992190</v>
      </c>
      <c r="S470" s="3">
        <v>56505542</v>
      </c>
      <c r="T470" s="3">
        <v>57343057</v>
      </c>
      <c r="U470" s="3">
        <v>56505542</v>
      </c>
      <c r="V470" s="3">
        <v>57343057</v>
      </c>
      <c r="W470" s="3">
        <v>0</v>
      </c>
      <c r="X470" s="3">
        <v>0</v>
      </c>
      <c r="Y470" s="2">
        <v>4214</v>
      </c>
      <c r="Z470" s="2">
        <v>4150</v>
      </c>
      <c r="AA470" s="2">
        <v>-1.52</v>
      </c>
      <c r="AB470" s="3">
        <v>10386345</v>
      </c>
      <c r="AC470" s="3">
        <v>13010005</v>
      </c>
      <c r="AD470" s="3">
        <v>4191986</v>
      </c>
      <c r="AE470" s="3">
        <v>2728416</v>
      </c>
      <c r="AF470" s="3">
        <v>3170139</v>
      </c>
      <c r="AG470" s="3">
        <v>3722300</v>
      </c>
      <c r="AH470" s="2">
        <v>3.49</v>
      </c>
      <c r="AI470" s="5">
        <v>4</v>
      </c>
    </row>
    <row r="471" spans="1:35" x14ac:dyDescent="0.3">
      <c r="A471" s="4" t="str">
        <f>"530501"</f>
        <v>530501</v>
      </c>
      <c r="B471" s="2" t="s">
        <v>467</v>
      </c>
      <c r="C471" s="3">
        <v>50679021</v>
      </c>
      <c r="D471" s="3">
        <v>52397377</v>
      </c>
      <c r="E471" s="2">
        <v>3.39</v>
      </c>
      <c r="F471" s="3">
        <v>29973572</v>
      </c>
      <c r="G471" s="3">
        <v>29973572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29973572</v>
      </c>
      <c r="O471" s="3">
        <v>29973572</v>
      </c>
      <c r="P471" s="2">
        <v>0</v>
      </c>
      <c r="Q471" s="3">
        <v>686756</v>
      </c>
      <c r="R471" s="3">
        <v>379048</v>
      </c>
      <c r="S471" s="3">
        <v>30389047</v>
      </c>
      <c r="T471" s="3">
        <v>30288754</v>
      </c>
      <c r="U471" s="3">
        <v>29286816</v>
      </c>
      <c r="V471" s="3">
        <v>29594524</v>
      </c>
      <c r="W471" s="3">
        <v>1102231</v>
      </c>
      <c r="X471" s="3">
        <v>694230</v>
      </c>
      <c r="Y471" s="2">
        <v>1753</v>
      </c>
      <c r="Z471" s="2">
        <v>1775</v>
      </c>
      <c r="AA471" s="2">
        <v>1.25</v>
      </c>
      <c r="AB471" s="3">
        <v>7737481</v>
      </c>
      <c r="AC471" s="3">
        <v>8000000</v>
      </c>
      <c r="AD471" s="3">
        <v>2000000</v>
      </c>
      <c r="AE471" s="3">
        <v>1750000</v>
      </c>
      <c r="AF471" s="3">
        <v>10736978</v>
      </c>
      <c r="AG471" s="3">
        <v>10736978</v>
      </c>
      <c r="AH471" s="2">
        <v>21.19</v>
      </c>
      <c r="AI471" s="5">
        <v>20.49</v>
      </c>
    </row>
    <row r="472" spans="1:35" x14ac:dyDescent="0.3">
      <c r="A472" s="4" t="str">
        <f>"530515"</f>
        <v>530515</v>
      </c>
      <c r="B472" s="2" t="s">
        <v>468</v>
      </c>
      <c r="C472" s="3">
        <v>55780000</v>
      </c>
      <c r="D472" s="3">
        <v>56500000</v>
      </c>
      <c r="E472" s="2">
        <v>1.29</v>
      </c>
      <c r="F472" s="3">
        <v>29183295</v>
      </c>
      <c r="G472" s="3">
        <v>29504523</v>
      </c>
      <c r="H472" s="3"/>
      <c r="I472" s="3"/>
      <c r="J472" s="3"/>
      <c r="K472" s="3"/>
      <c r="L472" s="3"/>
      <c r="M472" s="3"/>
      <c r="N472" s="3">
        <v>29183295</v>
      </c>
      <c r="O472" s="3">
        <v>29504523</v>
      </c>
      <c r="P472" s="2">
        <v>1.1000000000000001</v>
      </c>
      <c r="Q472" s="3">
        <v>1505443</v>
      </c>
      <c r="R472" s="3">
        <v>1390839</v>
      </c>
      <c r="S472" s="3">
        <v>27677852</v>
      </c>
      <c r="T472" s="3">
        <v>28113684</v>
      </c>
      <c r="U472" s="3">
        <v>27677852</v>
      </c>
      <c r="V472" s="3">
        <v>28113684</v>
      </c>
      <c r="W472" s="3">
        <v>0</v>
      </c>
      <c r="X472" s="3">
        <v>0</v>
      </c>
      <c r="Y472" s="2">
        <v>2765</v>
      </c>
      <c r="Z472" s="2">
        <v>2800</v>
      </c>
      <c r="AA472" s="2">
        <v>1.27</v>
      </c>
      <c r="AB472" s="3">
        <v>1871855</v>
      </c>
      <c r="AC472" s="3">
        <v>2175000</v>
      </c>
      <c r="AD472" s="3">
        <v>1600000</v>
      </c>
      <c r="AE472" s="3">
        <v>1200000</v>
      </c>
      <c r="AF472" s="3">
        <v>2231200</v>
      </c>
      <c r="AG472" s="3">
        <v>1500000</v>
      </c>
      <c r="AH472" s="2">
        <v>4</v>
      </c>
      <c r="AI472" s="5">
        <v>2.65</v>
      </c>
    </row>
    <row r="473" spans="1:35" x14ac:dyDescent="0.3">
      <c r="A473" s="4" t="str">
        <f>"530600"</f>
        <v>530600</v>
      </c>
      <c r="B473" s="2" t="s">
        <v>469</v>
      </c>
      <c r="C473" s="3">
        <v>204653930</v>
      </c>
      <c r="D473" s="3">
        <v>218831646</v>
      </c>
      <c r="E473" s="2">
        <v>6.93</v>
      </c>
      <c r="F473" s="3">
        <v>51442923</v>
      </c>
      <c r="G473" s="3">
        <v>51442923</v>
      </c>
      <c r="H473" s="3"/>
      <c r="I473" s="3"/>
      <c r="J473" s="3"/>
      <c r="K473" s="3"/>
      <c r="L473" s="3"/>
      <c r="M473" s="3"/>
      <c r="N473" s="3">
        <v>51442923</v>
      </c>
      <c r="O473" s="3">
        <v>51442923</v>
      </c>
      <c r="P473" s="2">
        <v>0</v>
      </c>
      <c r="Q473" s="3">
        <v>687778</v>
      </c>
      <c r="R473" s="3">
        <v>1067807</v>
      </c>
      <c r="S473" s="3">
        <v>52019831</v>
      </c>
      <c r="T473" s="3">
        <v>51899077</v>
      </c>
      <c r="U473" s="3">
        <v>50755145</v>
      </c>
      <c r="V473" s="3">
        <v>50375116</v>
      </c>
      <c r="W473" s="3">
        <v>1264686</v>
      </c>
      <c r="X473" s="3">
        <v>1523961</v>
      </c>
      <c r="Y473" s="2">
        <v>9644</v>
      </c>
      <c r="Z473" s="2">
        <v>9675</v>
      </c>
      <c r="AA473" s="2">
        <v>0.32</v>
      </c>
      <c r="AB473" s="3">
        <v>25523098</v>
      </c>
      <c r="AC473" s="3">
        <v>26623098</v>
      </c>
      <c r="AD473" s="3">
        <v>1386405</v>
      </c>
      <c r="AE473" s="3">
        <v>5945594</v>
      </c>
      <c r="AF473" s="3">
        <v>7255247</v>
      </c>
      <c r="AG473" s="3">
        <v>8663644</v>
      </c>
      <c r="AH473" s="2">
        <v>3.55</v>
      </c>
      <c r="AI473" s="5">
        <v>3.96</v>
      </c>
    </row>
    <row r="474" spans="1:35" x14ac:dyDescent="0.3">
      <c r="A474" s="4" t="str">
        <f>"540801"</f>
        <v>540801</v>
      </c>
      <c r="B474" s="2" t="s">
        <v>470</v>
      </c>
      <c r="C474" s="3">
        <v>10646650</v>
      </c>
      <c r="D474" s="3">
        <v>10690670</v>
      </c>
      <c r="E474" s="2">
        <v>0.41</v>
      </c>
      <c r="F474" s="3">
        <v>6864878</v>
      </c>
      <c r="G474" s="3">
        <v>6843499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6864878</v>
      </c>
      <c r="O474" s="3">
        <v>6843499</v>
      </c>
      <c r="P474" s="2">
        <v>-0.31</v>
      </c>
      <c r="Q474" s="3">
        <v>161123</v>
      </c>
      <c r="R474" s="3">
        <v>33460</v>
      </c>
      <c r="S474" s="3">
        <v>6787642</v>
      </c>
      <c r="T474" s="3">
        <v>6810039</v>
      </c>
      <c r="U474" s="3">
        <v>6703755</v>
      </c>
      <c r="V474" s="3">
        <v>6810039</v>
      </c>
      <c r="W474" s="3">
        <v>83887</v>
      </c>
      <c r="X474" s="3">
        <v>0</v>
      </c>
      <c r="Y474" s="2">
        <v>301</v>
      </c>
      <c r="Z474" s="2">
        <v>300</v>
      </c>
      <c r="AA474" s="2">
        <v>-0.33</v>
      </c>
      <c r="AB474" s="3">
        <v>5262612</v>
      </c>
      <c r="AC474" s="3">
        <v>5048612</v>
      </c>
      <c r="AD474" s="3">
        <v>248117</v>
      </c>
      <c r="AE474" s="3">
        <v>322660</v>
      </c>
      <c r="AF474" s="3">
        <v>1791211</v>
      </c>
      <c r="AG474" s="3">
        <v>427627</v>
      </c>
      <c r="AH474" s="2">
        <v>16.82</v>
      </c>
      <c r="AI474" s="5">
        <v>4</v>
      </c>
    </row>
    <row r="475" spans="1:35" x14ac:dyDescent="0.3">
      <c r="A475" s="4" t="str">
        <f>"540901"</f>
        <v>540901</v>
      </c>
      <c r="B475" s="2" t="s">
        <v>471</v>
      </c>
      <c r="C475" s="3">
        <v>7060189</v>
      </c>
      <c r="D475" s="3">
        <v>7202325</v>
      </c>
      <c r="E475" s="2">
        <v>2.0099999999999998</v>
      </c>
      <c r="F475" s="3">
        <v>2918650</v>
      </c>
      <c r="G475" s="3">
        <v>2965447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2918650</v>
      </c>
      <c r="O475" s="3">
        <v>2965447</v>
      </c>
      <c r="P475" s="2">
        <v>1.6</v>
      </c>
      <c r="Q475" s="3">
        <v>213005</v>
      </c>
      <c r="R475" s="3">
        <v>194022</v>
      </c>
      <c r="S475" s="3">
        <v>2705645</v>
      </c>
      <c r="T475" s="3">
        <v>2771425</v>
      </c>
      <c r="U475" s="3">
        <v>2705645</v>
      </c>
      <c r="V475" s="3">
        <v>2771425</v>
      </c>
      <c r="W475" s="3">
        <v>0</v>
      </c>
      <c r="X475" s="3">
        <v>0</v>
      </c>
      <c r="Y475" s="2">
        <v>196</v>
      </c>
      <c r="Z475" s="2">
        <v>179</v>
      </c>
      <c r="AA475" s="2">
        <v>-8.67</v>
      </c>
      <c r="AB475" s="3">
        <v>616100</v>
      </c>
      <c r="AC475" s="3">
        <v>1344338</v>
      </c>
      <c r="AD475" s="3">
        <v>250894</v>
      </c>
      <c r="AE475" s="3">
        <v>332746</v>
      </c>
      <c r="AF475" s="3">
        <v>1229382</v>
      </c>
      <c r="AG475" s="3">
        <v>600029</v>
      </c>
      <c r="AH475" s="2">
        <v>17.41</v>
      </c>
      <c r="AI475" s="5">
        <v>8.33</v>
      </c>
    </row>
    <row r="476" spans="1:35" x14ac:dyDescent="0.3">
      <c r="A476" s="4" t="str">
        <f>"541001"</f>
        <v>541001</v>
      </c>
      <c r="B476" s="2" t="s">
        <v>472</v>
      </c>
      <c r="C476" s="3">
        <v>22803143</v>
      </c>
      <c r="D476" s="3">
        <v>22922240</v>
      </c>
      <c r="E476" s="2">
        <v>0.52</v>
      </c>
      <c r="F476" s="3">
        <v>10053929</v>
      </c>
      <c r="G476" s="3">
        <v>10053929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10053929</v>
      </c>
      <c r="O476" s="3">
        <v>10053929</v>
      </c>
      <c r="P476" s="2">
        <v>0</v>
      </c>
      <c r="Q476" s="3">
        <v>0</v>
      </c>
      <c r="R476" s="3">
        <v>0</v>
      </c>
      <c r="S476" s="3">
        <v>10220085</v>
      </c>
      <c r="T476" s="3">
        <v>10230844</v>
      </c>
      <c r="U476" s="3">
        <v>10053929</v>
      </c>
      <c r="V476" s="3">
        <v>10053929</v>
      </c>
      <c r="W476" s="3">
        <v>166156</v>
      </c>
      <c r="X476" s="3">
        <v>176915</v>
      </c>
      <c r="Y476" s="2">
        <v>657</v>
      </c>
      <c r="Z476" s="2">
        <v>650</v>
      </c>
      <c r="AA476" s="2">
        <v>-1.07</v>
      </c>
      <c r="AB476" s="3">
        <v>1943408</v>
      </c>
      <c r="AC476" s="3">
        <v>2231738</v>
      </c>
      <c r="AD476" s="3">
        <v>914151</v>
      </c>
      <c r="AE476" s="3">
        <v>900000</v>
      </c>
      <c r="AF476" s="3">
        <v>2032305</v>
      </c>
      <c r="AG476" s="3">
        <v>1400000</v>
      </c>
      <c r="AH476" s="2">
        <v>8.91</v>
      </c>
      <c r="AI476" s="5">
        <v>6.11</v>
      </c>
    </row>
    <row r="477" spans="1:35" x14ac:dyDescent="0.3">
      <c r="A477" s="4" t="str">
        <f>"541102"</f>
        <v>541102</v>
      </c>
      <c r="B477" s="2" t="s">
        <v>473</v>
      </c>
      <c r="C477" s="3">
        <v>43039365</v>
      </c>
      <c r="D477" s="3">
        <v>43140237</v>
      </c>
      <c r="E477" s="2">
        <v>0.23</v>
      </c>
      <c r="F477" s="3">
        <v>16735379</v>
      </c>
      <c r="G477" s="3">
        <v>16734916</v>
      </c>
      <c r="H477" s="3">
        <v>119281</v>
      </c>
      <c r="I477" s="3">
        <v>119744</v>
      </c>
      <c r="J477" s="3">
        <v>0</v>
      </c>
      <c r="K477" s="3">
        <v>0</v>
      </c>
      <c r="L477" s="3">
        <v>0</v>
      </c>
      <c r="M477" s="3">
        <v>0</v>
      </c>
      <c r="N477" s="3">
        <v>16854660</v>
      </c>
      <c r="O477" s="3">
        <v>16854660</v>
      </c>
      <c r="P477" s="2">
        <v>0</v>
      </c>
      <c r="Q477" s="3">
        <v>1273519</v>
      </c>
      <c r="R477" s="3">
        <v>1097140</v>
      </c>
      <c r="S477" s="3">
        <v>15461860</v>
      </c>
      <c r="T477" s="3">
        <v>15708429</v>
      </c>
      <c r="U477" s="3">
        <v>15461860</v>
      </c>
      <c r="V477" s="3">
        <v>15637776</v>
      </c>
      <c r="W477" s="3">
        <v>0</v>
      </c>
      <c r="X477" s="3">
        <v>70653</v>
      </c>
      <c r="Y477" s="2">
        <v>1595</v>
      </c>
      <c r="Z477" s="2">
        <v>1575</v>
      </c>
      <c r="AA477" s="2">
        <v>-1.25</v>
      </c>
      <c r="AB477" s="3">
        <v>6956616</v>
      </c>
      <c r="AC477" s="3">
        <v>7233378</v>
      </c>
      <c r="AD477" s="3">
        <v>2190000</v>
      </c>
      <c r="AE477" s="3">
        <v>1504174</v>
      </c>
      <c r="AF477" s="3">
        <v>4069933</v>
      </c>
      <c r="AG477" s="3">
        <v>5932403</v>
      </c>
      <c r="AH477" s="2">
        <v>9.4600000000000009</v>
      </c>
      <c r="AI477" s="5">
        <v>13.75</v>
      </c>
    </row>
    <row r="478" spans="1:35" x14ac:dyDescent="0.3">
      <c r="A478" s="4" t="str">
        <f>"541201"</f>
        <v>541201</v>
      </c>
      <c r="B478" s="2" t="s">
        <v>474</v>
      </c>
      <c r="C478" s="3">
        <v>24756356</v>
      </c>
      <c r="D478" s="3">
        <v>25479286</v>
      </c>
      <c r="E478" s="2">
        <v>2.92</v>
      </c>
      <c r="F478" s="3">
        <v>8807281</v>
      </c>
      <c r="G478" s="3">
        <v>8631822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8807281</v>
      </c>
      <c r="O478" s="3">
        <v>8631822</v>
      </c>
      <c r="P478" s="2">
        <v>-1.99</v>
      </c>
      <c r="Q478" s="3">
        <v>920850</v>
      </c>
      <c r="R478" s="3">
        <v>606091</v>
      </c>
      <c r="S478" s="3">
        <v>8251026</v>
      </c>
      <c r="T478" s="3">
        <v>8025731</v>
      </c>
      <c r="U478" s="3">
        <v>7886431</v>
      </c>
      <c r="V478" s="3">
        <v>8025731</v>
      </c>
      <c r="W478" s="3">
        <v>364595</v>
      </c>
      <c r="X478" s="3">
        <v>0</v>
      </c>
      <c r="Y478" s="2">
        <v>889</v>
      </c>
      <c r="Z478" s="2">
        <v>842</v>
      </c>
      <c r="AA478" s="2">
        <v>-5.29</v>
      </c>
      <c r="AB478" s="3">
        <v>3867417</v>
      </c>
      <c r="AC478" s="3">
        <v>4741000</v>
      </c>
      <c r="AD478" s="3">
        <v>1600000</v>
      </c>
      <c r="AE478" s="3">
        <v>1500000</v>
      </c>
      <c r="AF478" s="3">
        <v>962711</v>
      </c>
      <c r="AG478" s="3">
        <v>1016620</v>
      </c>
      <c r="AH478" s="2">
        <v>3.89</v>
      </c>
      <c r="AI478" s="5">
        <v>3.99</v>
      </c>
    </row>
    <row r="479" spans="1:35" x14ac:dyDescent="0.3">
      <c r="A479" s="4" t="str">
        <f>"541401"</f>
        <v>541401</v>
      </c>
      <c r="B479" s="2" t="s">
        <v>475</v>
      </c>
      <c r="C479" s="3">
        <v>10044090</v>
      </c>
      <c r="D479" s="3">
        <v>9880976</v>
      </c>
      <c r="E479" s="2">
        <v>-1.62</v>
      </c>
      <c r="F479" s="3">
        <v>2403090</v>
      </c>
      <c r="G479" s="3">
        <v>2399766</v>
      </c>
      <c r="H479" s="3"/>
      <c r="I479" s="3"/>
      <c r="J479" s="3"/>
      <c r="K479" s="3"/>
      <c r="L479" s="3"/>
      <c r="M479" s="3"/>
      <c r="N479" s="3">
        <v>2403090</v>
      </c>
      <c r="O479" s="3">
        <v>2399766</v>
      </c>
      <c r="P479" s="2">
        <v>-0.14000000000000001</v>
      </c>
      <c r="Q479" s="3">
        <v>121091</v>
      </c>
      <c r="R479" s="3">
        <v>76714</v>
      </c>
      <c r="S479" s="3">
        <v>2323052</v>
      </c>
      <c r="T479" s="3">
        <v>2399766</v>
      </c>
      <c r="U479" s="3">
        <v>2281999</v>
      </c>
      <c r="V479" s="3">
        <v>2323052</v>
      </c>
      <c r="W479" s="3">
        <v>41053</v>
      </c>
      <c r="X479" s="3">
        <v>76714</v>
      </c>
      <c r="Y479" s="2">
        <v>285</v>
      </c>
      <c r="Z479" s="2">
        <v>290</v>
      </c>
      <c r="AA479" s="2">
        <v>1.75</v>
      </c>
      <c r="AB479" s="3">
        <v>1241630</v>
      </c>
      <c r="AC479" s="3">
        <v>1241630</v>
      </c>
      <c r="AD479" s="3">
        <v>1543708</v>
      </c>
      <c r="AE479" s="3">
        <v>1346065</v>
      </c>
      <c r="AF479" s="3">
        <v>855860</v>
      </c>
      <c r="AG479" s="3">
        <v>855860</v>
      </c>
      <c r="AH479" s="2">
        <v>8.52</v>
      </c>
      <c r="AI479" s="5">
        <v>8.66</v>
      </c>
    </row>
    <row r="480" spans="1:35" x14ac:dyDescent="0.3">
      <c r="A480" s="4" t="str">
        <f>"550101"</f>
        <v>550101</v>
      </c>
      <c r="B480" s="2" t="s">
        <v>476</v>
      </c>
      <c r="C480" s="3">
        <v>16904975</v>
      </c>
      <c r="D480" s="3">
        <v>17880462</v>
      </c>
      <c r="E480" s="2">
        <v>5.77</v>
      </c>
      <c r="F480" s="3">
        <v>5210384</v>
      </c>
      <c r="G480" s="3">
        <v>5210384</v>
      </c>
      <c r="H480" s="3"/>
      <c r="I480" s="3"/>
      <c r="J480" s="3"/>
      <c r="K480" s="3"/>
      <c r="L480" s="3"/>
      <c r="M480" s="3"/>
      <c r="N480" s="3">
        <v>5210384</v>
      </c>
      <c r="O480" s="3">
        <v>5210384</v>
      </c>
      <c r="P480" s="2">
        <v>0</v>
      </c>
      <c r="Q480" s="3">
        <v>0</v>
      </c>
      <c r="R480" s="3">
        <v>0</v>
      </c>
      <c r="S480" s="3">
        <v>5210384</v>
      </c>
      <c r="T480" s="3">
        <v>5302421</v>
      </c>
      <c r="U480" s="3">
        <v>5210384</v>
      </c>
      <c r="V480" s="3">
        <v>5210384</v>
      </c>
      <c r="W480" s="3">
        <v>0</v>
      </c>
      <c r="X480" s="3">
        <v>92037</v>
      </c>
      <c r="Y480" s="2">
        <v>701</v>
      </c>
      <c r="Z480" s="2">
        <v>713</v>
      </c>
      <c r="AA480" s="2">
        <v>1.71</v>
      </c>
      <c r="AB480" s="3">
        <v>2654614</v>
      </c>
      <c r="AC480" s="3">
        <v>4904665</v>
      </c>
      <c r="AD480" s="3">
        <v>600000</v>
      </c>
      <c r="AE480" s="3">
        <v>500000</v>
      </c>
      <c r="AF480" s="3">
        <v>2389521</v>
      </c>
      <c r="AG480" s="3">
        <v>1429913</v>
      </c>
      <c r="AH480" s="2">
        <v>14.14</v>
      </c>
      <c r="AI480" s="5">
        <v>8</v>
      </c>
    </row>
    <row r="481" spans="1:35" x14ac:dyDescent="0.3">
      <c r="A481" s="4" t="str">
        <f>"550301"</f>
        <v>550301</v>
      </c>
      <c r="B481" s="2" t="s">
        <v>477</v>
      </c>
      <c r="C481" s="3">
        <v>26478877</v>
      </c>
      <c r="D481" s="3">
        <v>27120691</v>
      </c>
      <c r="E481" s="2">
        <v>2.42</v>
      </c>
      <c r="F481" s="3">
        <v>9600000</v>
      </c>
      <c r="G481" s="3">
        <v>9600000</v>
      </c>
      <c r="H481" s="3"/>
      <c r="I481" s="3"/>
      <c r="J481" s="3"/>
      <c r="K481" s="3"/>
      <c r="L481" s="3"/>
      <c r="M481" s="3"/>
      <c r="N481" s="3">
        <v>9600000</v>
      </c>
      <c r="O481" s="3">
        <v>9600000</v>
      </c>
      <c r="P481" s="2">
        <v>0</v>
      </c>
      <c r="Q481" s="3">
        <v>582855</v>
      </c>
      <c r="R481" s="3">
        <v>620571</v>
      </c>
      <c r="S481" s="3">
        <v>9209814</v>
      </c>
      <c r="T481" s="3">
        <v>9205373</v>
      </c>
      <c r="U481" s="3">
        <v>9017145</v>
      </c>
      <c r="V481" s="3">
        <v>8979429</v>
      </c>
      <c r="W481" s="3">
        <v>192669</v>
      </c>
      <c r="X481" s="3">
        <v>225944</v>
      </c>
      <c r="Y481" s="2">
        <v>949</v>
      </c>
      <c r="Z481" s="2">
        <v>949</v>
      </c>
      <c r="AA481" s="2">
        <v>0</v>
      </c>
      <c r="AB481" s="3">
        <v>6541574</v>
      </c>
      <c r="AC481" s="3">
        <v>6587873</v>
      </c>
      <c r="AD481" s="3">
        <v>788011</v>
      </c>
      <c r="AE481" s="3">
        <v>762160</v>
      </c>
      <c r="AF481" s="3">
        <v>1206267</v>
      </c>
      <c r="AG481" s="3">
        <v>901330</v>
      </c>
      <c r="AH481" s="2">
        <v>4.5599999999999996</v>
      </c>
      <c r="AI481" s="5">
        <v>3.32</v>
      </c>
    </row>
    <row r="482" spans="1:35" x14ac:dyDescent="0.3">
      <c r="A482" s="4" t="str">
        <f>"560501"</f>
        <v>560501</v>
      </c>
      <c r="B482" s="2" t="s">
        <v>478</v>
      </c>
      <c r="C482" s="3">
        <v>24687093</v>
      </c>
      <c r="D482" s="3">
        <v>24980340</v>
      </c>
      <c r="E482" s="2">
        <v>1.19</v>
      </c>
      <c r="F482" s="3">
        <v>8279258</v>
      </c>
      <c r="G482" s="3">
        <v>8442307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8279258</v>
      </c>
      <c r="O482" s="3">
        <v>8442307</v>
      </c>
      <c r="P482" s="2">
        <v>1.97</v>
      </c>
      <c r="Q482" s="3">
        <v>0</v>
      </c>
      <c r="R482" s="3">
        <v>0</v>
      </c>
      <c r="S482" s="3">
        <v>8369740</v>
      </c>
      <c r="T482" s="3">
        <v>8442307</v>
      </c>
      <c r="U482" s="3">
        <v>8279258</v>
      </c>
      <c r="V482" s="3">
        <v>8442307</v>
      </c>
      <c r="W482" s="3">
        <v>90482</v>
      </c>
      <c r="X482" s="3">
        <v>0</v>
      </c>
      <c r="Y482" s="2">
        <v>671</v>
      </c>
      <c r="Z482" s="2">
        <v>668</v>
      </c>
      <c r="AA482" s="2">
        <v>-0.45</v>
      </c>
      <c r="AB482" s="3">
        <v>7558473</v>
      </c>
      <c r="AC482" s="3">
        <v>8296690</v>
      </c>
      <c r="AD482" s="3">
        <v>259123</v>
      </c>
      <c r="AE482" s="3">
        <v>541994</v>
      </c>
      <c r="AF482" s="3">
        <v>1861853</v>
      </c>
      <c r="AG482" s="3">
        <v>1903198</v>
      </c>
      <c r="AH482" s="2">
        <v>7.54</v>
      </c>
      <c r="AI482" s="5">
        <v>7.62</v>
      </c>
    </row>
    <row r="483" spans="1:35" x14ac:dyDescent="0.3">
      <c r="A483" s="4" t="str">
        <f>"560603"</f>
        <v>560603</v>
      </c>
      <c r="B483" s="2" t="s">
        <v>479</v>
      </c>
      <c r="C483" s="3">
        <v>12986226</v>
      </c>
      <c r="D483" s="3">
        <v>12633899</v>
      </c>
      <c r="E483" s="2">
        <v>-2.71</v>
      </c>
      <c r="F483" s="3">
        <v>5751810</v>
      </c>
      <c r="G483" s="3">
        <v>5803576</v>
      </c>
      <c r="H483" s="3"/>
      <c r="I483" s="3"/>
      <c r="J483" s="3"/>
      <c r="K483" s="3"/>
      <c r="L483" s="3"/>
      <c r="M483" s="3"/>
      <c r="N483" s="3">
        <v>5751810</v>
      </c>
      <c r="O483" s="3">
        <v>5803576</v>
      </c>
      <c r="P483" s="2">
        <v>0.9</v>
      </c>
      <c r="Q483" s="3">
        <v>37069</v>
      </c>
      <c r="R483" s="3">
        <v>0</v>
      </c>
      <c r="S483" s="3">
        <v>5846568</v>
      </c>
      <c r="T483" s="3">
        <v>5883220</v>
      </c>
      <c r="U483" s="3">
        <v>5714741</v>
      </c>
      <c r="V483" s="3">
        <v>5803576</v>
      </c>
      <c r="W483" s="3">
        <v>131827</v>
      </c>
      <c r="X483" s="3">
        <v>79644</v>
      </c>
      <c r="Y483" s="2">
        <v>420</v>
      </c>
      <c r="Z483" s="2">
        <v>425</v>
      </c>
      <c r="AA483" s="2">
        <v>1.19</v>
      </c>
      <c r="AB483" s="3">
        <v>4629674</v>
      </c>
      <c r="AC483" s="3">
        <v>4600000</v>
      </c>
      <c r="AD483" s="3">
        <v>121789</v>
      </c>
      <c r="AE483" s="3">
        <v>120000</v>
      </c>
      <c r="AF483" s="3">
        <v>519449</v>
      </c>
      <c r="AG483" s="3">
        <v>505356</v>
      </c>
      <c r="AH483" s="2">
        <v>4</v>
      </c>
      <c r="AI483" s="5">
        <v>4</v>
      </c>
    </row>
    <row r="484" spans="1:35" x14ac:dyDescent="0.3">
      <c r="A484" s="4" t="str">
        <f>"560701"</f>
        <v>560701</v>
      </c>
      <c r="B484" s="2" t="s">
        <v>480</v>
      </c>
      <c r="C484" s="3">
        <v>29733095</v>
      </c>
      <c r="D484" s="3">
        <v>31536339</v>
      </c>
      <c r="E484" s="2">
        <v>6.06</v>
      </c>
      <c r="F484" s="3">
        <v>13457895</v>
      </c>
      <c r="G484" s="3">
        <v>13579016</v>
      </c>
      <c r="H484" s="3"/>
      <c r="I484" s="3"/>
      <c r="J484" s="3"/>
      <c r="K484" s="3"/>
      <c r="L484" s="3"/>
      <c r="M484" s="3"/>
      <c r="N484" s="3">
        <v>13457895</v>
      </c>
      <c r="O484" s="3">
        <v>13579016</v>
      </c>
      <c r="P484" s="2">
        <v>0.9</v>
      </c>
      <c r="Q484" s="3">
        <v>187068</v>
      </c>
      <c r="R484" s="3">
        <v>21940</v>
      </c>
      <c r="S484" s="3">
        <v>13613584</v>
      </c>
      <c r="T484" s="3">
        <v>13835187</v>
      </c>
      <c r="U484" s="3">
        <v>13270827</v>
      </c>
      <c r="V484" s="3">
        <v>13557076</v>
      </c>
      <c r="W484" s="3">
        <v>342757</v>
      </c>
      <c r="X484" s="3">
        <v>278111</v>
      </c>
      <c r="Y484" s="2">
        <v>1174</v>
      </c>
      <c r="Z484" s="2">
        <v>1135</v>
      </c>
      <c r="AA484" s="2">
        <v>-3.32</v>
      </c>
      <c r="AB484" s="3">
        <v>4154043</v>
      </c>
      <c r="AC484" s="3">
        <v>7366395</v>
      </c>
      <c r="AD484" s="3">
        <v>970323</v>
      </c>
      <c r="AE484" s="3">
        <v>500000</v>
      </c>
      <c r="AF484" s="3">
        <v>1189324</v>
      </c>
      <c r="AG484" s="3">
        <v>1261454</v>
      </c>
      <c r="AH484" s="2">
        <v>4</v>
      </c>
      <c r="AI484" s="5">
        <v>4</v>
      </c>
    </row>
    <row r="485" spans="1:35" x14ac:dyDescent="0.3">
      <c r="A485" s="4" t="str">
        <f>"561006"</f>
        <v>561006</v>
      </c>
      <c r="B485" s="2" t="s">
        <v>481</v>
      </c>
      <c r="C485" s="3">
        <v>41531228</v>
      </c>
      <c r="D485" s="3">
        <v>43530958</v>
      </c>
      <c r="E485" s="2">
        <v>4.82</v>
      </c>
      <c r="F485" s="3">
        <v>12588492</v>
      </c>
      <c r="G485" s="3">
        <v>12588492</v>
      </c>
      <c r="H485" s="3"/>
      <c r="I485" s="3"/>
      <c r="J485" s="3"/>
      <c r="K485" s="3"/>
      <c r="L485" s="3"/>
      <c r="M485" s="3"/>
      <c r="N485" s="3">
        <v>12588492</v>
      </c>
      <c r="O485" s="3">
        <v>12588492</v>
      </c>
      <c r="P485" s="2">
        <v>0</v>
      </c>
      <c r="Q485" s="3">
        <v>0</v>
      </c>
      <c r="R485" s="3">
        <v>0</v>
      </c>
      <c r="S485" s="3">
        <v>12826868</v>
      </c>
      <c r="T485" s="3">
        <v>12894639</v>
      </c>
      <c r="U485" s="3">
        <v>12588492</v>
      </c>
      <c r="V485" s="3">
        <v>12588492</v>
      </c>
      <c r="W485" s="3">
        <v>238376</v>
      </c>
      <c r="X485" s="3">
        <v>306147</v>
      </c>
      <c r="Y485" s="2">
        <v>1503</v>
      </c>
      <c r="Z485" s="2">
        <v>1560</v>
      </c>
      <c r="AA485" s="2">
        <v>3.79</v>
      </c>
      <c r="AB485" s="3">
        <v>20502981</v>
      </c>
      <c r="AC485" s="3">
        <v>19667282</v>
      </c>
      <c r="AD485" s="3">
        <v>1500000</v>
      </c>
      <c r="AE485" s="3">
        <v>1500000</v>
      </c>
      <c r="AF485" s="3">
        <v>1661249</v>
      </c>
      <c r="AG485" s="3">
        <v>1741238</v>
      </c>
      <c r="AH485" s="2">
        <v>4</v>
      </c>
      <c r="AI485" s="5">
        <v>4</v>
      </c>
    </row>
    <row r="486" spans="1:35" x14ac:dyDescent="0.3">
      <c r="A486" s="4" t="str">
        <f>"570101"</f>
        <v>570101</v>
      </c>
      <c r="B486" s="2" t="s">
        <v>482</v>
      </c>
      <c r="C486" s="3">
        <v>32377965</v>
      </c>
      <c r="D486" s="3">
        <v>33654580</v>
      </c>
      <c r="E486" s="2">
        <v>3.94</v>
      </c>
      <c r="F486" s="3">
        <v>7271446</v>
      </c>
      <c r="G486" s="3">
        <v>7344160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7271446</v>
      </c>
      <c r="O486" s="3">
        <v>7344160</v>
      </c>
      <c r="P486" s="2">
        <v>1</v>
      </c>
      <c r="Q486" s="3">
        <v>0</v>
      </c>
      <c r="R486" s="3">
        <v>0</v>
      </c>
      <c r="S486" s="3">
        <v>7408841</v>
      </c>
      <c r="T486" s="3">
        <v>7369610</v>
      </c>
      <c r="U486" s="3">
        <v>7271446</v>
      </c>
      <c r="V486" s="3">
        <v>7344160</v>
      </c>
      <c r="W486" s="3">
        <v>137395</v>
      </c>
      <c r="X486" s="3">
        <v>25450</v>
      </c>
      <c r="Y486" s="2">
        <v>1090</v>
      </c>
      <c r="Z486" s="2">
        <v>1060</v>
      </c>
      <c r="AA486" s="2">
        <v>-2.75</v>
      </c>
      <c r="AB486" s="3">
        <v>2254854</v>
      </c>
      <c r="AC486" s="3">
        <v>2500000</v>
      </c>
      <c r="AD486" s="3">
        <v>285000</v>
      </c>
      <c r="AE486" s="3">
        <v>142500</v>
      </c>
      <c r="AF486" s="3">
        <v>1295118</v>
      </c>
      <c r="AG486" s="3">
        <v>1346183</v>
      </c>
      <c r="AH486" s="2">
        <v>4</v>
      </c>
      <c r="AI486" s="5">
        <v>4</v>
      </c>
    </row>
    <row r="487" spans="1:35" x14ac:dyDescent="0.3">
      <c r="A487" s="4" t="str">
        <f>"570201"</f>
        <v>570201</v>
      </c>
      <c r="B487" s="2" t="s">
        <v>483</v>
      </c>
      <c r="C487" s="3">
        <v>13699380</v>
      </c>
      <c r="D487" s="3">
        <v>13990232</v>
      </c>
      <c r="E487" s="2">
        <v>2.12</v>
      </c>
      <c r="F487" s="3">
        <v>2415879</v>
      </c>
      <c r="G487" s="3">
        <v>2415879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2415879</v>
      </c>
      <c r="O487" s="3">
        <v>2415879</v>
      </c>
      <c r="P487" s="2">
        <v>0</v>
      </c>
      <c r="Q487" s="3">
        <v>14378</v>
      </c>
      <c r="R487" s="3">
        <v>14192</v>
      </c>
      <c r="S487" s="3">
        <v>2495075</v>
      </c>
      <c r="T487" s="3">
        <v>2469591</v>
      </c>
      <c r="U487" s="3">
        <v>2401501</v>
      </c>
      <c r="V487" s="3">
        <v>2401687</v>
      </c>
      <c r="W487" s="3">
        <v>93574</v>
      </c>
      <c r="X487" s="3">
        <v>67904</v>
      </c>
      <c r="Y487" s="2">
        <v>387</v>
      </c>
      <c r="Z487" s="2">
        <v>407</v>
      </c>
      <c r="AA487" s="2">
        <v>5.17</v>
      </c>
      <c r="AB487" s="3">
        <v>2806320</v>
      </c>
      <c r="AC487" s="3">
        <v>2708161</v>
      </c>
      <c r="AD487" s="3">
        <v>76923</v>
      </c>
      <c r="AE487" s="3">
        <v>62645</v>
      </c>
      <c r="AF487" s="3">
        <v>2170562</v>
      </c>
      <c r="AG487" s="3">
        <v>2097454</v>
      </c>
      <c r="AH487" s="2">
        <v>15.84</v>
      </c>
      <c r="AI487" s="5">
        <v>14.99</v>
      </c>
    </row>
    <row r="488" spans="1:35" x14ac:dyDescent="0.3">
      <c r="A488" s="4" t="str">
        <f>"570302"</f>
        <v>570302</v>
      </c>
      <c r="B488" s="2" t="s">
        <v>484</v>
      </c>
      <c r="C488" s="3">
        <v>37339307</v>
      </c>
      <c r="D488" s="3">
        <v>38493545</v>
      </c>
      <c r="E488" s="2">
        <v>3.09</v>
      </c>
      <c r="F488" s="3">
        <v>8745370</v>
      </c>
      <c r="G488" s="3">
        <v>8745370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8745370</v>
      </c>
      <c r="O488" s="3">
        <v>8745370</v>
      </c>
      <c r="P488" s="2">
        <v>0</v>
      </c>
      <c r="Q488" s="3">
        <v>618634</v>
      </c>
      <c r="R488" s="3">
        <v>624619</v>
      </c>
      <c r="S488" s="3">
        <v>8126736</v>
      </c>
      <c r="T488" s="3">
        <v>8120751</v>
      </c>
      <c r="U488" s="3">
        <v>8126736</v>
      </c>
      <c r="V488" s="3">
        <v>8120751</v>
      </c>
      <c r="W488" s="3">
        <v>0</v>
      </c>
      <c r="X488" s="3">
        <v>0</v>
      </c>
      <c r="Y488" s="2">
        <v>1489</v>
      </c>
      <c r="Z488" s="2">
        <v>1485</v>
      </c>
      <c r="AA488" s="2">
        <v>-0.27</v>
      </c>
      <c r="AB488" s="3">
        <v>0</v>
      </c>
      <c r="AC488" s="3">
        <v>0</v>
      </c>
      <c r="AD488" s="3">
        <v>1475000</v>
      </c>
      <c r="AE488" s="3">
        <v>1475000</v>
      </c>
      <c r="AF488" s="3">
        <v>1419393</v>
      </c>
      <c r="AG488" s="3">
        <v>1419393</v>
      </c>
      <c r="AH488" s="2">
        <v>3.8</v>
      </c>
      <c r="AI488" s="5">
        <v>3.69</v>
      </c>
    </row>
    <row r="489" spans="1:35" x14ac:dyDescent="0.3">
      <c r="A489" s="4" t="str">
        <f>"570401"</f>
        <v>570401</v>
      </c>
      <c r="B489" s="2" t="s">
        <v>485</v>
      </c>
      <c r="C489" s="3">
        <v>9455165</v>
      </c>
      <c r="D489" s="3">
        <v>9819296</v>
      </c>
      <c r="E489" s="2">
        <v>3.85</v>
      </c>
      <c r="F489" s="3">
        <v>2473016</v>
      </c>
      <c r="G489" s="3">
        <v>2502679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2473016</v>
      </c>
      <c r="O489" s="3">
        <v>2502679</v>
      </c>
      <c r="P489" s="2">
        <v>1.2</v>
      </c>
      <c r="Q489" s="3">
        <v>0</v>
      </c>
      <c r="R489" s="3">
        <v>0</v>
      </c>
      <c r="S489" s="3">
        <v>2473016</v>
      </c>
      <c r="T489" s="3">
        <v>2502679</v>
      </c>
      <c r="U489" s="3">
        <v>2473016</v>
      </c>
      <c r="V489" s="3">
        <v>2502679</v>
      </c>
      <c r="W489" s="3">
        <v>0</v>
      </c>
      <c r="X489" s="3">
        <v>0</v>
      </c>
      <c r="Y489" s="2">
        <v>242</v>
      </c>
      <c r="Z489" s="2">
        <v>242</v>
      </c>
      <c r="AA489" s="2">
        <v>0</v>
      </c>
      <c r="AB489" s="3">
        <v>2166604</v>
      </c>
      <c r="AC489" s="3">
        <v>2695820</v>
      </c>
      <c r="AD489" s="3">
        <v>445000</v>
      </c>
      <c r="AE489" s="3">
        <v>279500</v>
      </c>
      <c r="AF489" s="3">
        <v>935914</v>
      </c>
      <c r="AG489" s="3">
        <v>392772</v>
      </c>
      <c r="AH489" s="2">
        <v>9.9</v>
      </c>
      <c r="AI489" s="5">
        <v>4</v>
      </c>
    </row>
    <row r="490" spans="1:35" x14ac:dyDescent="0.3">
      <c r="A490" s="4" t="str">
        <f>"570603"</f>
        <v>570603</v>
      </c>
      <c r="B490" s="2" t="s">
        <v>486</v>
      </c>
      <c r="C490" s="3">
        <v>22389939</v>
      </c>
      <c r="D490" s="3">
        <v>22562647</v>
      </c>
      <c r="E490" s="2">
        <v>0.77</v>
      </c>
      <c r="F490" s="3">
        <v>5059237</v>
      </c>
      <c r="G490" s="3">
        <v>5059237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5059237</v>
      </c>
      <c r="O490" s="3">
        <v>5059237</v>
      </c>
      <c r="P490" s="2">
        <v>0</v>
      </c>
      <c r="Q490" s="3">
        <v>0</v>
      </c>
      <c r="R490" s="3">
        <v>0</v>
      </c>
      <c r="S490" s="3">
        <v>5159225</v>
      </c>
      <c r="T490" s="3">
        <v>5130080</v>
      </c>
      <c r="U490" s="3">
        <v>5059237</v>
      </c>
      <c r="V490" s="3">
        <v>5059237</v>
      </c>
      <c r="W490" s="3">
        <v>99988</v>
      </c>
      <c r="X490" s="3">
        <v>70843</v>
      </c>
      <c r="Y490" s="2">
        <v>845</v>
      </c>
      <c r="Z490" s="2">
        <v>830</v>
      </c>
      <c r="AA490" s="2">
        <v>-1.78</v>
      </c>
      <c r="AB490" s="3">
        <v>1878440</v>
      </c>
      <c r="AC490" s="3">
        <v>4049078</v>
      </c>
      <c r="AD490" s="3">
        <v>233718</v>
      </c>
      <c r="AE490" s="3">
        <v>59667</v>
      </c>
      <c r="AF490" s="3">
        <v>2921383</v>
      </c>
      <c r="AG490" s="3">
        <v>902506</v>
      </c>
      <c r="AH490" s="2">
        <v>13.05</v>
      </c>
      <c r="AI490" s="5">
        <v>4</v>
      </c>
    </row>
    <row r="491" spans="1:35" x14ac:dyDescent="0.3">
      <c r="A491" s="4" t="str">
        <f>"571000"</f>
        <v>571000</v>
      </c>
      <c r="B491" s="2" t="s">
        <v>487</v>
      </c>
      <c r="C491" s="3">
        <v>117717243</v>
      </c>
      <c r="D491" s="3">
        <v>118111924</v>
      </c>
      <c r="E491" s="2">
        <v>0.34</v>
      </c>
      <c r="F491" s="3">
        <v>54057931</v>
      </c>
      <c r="G491" s="3">
        <v>54798428</v>
      </c>
      <c r="H491" s="3"/>
      <c r="I491" s="3"/>
      <c r="J491" s="3"/>
      <c r="K491" s="3"/>
      <c r="L491" s="3"/>
      <c r="M491" s="3"/>
      <c r="N491" s="3">
        <v>54057931</v>
      </c>
      <c r="O491" s="3">
        <v>54798428</v>
      </c>
      <c r="P491" s="2">
        <v>1.37</v>
      </c>
      <c r="Q491" s="3">
        <v>2431412</v>
      </c>
      <c r="R491" s="3">
        <v>2431412</v>
      </c>
      <c r="S491" s="3">
        <v>52692650</v>
      </c>
      <c r="T491" s="3">
        <v>52367016</v>
      </c>
      <c r="U491" s="3">
        <v>51626519</v>
      </c>
      <c r="V491" s="3">
        <v>52367016</v>
      </c>
      <c r="W491" s="3">
        <v>1066131</v>
      </c>
      <c r="X491" s="3">
        <v>0</v>
      </c>
      <c r="Y491" s="2">
        <v>4619</v>
      </c>
      <c r="Z491" s="2">
        <v>4326</v>
      </c>
      <c r="AA491" s="2">
        <v>-6.34</v>
      </c>
      <c r="AB491" s="3">
        <v>10357230</v>
      </c>
      <c r="AC491" s="3">
        <v>10838199</v>
      </c>
      <c r="AD491" s="3">
        <v>2796272</v>
      </c>
      <c r="AE491" s="3">
        <v>1500000</v>
      </c>
      <c r="AF491" s="3">
        <v>4074294</v>
      </c>
      <c r="AG491" s="3">
        <v>4724477</v>
      </c>
      <c r="AH491" s="2">
        <v>3.46</v>
      </c>
      <c r="AI491" s="5">
        <v>4</v>
      </c>
    </row>
    <row r="492" spans="1:35" x14ac:dyDescent="0.3">
      <c r="A492" s="4" t="str">
        <f>"571502"</f>
        <v>571502</v>
      </c>
      <c r="B492" s="2" t="s">
        <v>488</v>
      </c>
      <c r="C492" s="3">
        <v>24913225</v>
      </c>
      <c r="D492" s="3">
        <v>26221876</v>
      </c>
      <c r="E492" s="2">
        <v>5.25</v>
      </c>
      <c r="F492" s="3">
        <v>5507529</v>
      </c>
      <c r="G492" s="3">
        <v>5507529</v>
      </c>
      <c r="H492" s="3"/>
      <c r="I492" s="3"/>
      <c r="J492" s="3"/>
      <c r="K492" s="3"/>
      <c r="L492" s="3"/>
      <c r="M492" s="3"/>
      <c r="N492" s="3">
        <v>5507529</v>
      </c>
      <c r="O492" s="3">
        <v>5507529</v>
      </c>
      <c r="P492" s="2">
        <v>0</v>
      </c>
      <c r="Q492" s="3">
        <v>0</v>
      </c>
      <c r="R492" s="3">
        <v>0</v>
      </c>
      <c r="S492" s="3">
        <v>5671307</v>
      </c>
      <c r="T492" s="3">
        <v>5649269</v>
      </c>
      <c r="U492" s="3">
        <v>5507529</v>
      </c>
      <c r="V492" s="3">
        <v>5507529</v>
      </c>
      <c r="W492" s="3">
        <v>163778</v>
      </c>
      <c r="X492" s="3">
        <v>141740</v>
      </c>
      <c r="Y492" s="2">
        <v>1018</v>
      </c>
      <c r="Z492" s="2">
        <v>1020</v>
      </c>
      <c r="AA492" s="2">
        <v>0.2</v>
      </c>
      <c r="AB492" s="3">
        <v>536517</v>
      </c>
      <c r="AC492" s="3">
        <v>5765170</v>
      </c>
      <c r="AD492" s="3">
        <v>700301</v>
      </c>
      <c r="AE492" s="3">
        <v>700301</v>
      </c>
      <c r="AF492" s="3">
        <v>2260319</v>
      </c>
      <c r="AG492" s="3">
        <v>1860319</v>
      </c>
      <c r="AH492" s="2">
        <v>9.07</v>
      </c>
      <c r="AI492" s="5">
        <v>7.09</v>
      </c>
    </row>
    <row r="493" spans="1:35" x14ac:dyDescent="0.3">
      <c r="A493" s="4" t="str">
        <f>"571800"</f>
        <v>571800</v>
      </c>
      <c r="B493" s="2" t="s">
        <v>489</v>
      </c>
      <c r="C493" s="3">
        <v>39945095</v>
      </c>
      <c r="D493" s="3">
        <v>39843578</v>
      </c>
      <c r="E493" s="2">
        <v>-0.25</v>
      </c>
      <c r="F493" s="3">
        <v>7279976</v>
      </c>
      <c r="G493" s="3">
        <v>7279976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7279976</v>
      </c>
      <c r="O493" s="3">
        <v>7279976</v>
      </c>
      <c r="P493" s="2">
        <v>0</v>
      </c>
      <c r="Q493" s="3">
        <v>0</v>
      </c>
      <c r="R493" s="3">
        <v>0</v>
      </c>
      <c r="S493" s="3">
        <v>7350950</v>
      </c>
      <c r="T493" s="3">
        <v>7284083</v>
      </c>
      <c r="U493" s="3">
        <v>7279976</v>
      </c>
      <c r="V493" s="3">
        <v>7279976</v>
      </c>
      <c r="W493" s="3">
        <v>70974</v>
      </c>
      <c r="X493" s="3">
        <v>4107</v>
      </c>
      <c r="Y493" s="2">
        <v>1516</v>
      </c>
      <c r="Z493" s="2">
        <v>1485</v>
      </c>
      <c r="AA493" s="2">
        <v>-2.04</v>
      </c>
      <c r="AB493" s="3">
        <v>12831625</v>
      </c>
      <c r="AC493" s="3">
        <v>12581625</v>
      </c>
      <c r="AD493" s="3">
        <v>1602002</v>
      </c>
      <c r="AE493" s="3">
        <v>0</v>
      </c>
      <c r="AF493" s="3">
        <v>3160880</v>
      </c>
      <c r="AG493" s="3">
        <v>1593740</v>
      </c>
      <c r="AH493" s="2">
        <v>7.91</v>
      </c>
      <c r="AI493" s="5">
        <v>4</v>
      </c>
    </row>
    <row r="494" spans="1:35" x14ac:dyDescent="0.3">
      <c r="A494" s="4" t="str">
        <f>"571901"</f>
        <v>571901</v>
      </c>
      <c r="B494" s="2" t="s">
        <v>490</v>
      </c>
      <c r="C494" s="3">
        <v>11876296</v>
      </c>
      <c r="D494" s="3">
        <v>11969646</v>
      </c>
      <c r="E494" s="2">
        <v>0.79</v>
      </c>
      <c r="F494" s="3">
        <v>3715478</v>
      </c>
      <c r="G494" s="3">
        <v>3786000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3715478</v>
      </c>
      <c r="O494" s="3">
        <v>3786000</v>
      </c>
      <c r="P494" s="2">
        <v>1.9</v>
      </c>
      <c r="Q494" s="3">
        <v>59956</v>
      </c>
      <c r="R494" s="3">
        <v>97659</v>
      </c>
      <c r="S494" s="3">
        <v>3674336</v>
      </c>
      <c r="T494" s="3">
        <v>3688875</v>
      </c>
      <c r="U494" s="3">
        <v>3655522</v>
      </c>
      <c r="V494" s="3">
        <v>3688341</v>
      </c>
      <c r="W494" s="3">
        <v>18814</v>
      </c>
      <c r="X494" s="3">
        <v>534</v>
      </c>
      <c r="Y494" s="2">
        <v>488</v>
      </c>
      <c r="Z494" s="2">
        <v>488</v>
      </c>
      <c r="AA494" s="2">
        <v>0</v>
      </c>
      <c r="AB494" s="3">
        <v>2246829</v>
      </c>
      <c r="AC494" s="3">
        <v>2234829</v>
      </c>
      <c r="AD494" s="3">
        <v>90000</v>
      </c>
      <c r="AE494" s="3">
        <v>30000</v>
      </c>
      <c r="AF494" s="3">
        <v>718494</v>
      </c>
      <c r="AG494" s="3">
        <v>538634</v>
      </c>
      <c r="AH494" s="2">
        <v>6.05</v>
      </c>
      <c r="AI494" s="5">
        <v>4.5</v>
      </c>
    </row>
    <row r="495" spans="1:35" x14ac:dyDescent="0.3">
      <c r="A495" s="4" t="str">
        <f>"572301"</f>
        <v>572301</v>
      </c>
      <c r="B495" s="2" t="s">
        <v>491</v>
      </c>
      <c r="C495" s="3">
        <v>10313306</v>
      </c>
      <c r="D495" s="3">
        <v>10187414</v>
      </c>
      <c r="E495" s="2">
        <v>-1.22</v>
      </c>
      <c r="F495" s="3">
        <v>2595000</v>
      </c>
      <c r="G495" s="3">
        <v>2595000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2595000</v>
      </c>
      <c r="O495" s="3">
        <v>2595000</v>
      </c>
      <c r="P495" s="2">
        <v>0</v>
      </c>
      <c r="Q495" s="3">
        <v>0</v>
      </c>
      <c r="R495" s="3">
        <v>0</v>
      </c>
      <c r="S495" s="3">
        <v>2654371</v>
      </c>
      <c r="T495" s="3">
        <v>2631668</v>
      </c>
      <c r="U495" s="3">
        <v>2595000</v>
      </c>
      <c r="V495" s="3">
        <v>2595000</v>
      </c>
      <c r="W495" s="3">
        <v>59371</v>
      </c>
      <c r="X495" s="3">
        <v>36668</v>
      </c>
      <c r="Y495" s="2">
        <v>375</v>
      </c>
      <c r="Z495" s="2">
        <v>367</v>
      </c>
      <c r="AA495" s="2">
        <v>-2.13</v>
      </c>
      <c r="AB495" s="3">
        <v>1629066</v>
      </c>
      <c r="AC495" s="3">
        <v>1720000</v>
      </c>
      <c r="AD495" s="3">
        <v>554017</v>
      </c>
      <c r="AE495" s="3">
        <v>190015</v>
      </c>
      <c r="AF495" s="3">
        <v>1455753</v>
      </c>
      <c r="AG495" s="3">
        <v>408000</v>
      </c>
      <c r="AH495" s="2">
        <v>14.12</v>
      </c>
      <c r="AI495" s="5">
        <v>4</v>
      </c>
    </row>
    <row r="496" spans="1:35" x14ac:dyDescent="0.3">
      <c r="A496" s="4" t="str">
        <f>"572702"</f>
        <v>572702</v>
      </c>
      <c r="B496" s="2" t="s">
        <v>492</v>
      </c>
      <c r="C496" s="3">
        <v>12602751</v>
      </c>
      <c r="D496" s="3">
        <v>12815771</v>
      </c>
      <c r="E496" s="2">
        <v>1.69</v>
      </c>
      <c r="F496" s="3">
        <v>2763059</v>
      </c>
      <c r="G496" s="3">
        <v>2763059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2763059</v>
      </c>
      <c r="O496" s="3">
        <v>2763059</v>
      </c>
      <c r="P496" s="2">
        <v>0</v>
      </c>
      <c r="Q496" s="3">
        <v>15538</v>
      </c>
      <c r="R496" s="3">
        <v>15645</v>
      </c>
      <c r="S496" s="3">
        <v>2838723</v>
      </c>
      <c r="T496" s="3">
        <v>2842741</v>
      </c>
      <c r="U496" s="3">
        <v>2747521</v>
      </c>
      <c r="V496" s="3">
        <v>2747414</v>
      </c>
      <c r="W496" s="3">
        <v>91202</v>
      </c>
      <c r="X496" s="3">
        <v>95327</v>
      </c>
      <c r="Y496" s="2">
        <v>416</v>
      </c>
      <c r="Z496" s="2">
        <v>421</v>
      </c>
      <c r="AA496" s="2">
        <v>1.2</v>
      </c>
      <c r="AB496" s="3">
        <v>2835149</v>
      </c>
      <c r="AC496" s="3">
        <v>2690268</v>
      </c>
      <c r="AD496" s="3">
        <v>408054</v>
      </c>
      <c r="AE496" s="3">
        <v>683601</v>
      </c>
      <c r="AF496" s="3">
        <v>1124624</v>
      </c>
      <c r="AG496" s="3">
        <v>1420673</v>
      </c>
      <c r="AH496" s="2">
        <v>8.92</v>
      </c>
      <c r="AI496" s="5">
        <v>11.09</v>
      </c>
    </row>
    <row r="497" spans="1:35" x14ac:dyDescent="0.3">
      <c r="A497" s="4" t="str">
        <f>"572901"</f>
        <v>572901</v>
      </c>
      <c r="B497" s="2" t="s">
        <v>493</v>
      </c>
      <c r="C497" s="3">
        <v>14952004</v>
      </c>
      <c r="D497" s="3">
        <v>15064304</v>
      </c>
      <c r="E497" s="2">
        <v>0.75</v>
      </c>
      <c r="F497" s="3">
        <v>8982444</v>
      </c>
      <c r="G497" s="3">
        <v>9080936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8982444</v>
      </c>
      <c r="O497" s="3">
        <v>9080936</v>
      </c>
      <c r="P497" s="2">
        <v>1.1000000000000001</v>
      </c>
      <c r="Q497" s="3">
        <v>665834</v>
      </c>
      <c r="R497" s="3">
        <v>624616</v>
      </c>
      <c r="S497" s="3">
        <v>8379629</v>
      </c>
      <c r="T497" s="3">
        <v>8462222</v>
      </c>
      <c r="U497" s="3">
        <v>8316610</v>
      </c>
      <c r="V497" s="3">
        <v>8456320</v>
      </c>
      <c r="W497" s="3">
        <v>63019</v>
      </c>
      <c r="X497" s="3">
        <v>5902</v>
      </c>
      <c r="Y497" s="2">
        <v>402</v>
      </c>
      <c r="Z497" s="2">
        <v>400</v>
      </c>
      <c r="AA497" s="2">
        <v>-0.5</v>
      </c>
      <c r="AB497" s="3">
        <v>2171514</v>
      </c>
      <c r="AC497" s="3">
        <v>4024622</v>
      </c>
      <c r="AD497" s="3">
        <v>500000</v>
      </c>
      <c r="AE497" s="3">
        <v>400000</v>
      </c>
      <c r="AF497" s="3">
        <v>2385148</v>
      </c>
      <c r="AG497" s="3">
        <v>602572</v>
      </c>
      <c r="AH497" s="2">
        <v>15.95</v>
      </c>
      <c r="AI497" s="5">
        <v>4</v>
      </c>
    </row>
    <row r="498" spans="1:35" x14ac:dyDescent="0.3">
      <c r="A498" s="4" t="str">
        <f>"573002"</f>
        <v>573002</v>
      </c>
      <c r="B498" s="2" t="s">
        <v>494</v>
      </c>
      <c r="C498" s="3">
        <v>32630310</v>
      </c>
      <c r="D498" s="3">
        <v>33261381</v>
      </c>
      <c r="E498" s="2">
        <v>1.93</v>
      </c>
      <c r="F498" s="3">
        <v>7949682</v>
      </c>
      <c r="G498" s="3">
        <v>8107880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7949682</v>
      </c>
      <c r="O498" s="3">
        <v>8107880</v>
      </c>
      <c r="P498" s="2">
        <v>1.99</v>
      </c>
      <c r="Q498" s="3">
        <v>21729</v>
      </c>
      <c r="R498" s="3">
        <v>85467</v>
      </c>
      <c r="S498" s="3">
        <v>7927953</v>
      </c>
      <c r="T498" s="3">
        <v>8098335</v>
      </c>
      <c r="U498" s="3">
        <v>7927953</v>
      </c>
      <c r="V498" s="3">
        <v>8022413</v>
      </c>
      <c r="W498" s="3">
        <v>0</v>
      </c>
      <c r="X498" s="3">
        <v>75922</v>
      </c>
      <c r="Y498" s="2">
        <v>1266</v>
      </c>
      <c r="Z498" s="2">
        <v>1281</v>
      </c>
      <c r="AA498" s="2">
        <v>1.18</v>
      </c>
      <c r="AB498" s="3">
        <v>9650790</v>
      </c>
      <c r="AC498" s="3">
        <v>9369691</v>
      </c>
      <c r="AD498" s="3">
        <v>600000</v>
      </c>
      <c r="AE498" s="3">
        <v>600000</v>
      </c>
      <c r="AF498" s="3">
        <v>1957819</v>
      </c>
      <c r="AG498" s="3">
        <v>1995682</v>
      </c>
      <c r="AH498" s="2">
        <v>6</v>
      </c>
      <c r="AI498" s="5">
        <v>6</v>
      </c>
    </row>
    <row r="499" spans="1:35" x14ac:dyDescent="0.3">
      <c r="A499" s="4" t="str">
        <f>"580101"</f>
        <v>580101</v>
      </c>
      <c r="B499" s="2" t="s">
        <v>495</v>
      </c>
      <c r="C499" s="3">
        <v>55602506</v>
      </c>
      <c r="D499" s="3">
        <v>56414443</v>
      </c>
      <c r="E499" s="2">
        <v>1.46</v>
      </c>
      <c r="F499" s="3">
        <v>43909256</v>
      </c>
      <c r="G499" s="3">
        <v>44472506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43909256</v>
      </c>
      <c r="O499" s="3">
        <v>44472506</v>
      </c>
      <c r="P499" s="2">
        <v>1.28</v>
      </c>
      <c r="Q499" s="3">
        <v>2953143</v>
      </c>
      <c r="R499" s="3">
        <v>2752282</v>
      </c>
      <c r="S499" s="3">
        <v>40956113</v>
      </c>
      <c r="T499" s="3">
        <v>41720224</v>
      </c>
      <c r="U499" s="3">
        <v>40956113</v>
      </c>
      <c r="V499" s="3">
        <v>41720224</v>
      </c>
      <c r="W499" s="3">
        <v>0</v>
      </c>
      <c r="X499" s="3">
        <v>0</v>
      </c>
      <c r="Y499" s="2">
        <v>1526</v>
      </c>
      <c r="Z499" s="2">
        <v>1526</v>
      </c>
      <c r="AA499" s="2">
        <v>0</v>
      </c>
      <c r="AB499" s="3">
        <v>4369805</v>
      </c>
      <c r="AC499" s="3">
        <v>4435352</v>
      </c>
      <c r="AD499" s="3">
        <v>2480000</v>
      </c>
      <c r="AE499" s="3">
        <v>1200000</v>
      </c>
      <c r="AF499" s="3">
        <v>2223212</v>
      </c>
      <c r="AG499" s="3">
        <v>2256578</v>
      </c>
      <c r="AH499" s="2">
        <v>4</v>
      </c>
      <c r="AI499" s="5">
        <v>4</v>
      </c>
    </row>
    <row r="500" spans="1:35" x14ac:dyDescent="0.3">
      <c r="A500" s="4" t="str">
        <f>"580102"</f>
        <v>580102</v>
      </c>
      <c r="B500" s="2" t="s">
        <v>496</v>
      </c>
      <c r="C500" s="3">
        <v>118267917</v>
      </c>
      <c r="D500" s="3">
        <v>119777603</v>
      </c>
      <c r="E500" s="2">
        <v>1.28</v>
      </c>
      <c r="F500" s="3">
        <v>77407537</v>
      </c>
      <c r="G500" s="3">
        <v>78069038</v>
      </c>
      <c r="H500" s="3"/>
      <c r="I500" s="3"/>
      <c r="J500" s="3"/>
      <c r="K500" s="3"/>
      <c r="L500" s="3"/>
      <c r="M500" s="3"/>
      <c r="N500" s="3">
        <v>77407537</v>
      </c>
      <c r="O500" s="3">
        <v>78069038</v>
      </c>
      <c r="P500" s="2">
        <v>0.85</v>
      </c>
      <c r="Q500" s="3">
        <v>2932652</v>
      </c>
      <c r="R500" s="3">
        <v>2490472</v>
      </c>
      <c r="S500" s="3">
        <v>74474885</v>
      </c>
      <c r="T500" s="3">
        <v>75578566</v>
      </c>
      <c r="U500" s="3">
        <v>74474885</v>
      </c>
      <c r="V500" s="3">
        <v>75578566</v>
      </c>
      <c r="W500" s="3">
        <v>0</v>
      </c>
      <c r="X500" s="3">
        <v>0</v>
      </c>
      <c r="Y500" s="2">
        <v>3693</v>
      </c>
      <c r="Z500" s="2">
        <v>3637</v>
      </c>
      <c r="AA500" s="2">
        <v>-1.52</v>
      </c>
      <c r="AB500" s="3">
        <v>8116469</v>
      </c>
      <c r="AC500" s="3">
        <v>9059498</v>
      </c>
      <c r="AD500" s="3">
        <v>800845</v>
      </c>
      <c r="AE500" s="3">
        <v>1204311</v>
      </c>
      <c r="AF500" s="3">
        <v>6863541</v>
      </c>
      <c r="AG500" s="3">
        <v>4791104</v>
      </c>
      <c r="AH500" s="2">
        <v>5.8</v>
      </c>
      <c r="AI500" s="5">
        <v>4</v>
      </c>
    </row>
    <row r="501" spans="1:35" x14ac:dyDescent="0.3">
      <c r="A501" s="4" t="str">
        <f>"580103"</f>
        <v>580103</v>
      </c>
      <c r="B501" s="2" t="s">
        <v>497</v>
      </c>
      <c r="C501" s="3">
        <v>123455814</v>
      </c>
      <c r="D501" s="3">
        <v>124777915</v>
      </c>
      <c r="E501" s="2">
        <v>1.07</v>
      </c>
      <c r="F501" s="3">
        <v>67854328</v>
      </c>
      <c r="G501" s="3">
        <v>69007560</v>
      </c>
      <c r="H501" s="3"/>
      <c r="I501" s="3"/>
      <c r="J501" s="3"/>
      <c r="K501" s="3"/>
      <c r="L501" s="3"/>
      <c r="M501" s="3"/>
      <c r="N501" s="3">
        <v>67854328</v>
      </c>
      <c r="O501" s="3">
        <v>69007560</v>
      </c>
      <c r="P501" s="2">
        <v>1.7</v>
      </c>
      <c r="Q501" s="3">
        <v>2335376</v>
      </c>
      <c r="R501" s="3">
        <v>2528318</v>
      </c>
      <c r="S501" s="3">
        <v>66061383</v>
      </c>
      <c r="T501" s="3">
        <v>66479242</v>
      </c>
      <c r="U501" s="3">
        <v>65518952</v>
      </c>
      <c r="V501" s="3">
        <v>66479242</v>
      </c>
      <c r="W501" s="3">
        <v>542431</v>
      </c>
      <c r="X501" s="3">
        <v>0</v>
      </c>
      <c r="Y501" s="2">
        <v>4659</v>
      </c>
      <c r="Z501" s="2">
        <v>4560</v>
      </c>
      <c r="AA501" s="2">
        <v>-2.12</v>
      </c>
      <c r="AB501" s="3">
        <v>16651873</v>
      </c>
      <c r="AC501" s="3">
        <v>16651873</v>
      </c>
      <c r="AD501" s="3">
        <v>3000000</v>
      </c>
      <c r="AE501" s="3">
        <v>2000000</v>
      </c>
      <c r="AF501" s="3">
        <v>6172790</v>
      </c>
      <c r="AG501" s="3">
        <v>4991116</v>
      </c>
      <c r="AH501" s="2">
        <v>5</v>
      </c>
      <c r="AI501" s="5">
        <v>4</v>
      </c>
    </row>
    <row r="502" spans="1:35" x14ac:dyDescent="0.3">
      <c r="A502" s="4" t="str">
        <f>"580104"</f>
        <v>580104</v>
      </c>
      <c r="B502" s="2" t="s">
        <v>498</v>
      </c>
      <c r="C502" s="3">
        <v>170256663</v>
      </c>
      <c r="D502" s="3">
        <v>173107128</v>
      </c>
      <c r="E502" s="2">
        <v>1.67</v>
      </c>
      <c r="F502" s="3">
        <v>104833668</v>
      </c>
      <c r="G502" s="3">
        <v>105864508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104833668</v>
      </c>
      <c r="O502" s="3">
        <v>105864508</v>
      </c>
      <c r="P502" s="2">
        <v>0.98</v>
      </c>
      <c r="Q502" s="3">
        <v>4460049</v>
      </c>
      <c r="R502" s="3">
        <v>3729594</v>
      </c>
      <c r="S502" s="3">
        <v>100373619</v>
      </c>
      <c r="T502" s="3">
        <v>102134914</v>
      </c>
      <c r="U502" s="3">
        <v>100373619</v>
      </c>
      <c r="V502" s="3">
        <v>102134914</v>
      </c>
      <c r="W502" s="3">
        <v>0</v>
      </c>
      <c r="X502" s="3">
        <v>0</v>
      </c>
      <c r="Y502" s="2">
        <v>5650</v>
      </c>
      <c r="Z502" s="2">
        <v>5540</v>
      </c>
      <c r="AA502" s="2">
        <v>-1.95</v>
      </c>
      <c r="AB502" s="3">
        <v>20756776</v>
      </c>
      <c r="AC502" s="3">
        <v>26389775</v>
      </c>
      <c r="AD502" s="3">
        <v>5107006</v>
      </c>
      <c r="AE502" s="3">
        <v>1000000</v>
      </c>
      <c r="AF502" s="3">
        <v>6810266</v>
      </c>
      <c r="AG502" s="3">
        <v>6924285</v>
      </c>
      <c r="AH502" s="2">
        <v>4</v>
      </c>
      <c r="AI502" s="5">
        <v>4</v>
      </c>
    </row>
    <row r="503" spans="1:35" x14ac:dyDescent="0.3">
      <c r="A503" s="4" t="str">
        <f>"580105"</f>
        <v>580105</v>
      </c>
      <c r="B503" s="2" t="s">
        <v>499</v>
      </c>
      <c r="C503" s="3">
        <v>134316244</v>
      </c>
      <c r="D503" s="3">
        <v>141972939</v>
      </c>
      <c r="E503" s="2">
        <v>5.7</v>
      </c>
      <c r="F503" s="3">
        <v>65244654</v>
      </c>
      <c r="G503" s="3">
        <v>65969331</v>
      </c>
      <c r="H503" s="3"/>
      <c r="I503" s="3"/>
      <c r="J503" s="3"/>
      <c r="K503" s="3"/>
      <c r="L503" s="3"/>
      <c r="M503" s="3"/>
      <c r="N503" s="3">
        <v>65244654</v>
      </c>
      <c r="O503" s="3">
        <v>65969331</v>
      </c>
      <c r="P503" s="2">
        <v>1.1100000000000001</v>
      </c>
      <c r="Q503" s="3">
        <v>991595</v>
      </c>
      <c r="R503" s="3">
        <v>1737933</v>
      </c>
      <c r="S503" s="3">
        <v>64253059</v>
      </c>
      <c r="T503" s="3">
        <v>65231398</v>
      </c>
      <c r="U503" s="3">
        <v>64253059</v>
      </c>
      <c r="V503" s="3">
        <v>64231398</v>
      </c>
      <c r="W503" s="3">
        <v>0</v>
      </c>
      <c r="X503" s="3">
        <v>1000000</v>
      </c>
      <c r="Y503" s="2">
        <v>5009</v>
      </c>
      <c r="Z503" s="2">
        <v>4728</v>
      </c>
      <c r="AA503" s="2">
        <v>-5.61</v>
      </c>
      <c r="AB503" s="3">
        <v>3654654</v>
      </c>
      <c r="AC503" s="3">
        <v>14808104</v>
      </c>
      <c r="AD503" s="3">
        <v>1823450</v>
      </c>
      <c r="AE503" s="3">
        <v>0</v>
      </c>
      <c r="AF503" s="3">
        <v>10869631</v>
      </c>
      <c r="AG503" s="3">
        <v>5673837</v>
      </c>
      <c r="AH503" s="2">
        <v>8.09</v>
      </c>
      <c r="AI503" s="5">
        <v>4</v>
      </c>
    </row>
    <row r="504" spans="1:35" x14ac:dyDescent="0.3">
      <c r="A504" s="4" t="str">
        <f>"580106"</f>
        <v>580106</v>
      </c>
      <c r="B504" s="2" t="s">
        <v>500</v>
      </c>
      <c r="C504" s="3">
        <v>97130734</v>
      </c>
      <c r="D504" s="3">
        <v>100525800</v>
      </c>
      <c r="E504" s="2">
        <v>3.5</v>
      </c>
      <c r="F504" s="3">
        <v>60344758</v>
      </c>
      <c r="G504" s="3">
        <v>60748314</v>
      </c>
      <c r="H504" s="3"/>
      <c r="I504" s="3"/>
      <c r="J504" s="3"/>
      <c r="K504" s="3"/>
      <c r="L504" s="3"/>
      <c r="M504" s="3"/>
      <c r="N504" s="3">
        <v>60344758</v>
      </c>
      <c r="O504" s="3">
        <v>60748314</v>
      </c>
      <c r="P504" s="2">
        <v>0.67</v>
      </c>
      <c r="Q504" s="3">
        <v>874001</v>
      </c>
      <c r="R504" s="3">
        <v>2046537</v>
      </c>
      <c r="S504" s="3">
        <v>60151441</v>
      </c>
      <c r="T504" s="3">
        <v>60389219</v>
      </c>
      <c r="U504" s="3">
        <v>59470757</v>
      </c>
      <c r="V504" s="3">
        <v>58701777</v>
      </c>
      <c r="W504" s="3">
        <v>680684</v>
      </c>
      <c r="X504" s="3">
        <v>1687442</v>
      </c>
      <c r="Y504" s="2">
        <v>3093</v>
      </c>
      <c r="Z504" s="2">
        <v>3100</v>
      </c>
      <c r="AA504" s="2">
        <v>0.23</v>
      </c>
      <c r="AB504" s="3">
        <v>5694479</v>
      </c>
      <c r="AC504" s="3">
        <v>6100000</v>
      </c>
      <c r="AD504" s="3">
        <v>3000000</v>
      </c>
      <c r="AE504" s="3">
        <v>3000000</v>
      </c>
      <c r="AF504" s="3">
        <v>6368066</v>
      </c>
      <c r="AG504" s="3">
        <v>4000000</v>
      </c>
      <c r="AH504" s="2">
        <v>6.56</v>
      </c>
      <c r="AI504" s="5">
        <v>3.98</v>
      </c>
    </row>
    <row r="505" spans="1:35" x14ac:dyDescent="0.3">
      <c r="A505" s="4" t="str">
        <f>"580107"</f>
        <v>580107</v>
      </c>
      <c r="B505" s="2" t="s">
        <v>501</v>
      </c>
      <c r="C505" s="3">
        <v>118368080</v>
      </c>
      <c r="D505" s="3">
        <v>121769599</v>
      </c>
      <c r="E505" s="2">
        <v>2.87</v>
      </c>
      <c r="F505" s="3">
        <v>74521878</v>
      </c>
      <c r="G505" s="3">
        <v>75453230</v>
      </c>
      <c r="H505" s="3"/>
      <c r="I505" s="3"/>
      <c r="J505" s="3"/>
      <c r="K505" s="3"/>
      <c r="L505" s="3"/>
      <c r="M505" s="3"/>
      <c r="N505" s="3">
        <v>74521878</v>
      </c>
      <c r="O505" s="3">
        <v>75453230</v>
      </c>
      <c r="P505" s="2">
        <v>1.25</v>
      </c>
      <c r="Q505" s="3">
        <v>2559562</v>
      </c>
      <c r="R505" s="3">
        <v>2622442</v>
      </c>
      <c r="S505" s="3">
        <v>71962316</v>
      </c>
      <c r="T505" s="3">
        <v>72830788</v>
      </c>
      <c r="U505" s="3">
        <v>71962316</v>
      </c>
      <c r="V505" s="3">
        <v>72830788</v>
      </c>
      <c r="W505" s="3">
        <v>0</v>
      </c>
      <c r="X505" s="3">
        <v>0</v>
      </c>
      <c r="Y505" s="2">
        <v>4026</v>
      </c>
      <c r="Z505" s="2">
        <v>4106</v>
      </c>
      <c r="AA505" s="2">
        <v>1.99</v>
      </c>
      <c r="AB505" s="3">
        <v>10056460</v>
      </c>
      <c r="AC505" s="3">
        <v>9807573</v>
      </c>
      <c r="AD505" s="3">
        <v>4000000</v>
      </c>
      <c r="AE505" s="3">
        <v>3000000</v>
      </c>
      <c r="AF505" s="3">
        <v>3175000</v>
      </c>
      <c r="AG505" s="3">
        <v>3195000</v>
      </c>
      <c r="AH505" s="2">
        <v>2.68</v>
      </c>
      <c r="AI505" s="5">
        <v>2.62</v>
      </c>
    </row>
    <row r="506" spans="1:35" x14ac:dyDescent="0.3">
      <c r="A506" s="4" t="str">
        <f>"580109"</f>
        <v>580109</v>
      </c>
      <c r="B506" s="2" t="s">
        <v>502</v>
      </c>
      <c r="C506" s="3">
        <v>71723026</v>
      </c>
      <c r="D506" s="3">
        <v>79906909</v>
      </c>
      <c r="E506" s="2">
        <v>11.41</v>
      </c>
      <c r="F506" s="3">
        <v>22613397</v>
      </c>
      <c r="G506" s="3">
        <v>23051717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22613397</v>
      </c>
      <c r="O506" s="3">
        <v>23051717</v>
      </c>
      <c r="P506" s="2">
        <v>1.94</v>
      </c>
      <c r="Q506" s="3">
        <v>127899</v>
      </c>
      <c r="R506" s="3">
        <v>129380</v>
      </c>
      <c r="S506" s="3">
        <v>22268182</v>
      </c>
      <c r="T506" s="3">
        <v>22922337</v>
      </c>
      <c r="U506" s="3">
        <v>22485498</v>
      </c>
      <c r="V506" s="3">
        <v>22922337</v>
      </c>
      <c r="W506" s="3">
        <v>-217316</v>
      </c>
      <c r="X506" s="3">
        <v>0</v>
      </c>
      <c r="Y506" s="2">
        <v>2817</v>
      </c>
      <c r="Z506" s="2">
        <v>2867</v>
      </c>
      <c r="AA506" s="2">
        <v>1.77</v>
      </c>
      <c r="AB506" s="3">
        <v>952898</v>
      </c>
      <c r="AC506" s="3">
        <v>3952898</v>
      </c>
      <c r="AD506" s="3">
        <v>0</v>
      </c>
      <c r="AE506" s="3">
        <v>0</v>
      </c>
      <c r="AF506" s="3">
        <v>0</v>
      </c>
      <c r="AG506" s="3">
        <v>0</v>
      </c>
      <c r="AH506" s="2">
        <v>0</v>
      </c>
      <c r="AI506" s="5">
        <v>0</v>
      </c>
    </row>
    <row r="507" spans="1:35" x14ac:dyDescent="0.3">
      <c r="A507" s="4" t="str">
        <f>"580201"</f>
        <v>580201</v>
      </c>
      <c r="B507" s="2" t="s">
        <v>503</v>
      </c>
      <c r="C507" s="3">
        <v>218840108</v>
      </c>
      <c r="D507" s="3">
        <v>222659523</v>
      </c>
      <c r="E507" s="2">
        <v>1.75</v>
      </c>
      <c r="F507" s="3">
        <v>162004770</v>
      </c>
      <c r="G507" s="3">
        <v>165001858</v>
      </c>
      <c r="H507" s="3"/>
      <c r="I507" s="3"/>
      <c r="J507" s="3"/>
      <c r="K507" s="3"/>
      <c r="L507" s="3"/>
      <c r="M507" s="3"/>
      <c r="N507" s="3">
        <v>162004770</v>
      </c>
      <c r="O507" s="3">
        <v>165001858</v>
      </c>
      <c r="P507" s="2">
        <v>1.85</v>
      </c>
      <c r="Q507" s="3">
        <v>9084088</v>
      </c>
      <c r="R507" s="3">
        <v>9099737</v>
      </c>
      <c r="S507" s="3">
        <v>152920682</v>
      </c>
      <c r="T507" s="3">
        <v>155124791</v>
      </c>
      <c r="U507" s="3">
        <v>152920682</v>
      </c>
      <c r="V507" s="3">
        <v>155902121</v>
      </c>
      <c r="W507" s="3">
        <v>0</v>
      </c>
      <c r="X507" s="3">
        <v>-777330</v>
      </c>
      <c r="Y507" s="2">
        <v>5671</v>
      </c>
      <c r="Z507" s="2">
        <v>5456</v>
      </c>
      <c r="AA507" s="2">
        <v>-3.79</v>
      </c>
      <c r="AB507" s="3">
        <v>14298327</v>
      </c>
      <c r="AC507" s="3">
        <v>10350000</v>
      </c>
      <c r="AD507" s="3">
        <v>3000000</v>
      </c>
      <c r="AE507" s="3">
        <v>3800000</v>
      </c>
      <c r="AF507" s="3">
        <v>6796724</v>
      </c>
      <c r="AG507" s="3">
        <v>5800000</v>
      </c>
      <c r="AH507" s="2">
        <v>3.11</v>
      </c>
      <c r="AI507" s="5">
        <v>2.6</v>
      </c>
    </row>
    <row r="508" spans="1:35" x14ac:dyDescent="0.3">
      <c r="A508" s="4" t="str">
        <f>"580203"</f>
        <v>580203</v>
      </c>
      <c r="B508" s="2" t="s">
        <v>504</v>
      </c>
      <c r="C508" s="3">
        <v>96635581</v>
      </c>
      <c r="D508" s="3">
        <v>98479279</v>
      </c>
      <c r="E508" s="2">
        <v>1.91</v>
      </c>
      <c r="F508" s="3">
        <v>57279755</v>
      </c>
      <c r="G508" s="3">
        <v>59417689</v>
      </c>
      <c r="H508" s="3"/>
      <c r="I508" s="3"/>
      <c r="J508" s="3"/>
      <c r="K508" s="3"/>
      <c r="L508" s="3"/>
      <c r="M508" s="3"/>
      <c r="N508" s="3">
        <v>57279755</v>
      </c>
      <c r="O508" s="3">
        <v>59417689</v>
      </c>
      <c r="P508" s="2">
        <v>3.73</v>
      </c>
      <c r="Q508" s="3">
        <v>2344739</v>
      </c>
      <c r="R508" s="3">
        <v>3214108</v>
      </c>
      <c r="S508" s="3">
        <v>56836350</v>
      </c>
      <c r="T508" s="3">
        <v>56605432</v>
      </c>
      <c r="U508" s="3">
        <v>54935016</v>
      </c>
      <c r="V508" s="3">
        <v>56203581</v>
      </c>
      <c r="W508" s="3">
        <v>1901334</v>
      </c>
      <c r="X508" s="3">
        <v>401851</v>
      </c>
      <c r="Y508" s="2">
        <v>3646</v>
      </c>
      <c r="Z508" s="2">
        <v>3445</v>
      </c>
      <c r="AA508" s="2">
        <v>-5.51</v>
      </c>
      <c r="AB508" s="3">
        <v>5934226</v>
      </c>
      <c r="AC508" s="3">
        <v>5054000</v>
      </c>
      <c r="AD508" s="3">
        <v>20851656</v>
      </c>
      <c r="AE508" s="3">
        <v>19600000</v>
      </c>
      <c r="AF508" s="3">
        <v>3282047</v>
      </c>
      <c r="AG508" s="3">
        <v>2853155</v>
      </c>
      <c r="AH508" s="2">
        <v>3.4</v>
      </c>
      <c r="AI508" s="5">
        <v>2.9</v>
      </c>
    </row>
    <row r="509" spans="1:35" x14ac:dyDescent="0.3">
      <c r="A509" s="4" t="str">
        <f>"580205"</f>
        <v>580205</v>
      </c>
      <c r="B509" s="2" t="s">
        <v>505</v>
      </c>
      <c r="C509" s="3">
        <v>333362903</v>
      </c>
      <c r="D509" s="3">
        <v>340355897</v>
      </c>
      <c r="E509" s="2">
        <v>2.1</v>
      </c>
      <c r="F509" s="3">
        <v>195650679</v>
      </c>
      <c r="G509" s="3">
        <v>199508705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195650679</v>
      </c>
      <c r="O509" s="3">
        <v>199508705</v>
      </c>
      <c r="P509" s="2">
        <v>1.97</v>
      </c>
      <c r="Q509" s="3">
        <v>11157035</v>
      </c>
      <c r="R509" s="3">
        <v>11955925</v>
      </c>
      <c r="S509" s="3">
        <v>184493644</v>
      </c>
      <c r="T509" s="3">
        <v>187552780</v>
      </c>
      <c r="U509" s="3">
        <v>184493644</v>
      </c>
      <c r="V509" s="3">
        <v>187552780</v>
      </c>
      <c r="W509" s="3">
        <v>0</v>
      </c>
      <c r="X509" s="3">
        <v>0</v>
      </c>
      <c r="Y509" s="2">
        <v>12154</v>
      </c>
      <c r="Z509" s="2">
        <v>11835</v>
      </c>
      <c r="AA509" s="2">
        <v>-2.62</v>
      </c>
      <c r="AB509" s="3">
        <v>45326536</v>
      </c>
      <c r="AC509" s="3">
        <v>46150026</v>
      </c>
      <c r="AD509" s="3">
        <v>3900000</v>
      </c>
      <c r="AE509" s="3">
        <v>0</v>
      </c>
      <c r="AF509" s="3">
        <v>13334516</v>
      </c>
      <c r="AG509" s="3">
        <v>13614236</v>
      </c>
      <c r="AH509" s="2">
        <v>4</v>
      </c>
      <c r="AI509" s="5">
        <v>4</v>
      </c>
    </row>
    <row r="510" spans="1:35" x14ac:dyDescent="0.3">
      <c r="A510" s="4" t="str">
        <f>"580206"</f>
        <v>580206</v>
      </c>
      <c r="B510" s="2" t="s">
        <v>506</v>
      </c>
      <c r="C510" s="3">
        <v>44739855</v>
      </c>
      <c r="D510" s="3">
        <v>45009729</v>
      </c>
      <c r="E510" s="2">
        <v>0.6</v>
      </c>
      <c r="F510" s="3">
        <v>37356454</v>
      </c>
      <c r="G510" s="3">
        <v>37886082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37356454</v>
      </c>
      <c r="O510" s="3">
        <v>37886082</v>
      </c>
      <c r="P510" s="2">
        <v>1.42</v>
      </c>
      <c r="Q510" s="3">
        <v>1199322</v>
      </c>
      <c r="R510" s="3">
        <v>1305094</v>
      </c>
      <c r="S510" s="3">
        <v>35158586</v>
      </c>
      <c r="T510" s="3">
        <v>36581068</v>
      </c>
      <c r="U510" s="3">
        <v>36157132</v>
      </c>
      <c r="V510" s="3">
        <v>36580988</v>
      </c>
      <c r="W510" s="3">
        <v>-998546</v>
      </c>
      <c r="X510" s="3">
        <v>80</v>
      </c>
      <c r="Y510" s="2">
        <v>1052</v>
      </c>
      <c r="Z510" s="2">
        <v>1068</v>
      </c>
      <c r="AA510" s="2">
        <v>1.52</v>
      </c>
      <c r="AB510" s="3">
        <v>14017542</v>
      </c>
      <c r="AC510" s="3">
        <v>15317542</v>
      </c>
      <c r="AD510" s="3">
        <v>1037652</v>
      </c>
      <c r="AE510" s="3">
        <v>950000</v>
      </c>
      <c r="AF510" s="3">
        <v>1653358</v>
      </c>
      <c r="AG510" s="3">
        <v>1800389</v>
      </c>
      <c r="AH510" s="2">
        <v>3.7</v>
      </c>
      <c r="AI510" s="5">
        <v>4</v>
      </c>
    </row>
    <row r="511" spans="1:35" x14ac:dyDescent="0.3">
      <c r="A511" s="4" t="str">
        <f>"580207"</f>
        <v>580207</v>
      </c>
      <c r="B511" s="2" t="s">
        <v>507</v>
      </c>
      <c r="C511" s="3">
        <v>61769870</v>
      </c>
      <c r="D511" s="3">
        <v>62581830</v>
      </c>
      <c r="E511" s="2">
        <v>1.31</v>
      </c>
      <c r="F511" s="3">
        <v>41396602</v>
      </c>
      <c r="G511" s="3">
        <v>42198635</v>
      </c>
      <c r="H511" s="3"/>
      <c r="I511" s="3"/>
      <c r="J511" s="3"/>
      <c r="K511" s="3"/>
      <c r="L511" s="3"/>
      <c r="M511" s="3"/>
      <c r="N511" s="3">
        <v>41396602</v>
      </c>
      <c r="O511" s="3">
        <v>42198635</v>
      </c>
      <c r="P511" s="2">
        <v>1.94</v>
      </c>
      <c r="Q511" s="3">
        <v>674544</v>
      </c>
      <c r="R511" s="3">
        <v>900525</v>
      </c>
      <c r="S511" s="3">
        <v>41307592</v>
      </c>
      <c r="T511" s="3">
        <v>41298110</v>
      </c>
      <c r="U511" s="3">
        <v>40722058</v>
      </c>
      <c r="V511" s="3">
        <v>41298110</v>
      </c>
      <c r="W511" s="3">
        <v>585534</v>
      </c>
      <c r="X511" s="3">
        <v>0</v>
      </c>
      <c r="Y511" s="2">
        <v>2132</v>
      </c>
      <c r="Z511" s="2">
        <v>2079</v>
      </c>
      <c r="AA511" s="2">
        <v>-2.4900000000000002</v>
      </c>
      <c r="AB511" s="3">
        <v>6300222</v>
      </c>
      <c r="AC511" s="3">
        <v>6350222</v>
      </c>
      <c r="AD511" s="3">
        <v>1778195</v>
      </c>
      <c r="AE511" s="3">
        <v>1772952</v>
      </c>
      <c r="AF511" s="3">
        <v>2428787</v>
      </c>
      <c r="AG511" s="3">
        <v>1515836</v>
      </c>
      <c r="AH511" s="2">
        <v>3.93</v>
      </c>
      <c r="AI511" s="5">
        <v>2.42</v>
      </c>
    </row>
    <row r="512" spans="1:35" x14ac:dyDescent="0.3">
      <c r="A512" s="4" t="str">
        <f>"580208"</f>
        <v>580208</v>
      </c>
      <c r="B512" s="2" t="s">
        <v>508</v>
      </c>
      <c r="C512" s="3">
        <v>75713895</v>
      </c>
      <c r="D512" s="3">
        <v>76520451</v>
      </c>
      <c r="E512" s="2">
        <v>1.07</v>
      </c>
      <c r="F512" s="3">
        <v>47616059</v>
      </c>
      <c r="G512" s="3">
        <v>48769567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47616059</v>
      </c>
      <c r="O512" s="3">
        <v>48769567</v>
      </c>
      <c r="P512" s="2">
        <v>2.42</v>
      </c>
      <c r="Q512" s="3">
        <v>604114</v>
      </c>
      <c r="R512" s="3">
        <v>1107073</v>
      </c>
      <c r="S512" s="3">
        <v>47011945</v>
      </c>
      <c r="T512" s="3">
        <v>47662494</v>
      </c>
      <c r="U512" s="3">
        <v>47011945</v>
      </c>
      <c r="V512" s="3">
        <v>47662494</v>
      </c>
      <c r="W512" s="3">
        <v>0</v>
      </c>
      <c r="X512" s="3">
        <v>0</v>
      </c>
      <c r="Y512" s="2">
        <v>2507</v>
      </c>
      <c r="Z512" s="2">
        <v>2452</v>
      </c>
      <c r="AA512" s="2">
        <v>-2.19</v>
      </c>
      <c r="AB512" s="3">
        <v>8153725</v>
      </c>
      <c r="AC512" s="3">
        <v>6785443</v>
      </c>
      <c r="AD512" s="3">
        <v>2659418</v>
      </c>
      <c r="AE512" s="3">
        <v>2655101</v>
      </c>
      <c r="AF512" s="3">
        <v>3022952</v>
      </c>
      <c r="AG512" s="3">
        <v>3060818</v>
      </c>
      <c r="AH512" s="2">
        <v>3.99</v>
      </c>
      <c r="AI512" s="5">
        <v>4</v>
      </c>
    </row>
    <row r="513" spans="1:35" x14ac:dyDescent="0.3">
      <c r="A513" s="4" t="str">
        <f>"580209"</f>
        <v>580209</v>
      </c>
      <c r="B513" s="2" t="s">
        <v>509</v>
      </c>
      <c r="C513" s="3">
        <v>84586600</v>
      </c>
      <c r="D513" s="3">
        <v>85692726</v>
      </c>
      <c r="E513" s="2">
        <v>1.31</v>
      </c>
      <c r="F513" s="3">
        <v>52483059</v>
      </c>
      <c r="G513" s="3">
        <v>52483059</v>
      </c>
      <c r="H513" s="3"/>
      <c r="I513" s="3"/>
      <c r="J513" s="3"/>
      <c r="K513" s="3"/>
      <c r="L513" s="3"/>
      <c r="M513" s="3"/>
      <c r="N513" s="3">
        <v>52483059</v>
      </c>
      <c r="O513" s="3">
        <v>52483059</v>
      </c>
      <c r="P513" s="2">
        <v>0</v>
      </c>
      <c r="Q513" s="3">
        <v>445584</v>
      </c>
      <c r="R513" s="3">
        <v>156089</v>
      </c>
      <c r="S513" s="3">
        <v>52037475</v>
      </c>
      <c r="T513" s="3">
        <v>52795092</v>
      </c>
      <c r="U513" s="3">
        <v>52037475</v>
      </c>
      <c r="V513" s="3">
        <v>52326970</v>
      </c>
      <c r="W513" s="3">
        <v>0</v>
      </c>
      <c r="X513" s="3">
        <v>468122</v>
      </c>
      <c r="Y513" s="2">
        <v>2912</v>
      </c>
      <c r="Z513" s="2">
        <v>2830</v>
      </c>
      <c r="AA513" s="2">
        <v>-2.82</v>
      </c>
      <c r="AB513" s="3">
        <v>13076258</v>
      </c>
      <c r="AC513" s="3">
        <v>12706808</v>
      </c>
      <c r="AD513" s="3">
        <v>3277377</v>
      </c>
      <c r="AE513" s="3">
        <v>2733249</v>
      </c>
      <c r="AF513" s="3">
        <v>4062282</v>
      </c>
      <c r="AG513" s="3">
        <v>3427709</v>
      </c>
      <c r="AH513" s="2">
        <v>4.8</v>
      </c>
      <c r="AI513" s="5">
        <v>4</v>
      </c>
    </row>
    <row r="514" spans="1:35" x14ac:dyDescent="0.3">
      <c r="A514" s="4" t="str">
        <f>"580211"</f>
        <v>580211</v>
      </c>
      <c r="B514" s="2" t="s">
        <v>510</v>
      </c>
      <c r="C514" s="3">
        <v>265011296</v>
      </c>
      <c r="D514" s="3">
        <v>269080958</v>
      </c>
      <c r="E514" s="2">
        <v>1.54</v>
      </c>
      <c r="F514" s="3">
        <v>147700000</v>
      </c>
      <c r="G514" s="3">
        <v>149005977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147700000</v>
      </c>
      <c r="O514" s="3">
        <v>149005977</v>
      </c>
      <c r="P514" s="2">
        <v>0.88</v>
      </c>
      <c r="Q514" s="3">
        <v>9644205</v>
      </c>
      <c r="R514" s="3">
        <v>8920301</v>
      </c>
      <c r="S514" s="3">
        <v>138140077</v>
      </c>
      <c r="T514" s="3">
        <v>140085676</v>
      </c>
      <c r="U514" s="3">
        <v>138055795</v>
      </c>
      <c r="V514" s="3">
        <v>140085676</v>
      </c>
      <c r="W514" s="3">
        <v>84282</v>
      </c>
      <c r="X514" s="3">
        <v>0</v>
      </c>
      <c r="Y514" s="2">
        <v>9382</v>
      </c>
      <c r="Z514" s="2">
        <v>9472</v>
      </c>
      <c r="AA514" s="2">
        <v>0.96</v>
      </c>
      <c r="AB514" s="3">
        <v>27496021</v>
      </c>
      <c r="AC514" s="3">
        <v>20396021</v>
      </c>
      <c r="AD514" s="3">
        <v>3385778</v>
      </c>
      <c r="AE514" s="3">
        <v>3400000</v>
      </c>
      <c r="AF514" s="3">
        <v>9346026</v>
      </c>
      <c r="AG514" s="3">
        <v>9346026</v>
      </c>
      <c r="AH514" s="2">
        <v>3.53</v>
      </c>
      <c r="AI514" s="5">
        <v>3.47</v>
      </c>
    </row>
    <row r="515" spans="1:35" x14ac:dyDescent="0.3">
      <c r="A515" s="4" t="str">
        <f>"580212"</f>
        <v>580212</v>
      </c>
      <c r="B515" s="2" t="s">
        <v>511</v>
      </c>
      <c r="C515" s="3">
        <v>255600000</v>
      </c>
      <c r="D515" s="3">
        <v>263000000</v>
      </c>
      <c r="E515" s="2">
        <v>2.9</v>
      </c>
      <c r="F515" s="3">
        <v>149714213</v>
      </c>
      <c r="G515" s="3">
        <v>154136252</v>
      </c>
      <c r="H515" s="3"/>
      <c r="I515" s="3"/>
      <c r="J515" s="3"/>
      <c r="K515" s="3"/>
      <c r="L515" s="3"/>
      <c r="M515" s="3"/>
      <c r="N515" s="3">
        <v>149714213</v>
      </c>
      <c r="O515" s="3">
        <v>154136252</v>
      </c>
      <c r="P515" s="2">
        <v>2.95</v>
      </c>
      <c r="Q515" s="3">
        <v>4308067</v>
      </c>
      <c r="R515" s="3">
        <v>6637531</v>
      </c>
      <c r="S515" s="3">
        <v>145406146</v>
      </c>
      <c r="T515" s="3">
        <v>147498721</v>
      </c>
      <c r="U515" s="3">
        <v>145406146</v>
      </c>
      <c r="V515" s="3">
        <v>147498721</v>
      </c>
      <c r="W515" s="3">
        <v>0</v>
      </c>
      <c r="X515" s="3">
        <v>0</v>
      </c>
      <c r="Y515" s="2">
        <v>9400</v>
      </c>
      <c r="Z515" s="2">
        <v>9100</v>
      </c>
      <c r="AA515" s="2">
        <v>-3.19</v>
      </c>
      <c r="AB515" s="3">
        <v>23961811</v>
      </c>
      <c r="AC515" s="3">
        <v>38435666</v>
      </c>
      <c r="AD515" s="3">
        <v>6000000</v>
      </c>
      <c r="AE515" s="3">
        <v>5400000</v>
      </c>
      <c r="AF515" s="3">
        <v>22191887</v>
      </c>
      <c r="AG515" s="3">
        <v>10520000</v>
      </c>
      <c r="AH515" s="2">
        <v>8.68</v>
      </c>
      <c r="AI515" s="5">
        <v>4</v>
      </c>
    </row>
    <row r="516" spans="1:35" x14ac:dyDescent="0.3">
      <c r="A516" s="4" t="str">
        <f>"580224"</f>
        <v>580224</v>
      </c>
      <c r="B516" s="2" t="s">
        <v>512</v>
      </c>
      <c r="C516" s="3">
        <v>195172581</v>
      </c>
      <c r="D516" s="3">
        <v>198935170</v>
      </c>
      <c r="E516" s="2">
        <v>1.93</v>
      </c>
      <c r="F516" s="3">
        <v>116159331</v>
      </c>
      <c r="G516" s="3">
        <v>119129254</v>
      </c>
      <c r="H516" s="3"/>
      <c r="I516" s="3"/>
      <c r="J516" s="3"/>
      <c r="K516" s="3"/>
      <c r="L516" s="3">
        <v>2</v>
      </c>
      <c r="M516" s="3"/>
      <c r="N516" s="3">
        <v>116159329</v>
      </c>
      <c r="O516" s="3">
        <v>119129254</v>
      </c>
      <c r="P516" s="2">
        <v>2.56</v>
      </c>
      <c r="Q516" s="3">
        <v>2841006</v>
      </c>
      <c r="R516" s="3">
        <v>3719685</v>
      </c>
      <c r="S516" s="3">
        <v>113318325</v>
      </c>
      <c r="T516" s="3">
        <v>115409569</v>
      </c>
      <c r="U516" s="3">
        <v>113318325</v>
      </c>
      <c r="V516" s="3">
        <v>115409569</v>
      </c>
      <c r="W516" s="3">
        <v>0</v>
      </c>
      <c r="X516" s="3">
        <v>0</v>
      </c>
      <c r="Y516" s="2">
        <v>7325</v>
      </c>
      <c r="Z516" s="2">
        <v>7231</v>
      </c>
      <c r="AA516" s="2">
        <v>-1.28</v>
      </c>
      <c r="AB516" s="3">
        <v>17740615</v>
      </c>
      <c r="AC516" s="3">
        <v>19610262</v>
      </c>
      <c r="AD516" s="3">
        <v>0</v>
      </c>
      <c r="AE516" s="3">
        <v>0</v>
      </c>
      <c r="AF516" s="3">
        <v>6836316</v>
      </c>
      <c r="AG516" s="3">
        <v>7936501</v>
      </c>
      <c r="AH516" s="2">
        <v>3.5</v>
      </c>
      <c r="AI516" s="5">
        <v>3.99</v>
      </c>
    </row>
    <row r="517" spans="1:35" x14ac:dyDescent="0.3">
      <c r="A517" s="4" t="str">
        <f>"580232"</f>
        <v>580232</v>
      </c>
      <c r="B517" s="2" t="s">
        <v>513</v>
      </c>
      <c r="C517" s="3">
        <v>245606611</v>
      </c>
      <c r="D517" s="3">
        <v>251311607</v>
      </c>
      <c r="E517" s="2">
        <v>2.3199999999999998</v>
      </c>
      <c r="F517" s="3">
        <v>102888275</v>
      </c>
      <c r="G517" s="3">
        <v>102888275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102888275</v>
      </c>
      <c r="O517" s="3">
        <v>102888275</v>
      </c>
      <c r="P517" s="2">
        <v>0</v>
      </c>
      <c r="Q517" s="3">
        <v>0</v>
      </c>
      <c r="R517" s="3">
        <v>0</v>
      </c>
      <c r="S517" s="3">
        <v>104902049</v>
      </c>
      <c r="T517" s="3">
        <v>105882753</v>
      </c>
      <c r="U517" s="3">
        <v>102888275</v>
      </c>
      <c r="V517" s="3">
        <v>102888275</v>
      </c>
      <c r="W517" s="3">
        <v>2013774</v>
      </c>
      <c r="X517" s="3">
        <v>2994478</v>
      </c>
      <c r="Y517" s="2">
        <v>8920</v>
      </c>
      <c r="Z517" s="2">
        <v>8941</v>
      </c>
      <c r="AA517" s="2">
        <v>0.24</v>
      </c>
      <c r="AB517" s="3">
        <v>29913546</v>
      </c>
      <c r="AC517" s="3">
        <v>35173021</v>
      </c>
      <c r="AD517" s="3">
        <v>10260000</v>
      </c>
      <c r="AE517" s="3">
        <v>1500000</v>
      </c>
      <c r="AF517" s="3">
        <v>9722175</v>
      </c>
      <c r="AG517" s="3">
        <v>10052460</v>
      </c>
      <c r="AH517" s="2">
        <v>3.96</v>
      </c>
      <c r="AI517" s="5">
        <v>4</v>
      </c>
    </row>
    <row r="518" spans="1:35" x14ac:dyDescent="0.3">
      <c r="A518" s="4" t="str">
        <f>"580233"</f>
        <v>580233</v>
      </c>
      <c r="B518" s="2" t="s">
        <v>514</v>
      </c>
      <c r="C518" s="3">
        <v>44511736</v>
      </c>
      <c r="D518" s="3">
        <v>44301233</v>
      </c>
      <c r="E518" s="2">
        <v>-0.47</v>
      </c>
      <c r="F518" s="3">
        <v>24303942</v>
      </c>
      <c r="G518" s="3">
        <v>24566008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24303942</v>
      </c>
      <c r="O518" s="3">
        <v>24566008</v>
      </c>
      <c r="P518" s="2">
        <v>1.08</v>
      </c>
      <c r="Q518" s="3">
        <v>1013002</v>
      </c>
      <c r="R518" s="3">
        <v>612166</v>
      </c>
      <c r="S518" s="3">
        <v>23290940</v>
      </c>
      <c r="T518" s="3">
        <v>23953842</v>
      </c>
      <c r="U518" s="3">
        <v>23290940</v>
      </c>
      <c r="V518" s="3">
        <v>23953842</v>
      </c>
      <c r="W518" s="3">
        <v>0</v>
      </c>
      <c r="X518" s="3">
        <v>0</v>
      </c>
      <c r="Y518" s="2">
        <v>1502</v>
      </c>
      <c r="Z518" s="2">
        <v>1479</v>
      </c>
      <c r="AA518" s="2">
        <v>-1.53</v>
      </c>
      <c r="AB518" s="3">
        <v>4145098</v>
      </c>
      <c r="AC518" s="3">
        <v>4394188</v>
      </c>
      <c r="AD518" s="3">
        <v>1198004</v>
      </c>
      <c r="AE518" s="3">
        <v>1048004</v>
      </c>
      <c r="AF518" s="3">
        <v>1780469</v>
      </c>
      <c r="AG518" s="3">
        <v>1767811</v>
      </c>
      <c r="AH518" s="2">
        <v>4</v>
      </c>
      <c r="AI518" s="5">
        <v>3.99</v>
      </c>
    </row>
    <row r="519" spans="1:35" x14ac:dyDescent="0.3">
      <c r="A519" s="4" t="str">
        <f>"580234"</f>
        <v>580234</v>
      </c>
      <c r="B519" s="2" t="s">
        <v>515</v>
      </c>
      <c r="C519" s="3">
        <v>29365342</v>
      </c>
      <c r="D519" s="3">
        <v>29519101</v>
      </c>
      <c r="E519" s="2">
        <v>0.52</v>
      </c>
      <c r="F519" s="3">
        <v>21627511</v>
      </c>
      <c r="G519" s="3">
        <v>21581202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21627511</v>
      </c>
      <c r="O519" s="3">
        <v>21581202</v>
      </c>
      <c r="P519" s="2">
        <v>-0.21</v>
      </c>
      <c r="Q519" s="3">
        <v>607518</v>
      </c>
      <c r="R519" s="3">
        <v>518753</v>
      </c>
      <c r="S519" s="3">
        <v>21019993</v>
      </c>
      <c r="T519" s="3">
        <v>21062449</v>
      </c>
      <c r="U519" s="3">
        <v>21019993</v>
      </c>
      <c r="V519" s="3">
        <v>21062449</v>
      </c>
      <c r="W519" s="3">
        <v>0</v>
      </c>
      <c r="X519" s="3">
        <v>0</v>
      </c>
      <c r="Y519" s="2">
        <v>1054</v>
      </c>
      <c r="Z519" s="2">
        <v>1048</v>
      </c>
      <c r="AA519" s="2">
        <v>-0.56999999999999995</v>
      </c>
      <c r="AB519" s="3">
        <v>3615298</v>
      </c>
      <c r="AC519" s="3">
        <v>5115298</v>
      </c>
      <c r="AD519" s="3">
        <v>0</v>
      </c>
      <c r="AE519" s="3">
        <v>0</v>
      </c>
      <c r="AF519" s="3">
        <v>5071404</v>
      </c>
      <c r="AG519" s="3">
        <v>3825711</v>
      </c>
      <c r="AH519" s="2">
        <v>17.27</v>
      </c>
      <c r="AI519" s="5">
        <v>12.96</v>
      </c>
    </row>
    <row r="520" spans="1:35" x14ac:dyDescent="0.3">
      <c r="A520" s="4" t="str">
        <f>"580235"</f>
        <v>580235</v>
      </c>
      <c r="B520" s="2" t="s">
        <v>516</v>
      </c>
      <c r="C520" s="3">
        <v>138330713</v>
      </c>
      <c r="D520" s="3">
        <v>145451282</v>
      </c>
      <c r="E520" s="2">
        <v>5.15</v>
      </c>
      <c r="F520" s="3">
        <v>63555904</v>
      </c>
      <c r="G520" s="3">
        <v>64349842</v>
      </c>
      <c r="H520" s="3"/>
      <c r="I520" s="3"/>
      <c r="J520" s="3"/>
      <c r="K520" s="3"/>
      <c r="L520" s="3"/>
      <c r="M520" s="3"/>
      <c r="N520" s="3">
        <v>63555904</v>
      </c>
      <c r="O520" s="3">
        <v>64349842</v>
      </c>
      <c r="P520" s="2">
        <v>1.25</v>
      </c>
      <c r="Q520" s="3">
        <v>134886</v>
      </c>
      <c r="R520" s="3">
        <v>0</v>
      </c>
      <c r="S520" s="3">
        <v>63421018</v>
      </c>
      <c r="T520" s="3">
        <v>64349842</v>
      </c>
      <c r="U520" s="3">
        <v>63421018</v>
      </c>
      <c r="V520" s="3">
        <v>64349842</v>
      </c>
      <c r="W520" s="3">
        <v>0</v>
      </c>
      <c r="X520" s="3">
        <v>0</v>
      </c>
      <c r="Y520" s="2">
        <v>4220</v>
      </c>
      <c r="Z520" s="2">
        <v>4161</v>
      </c>
      <c r="AA520" s="2">
        <v>-1.4</v>
      </c>
      <c r="AB520" s="3">
        <v>18047505</v>
      </c>
      <c r="AC520" s="3">
        <v>19118029</v>
      </c>
      <c r="AD520" s="3">
        <v>4000000</v>
      </c>
      <c r="AE520" s="3">
        <v>4000000</v>
      </c>
      <c r="AF520" s="3">
        <v>5533226</v>
      </c>
      <c r="AG520" s="3">
        <v>5818051</v>
      </c>
      <c r="AH520" s="2">
        <v>4</v>
      </c>
      <c r="AI520" s="5">
        <v>4</v>
      </c>
    </row>
    <row r="521" spans="1:35" x14ac:dyDescent="0.3">
      <c r="A521" s="4" t="str">
        <f>"580301"</f>
        <v>580301</v>
      </c>
      <c r="B521" s="2" t="s">
        <v>517</v>
      </c>
      <c r="C521" s="3">
        <v>71979573</v>
      </c>
      <c r="D521" s="3">
        <v>75157245</v>
      </c>
      <c r="E521" s="2">
        <v>4.41</v>
      </c>
      <c r="F521" s="3">
        <v>53153720</v>
      </c>
      <c r="G521" s="3">
        <v>54679935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53153720</v>
      </c>
      <c r="O521" s="3">
        <v>54679935</v>
      </c>
      <c r="P521" s="2">
        <v>2.87</v>
      </c>
      <c r="Q521" s="3">
        <v>5812513</v>
      </c>
      <c r="R521" s="3">
        <v>6499481</v>
      </c>
      <c r="S521" s="3">
        <v>47341207</v>
      </c>
      <c r="T521" s="3">
        <v>48180468</v>
      </c>
      <c r="U521" s="3">
        <v>47341207</v>
      </c>
      <c r="V521" s="3">
        <v>48180454</v>
      </c>
      <c r="W521" s="3">
        <v>0</v>
      </c>
      <c r="X521" s="3">
        <v>14</v>
      </c>
      <c r="Y521" s="2">
        <v>1780</v>
      </c>
      <c r="Z521" s="2">
        <v>1850</v>
      </c>
      <c r="AA521" s="2">
        <v>3.93</v>
      </c>
      <c r="AB521" s="3">
        <v>15510138</v>
      </c>
      <c r="AC521" s="3">
        <v>15510138</v>
      </c>
      <c r="AD521" s="3">
        <v>400000</v>
      </c>
      <c r="AE521" s="3">
        <v>300000</v>
      </c>
      <c r="AF521" s="3">
        <v>3387235</v>
      </c>
      <c r="AG521" s="3">
        <v>3387500</v>
      </c>
      <c r="AH521" s="2">
        <v>4.71</v>
      </c>
      <c r="AI521" s="5">
        <v>4.51</v>
      </c>
    </row>
    <row r="522" spans="1:35" x14ac:dyDescent="0.3">
      <c r="A522" s="4" t="str">
        <f>"580303"</f>
        <v>580303</v>
      </c>
      <c r="B522" s="2" t="s">
        <v>518</v>
      </c>
      <c r="C522" s="3">
        <v>11374547</v>
      </c>
      <c r="D522" s="3">
        <v>11909189</v>
      </c>
      <c r="E522" s="2">
        <v>4.7</v>
      </c>
      <c r="F522" s="3">
        <v>10126580</v>
      </c>
      <c r="G522" s="3">
        <v>10459242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10126580</v>
      </c>
      <c r="O522" s="3">
        <v>10459242</v>
      </c>
      <c r="P522" s="2">
        <v>3.29</v>
      </c>
      <c r="Q522" s="3">
        <v>0</v>
      </c>
      <c r="R522" s="3">
        <v>0</v>
      </c>
      <c r="S522" s="3">
        <v>10126580</v>
      </c>
      <c r="T522" s="3">
        <v>10459242</v>
      </c>
      <c r="U522" s="3">
        <v>10126580</v>
      </c>
      <c r="V522" s="3">
        <v>10459242</v>
      </c>
      <c r="W522" s="3">
        <v>0</v>
      </c>
      <c r="X522" s="3">
        <v>0</v>
      </c>
      <c r="Y522" s="2">
        <v>134</v>
      </c>
      <c r="Z522" s="2">
        <v>202</v>
      </c>
      <c r="AA522" s="2">
        <v>50.75</v>
      </c>
      <c r="AB522" s="3">
        <v>2329836</v>
      </c>
      <c r="AC522" s="3">
        <v>2964874</v>
      </c>
      <c r="AD522" s="3">
        <v>666701</v>
      </c>
      <c r="AE522" s="3">
        <v>839760</v>
      </c>
      <c r="AF522" s="3">
        <v>1300377</v>
      </c>
      <c r="AG522" s="3">
        <v>831105</v>
      </c>
      <c r="AH522" s="2">
        <v>11.43</v>
      </c>
      <c r="AI522" s="5">
        <v>6.98</v>
      </c>
    </row>
    <row r="523" spans="1:35" x14ac:dyDescent="0.3">
      <c r="A523" s="4" t="str">
        <f>"580304"</f>
        <v>580304</v>
      </c>
      <c r="B523" s="2" t="s">
        <v>519</v>
      </c>
      <c r="C523" s="3">
        <v>30049430</v>
      </c>
      <c r="D523" s="3">
        <v>30800134</v>
      </c>
      <c r="E523" s="2">
        <v>2.5</v>
      </c>
      <c r="F523" s="3">
        <v>27033579</v>
      </c>
      <c r="G523" s="3">
        <v>27589156</v>
      </c>
      <c r="H523" s="3"/>
      <c r="I523" s="3"/>
      <c r="J523" s="3"/>
      <c r="K523" s="3"/>
      <c r="L523" s="3"/>
      <c r="M523" s="3"/>
      <c r="N523" s="3">
        <v>27033579</v>
      </c>
      <c r="O523" s="3">
        <v>27589156</v>
      </c>
      <c r="P523" s="2">
        <v>2.06</v>
      </c>
      <c r="Q523" s="3">
        <v>489029</v>
      </c>
      <c r="R523" s="3">
        <v>860377</v>
      </c>
      <c r="S523" s="3">
        <v>26544550</v>
      </c>
      <c r="T523" s="3">
        <v>26728779</v>
      </c>
      <c r="U523" s="3">
        <v>26544550</v>
      </c>
      <c r="V523" s="3">
        <v>26728779</v>
      </c>
      <c r="W523" s="3">
        <v>0</v>
      </c>
      <c r="X523" s="3">
        <v>0</v>
      </c>
      <c r="Y523" s="2">
        <v>1081</v>
      </c>
      <c r="Z523" s="2">
        <v>1068</v>
      </c>
      <c r="AA523" s="2">
        <v>-1.2</v>
      </c>
      <c r="AB523" s="3">
        <v>3830691</v>
      </c>
      <c r="AC523" s="3">
        <v>3854615</v>
      </c>
      <c r="AD523" s="3">
        <v>1031165</v>
      </c>
      <c r="AE523" s="3">
        <v>935962</v>
      </c>
      <c r="AF523" s="3">
        <v>1201977</v>
      </c>
      <c r="AG523" s="3">
        <v>1232005</v>
      </c>
      <c r="AH523" s="2">
        <v>4</v>
      </c>
      <c r="AI523" s="5">
        <v>4</v>
      </c>
    </row>
    <row r="524" spans="1:35" x14ac:dyDescent="0.3">
      <c r="A524" s="4" t="str">
        <f>"580305"</f>
        <v>580305</v>
      </c>
      <c r="B524" s="2" t="s">
        <v>520</v>
      </c>
      <c r="C524" s="3">
        <v>44332423</v>
      </c>
      <c r="D524" s="3">
        <v>44871539</v>
      </c>
      <c r="E524" s="2">
        <v>1.22</v>
      </c>
      <c r="F524" s="3">
        <v>39737613</v>
      </c>
      <c r="G524" s="3">
        <v>40325730</v>
      </c>
      <c r="H524" s="3"/>
      <c r="I524" s="3"/>
      <c r="J524" s="3"/>
      <c r="K524" s="3"/>
      <c r="L524" s="3"/>
      <c r="M524" s="3"/>
      <c r="N524" s="3">
        <v>39737613</v>
      </c>
      <c r="O524" s="3">
        <v>40325730</v>
      </c>
      <c r="P524" s="2">
        <v>1.48</v>
      </c>
      <c r="Q524" s="3">
        <v>1971966</v>
      </c>
      <c r="R524" s="3">
        <v>1684360</v>
      </c>
      <c r="S524" s="3">
        <v>37904546</v>
      </c>
      <c r="T524" s="3">
        <v>38646606</v>
      </c>
      <c r="U524" s="3">
        <v>37765647</v>
      </c>
      <c r="V524" s="3">
        <v>38641370</v>
      </c>
      <c r="W524" s="3">
        <v>138899</v>
      </c>
      <c r="X524" s="3">
        <v>5236</v>
      </c>
      <c r="Y524" s="2">
        <v>965</v>
      </c>
      <c r="Z524" s="2">
        <v>938</v>
      </c>
      <c r="AA524" s="2">
        <v>-2.8</v>
      </c>
      <c r="AB524" s="3">
        <v>11426921</v>
      </c>
      <c r="AC524" s="3">
        <v>13318577</v>
      </c>
      <c r="AD524" s="3">
        <v>1591783</v>
      </c>
      <c r="AE524" s="3">
        <v>981045</v>
      </c>
      <c r="AF524" s="3">
        <v>1773297</v>
      </c>
      <c r="AG524" s="3">
        <v>1794862</v>
      </c>
      <c r="AH524" s="2">
        <v>4</v>
      </c>
      <c r="AI524" s="5">
        <v>4</v>
      </c>
    </row>
    <row r="525" spans="1:35" x14ac:dyDescent="0.3">
      <c r="A525" s="4" t="str">
        <f>"580306"</f>
        <v>580306</v>
      </c>
      <c r="B525" s="2" t="s">
        <v>521</v>
      </c>
      <c r="C525" s="3">
        <v>20867053</v>
      </c>
      <c r="D525" s="3">
        <v>20589548</v>
      </c>
      <c r="E525" s="2">
        <v>-1.33</v>
      </c>
      <c r="F525" s="3">
        <v>16595394</v>
      </c>
      <c r="G525" s="3">
        <v>16693335</v>
      </c>
      <c r="H525" s="3"/>
      <c r="I525" s="3"/>
      <c r="J525" s="3"/>
      <c r="K525" s="3"/>
      <c r="L525" s="3"/>
      <c r="M525" s="3"/>
      <c r="N525" s="3">
        <v>16595394</v>
      </c>
      <c r="O525" s="3">
        <v>16693335</v>
      </c>
      <c r="P525" s="2">
        <v>0.59</v>
      </c>
      <c r="Q525" s="3">
        <v>49619</v>
      </c>
      <c r="R525" s="3">
        <v>43952</v>
      </c>
      <c r="S525" s="3">
        <v>17029568</v>
      </c>
      <c r="T525" s="3">
        <v>17310648</v>
      </c>
      <c r="U525" s="3">
        <v>16545775</v>
      </c>
      <c r="V525" s="3">
        <v>16649383</v>
      </c>
      <c r="W525" s="3">
        <v>483793</v>
      </c>
      <c r="X525" s="3">
        <v>661265</v>
      </c>
      <c r="Y525" s="2">
        <v>330</v>
      </c>
      <c r="Z525" s="2">
        <v>340</v>
      </c>
      <c r="AA525" s="2">
        <v>3.03</v>
      </c>
      <c r="AB525" s="3">
        <v>4292357</v>
      </c>
      <c r="AC525" s="3">
        <v>3071127</v>
      </c>
      <c r="AD525" s="3">
        <v>3457674</v>
      </c>
      <c r="AE525" s="3">
        <v>2551025</v>
      </c>
      <c r="AF525" s="3">
        <v>834682</v>
      </c>
      <c r="AG525" s="3">
        <v>823582</v>
      </c>
      <c r="AH525" s="2">
        <v>4</v>
      </c>
      <c r="AI525" s="5">
        <v>4</v>
      </c>
    </row>
    <row r="526" spans="1:35" x14ac:dyDescent="0.3">
      <c r="A526" s="4" t="str">
        <f>"580401"</f>
        <v>580401</v>
      </c>
      <c r="B526" s="2" t="s">
        <v>522</v>
      </c>
      <c r="C526" s="3">
        <v>64443174</v>
      </c>
      <c r="D526" s="3">
        <v>66913549</v>
      </c>
      <c r="E526" s="2">
        <v>3.83</v>
      </c>
      <c r="F526" s="3">
        <v>48475302</v>
      </c>
      <c r="G526" s="3">
        <v>49656325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48475302</v>
      </c>
      <c r="O526" s="3">
        <v>49656325</v>
      </c>
      <c r="P526" s="2">
        <v>2.44</v>
      </c>
      <c r="Q526" s="3">
        <v>3156709</v>
      </c>
      <c r="R526" s="3">
        <v>3232061</v>
      </c>
      <c r="S526" s="3">
        <v>46843335</v>
      </c>
      <c r="T526" s="3">
        <v>46424264</v>
      </c>
      <c r="U526" s="3">
        <v>45318593</v>
      </c>
      <c r="V526" s="3">
        <v>46424264</v>
      </c>
      <c r="W526" s="3">
        <v>1524742</v>
      </c>
      <c r="X526" s="3">
        <v>0</v>
      </c>
      <c r="Y526" s="2">
        <v>2000</v>
      </c>
      <c r="Z526" s="2">
        <v>1990</v>
      </c>
      <c r="AA526" s="2">
        <v>-0.5</v>
      </c>
      <c r="AB526" s="3">
        <v>4931446</v>
      </c>
      <c r="AC526" s="3">
        <v>5006346</v>
      </c>
      <c r="AD526" s="3">
        <v>1541536</v>
      </c>
      <c r="AE526" s="3">
        <v>1526166</v>
      </c>
      <c r="AF526" s="3">
        <v>2988072</v>
      </c>
      <c r="AG526" s="3">
        <v>2676543</v>
      </c>
      <c r="AH526" s="2">
        <v>4.6399999999999997</v>
      </c>
      <c r="AI526" s="5">
        <v>4</v>
      </c>
    </row>
    <row r="527" spans="1:35" x14ac:dyDescent="0.3">
      <c r="A527" s="4" t="str">
        <f>"580402"</f>
        <v>580402</v>
      </c>
      <c r="B527" s="2" t="s">
        <v>523</v>
      </c>
      <c r="C527" s="3">
        <v>71092749</v>
      </c>
      <c r="D527" s="3">
        <v>72017418</v>
      </c>
      <c r="E527" s="2">
        <v>1.3</v>
      </c>
      <c r="F527" s="3">
        <v>65819125</v>
      </c>
      <c r="G527" s="3">
        <v>66475936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65819125</v>
      </c>
      <c r="O527" s="3">
        <v>66475936</v>
      </c>
      <c r="P527" s="2">
        <v>1</v>
      </c>
      <c r="Q527" s="3">
        <v>3668003</v>
      </c>
      <c r="R527" s="3">
        <v>3300890</v>
      </c>
      <c r="S527" s="3">
        <v>63189729</v>
      </c>
      <c r="T527" s="3">
        <v>63175046</v>
      </c>
      <c r="U527" s="3">
        <v>62151122</v>
      </c>
      <c r="V527" s="3">
        <v>63175046</v>
      </c>
      <c r="W527" s="3">
        <v>1038607</v>
      </c>
      <c r="X527" s="3">
        <v>0</v>
      </c>
      <c r="Y527" s="2">
        <v>1593</v>
      </c>
      <c r="Z527" s="2">
        <v>1565</v>
      </c>
      <c r="AA527" s="2">
        <v>-1.76</v>
      </c>
      <c r="AB527" s="3">
        <v>15829498</v>
      </c>
      <c r="AC527" s="3">
        <v>17889498</v>
      </c>
      <c r="AD527" s="3">
        <v>3089058</v>
      </c>
      <c r="AE527" s="3">
        <v>720000</v>
      </c>
      <c r="AF527" s="3">
        <v>4265561</v>
      </c>
      <c r="AG527" s="3">
        <v>2880697</v>
      </c>
      <c r="AH527" s="2">
        <v>6</v>
      </c>
      <c r="AI527" s="5">
        <v>4</v>
      </c>
    </row>
    <row r="528" spans="1:35" x14ac:dyDescent="0.3">
      <c r="A528" s="4" t="str">
        <f>"580403"</f>
        <v>580403</v>
      </c>
      <c r="B528" s="2" t="s">
        <v>524</v>
      </c>
      <c r="C528" s="3">
        <v>135938167</v>
      </c>
      <c r="D528" s="3">
        <v>139315854</v>
      </c>
      <c r="E528" s="2">
        <v>2.48</v>
      </c>
      <c r="F528" s="3">
        <v>112350000</v>
      </c>
      <c r="G528" s="3">
        <v>112718438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112350000</v>
      </c>
      <c r="O528" s="3">
        <v>112718438</v>
      </c>
      <c r="P528" s="2">
        <v>0.33</v>
      </c>
      <c r="Q528" s="3">
        <v>97812</v>
      </c>
      <c r="R528" s="3">
        <v>92810</v>
      </c>
      <c r="S528" s="3">
        <v>112718437</v>
      </c>
      <c r="T528" s="3">
        <v>114341028</v>
      </c>
      <c r="U528" s="3">
        <v>112252188</v>
      </c>
      <c r="V528" s="3">
        <v>112625628</v>
      </c>
      <c r="W528" s="3">
        <v>466249</v>
      </c>
      <c r="X528" s="3">
        <v>1715400</v>
      </c>
      <c r="Y528" s="2">
        <v>4930</v>
      </c>
      <c r="Z528" s="2">
        <v>4840</v>
      </c>
      <c r="AA528" s="2">
        <v>-1.83</v>
      </c>
      <c r="AB528" s="3">
        <v>23172078</v>
      </c>
      <c r="AC528" s="3">
        <v>28434724</v>
      </c>
      <c r="AD528" s="3">
        <v>2000000</v>
      </c>
      <c r="AE528" s="3">
        <v>1600000</v>
      </c>
      <c r="AF528" s="3">
        <v>5437527</v>
      </c>
      <c r="AG528" s="3">
        <v>5572634</v>
      </c>
      <c r="AH528" s="2">
        <v>4</v>
      </c>
      <c r="AI528" s="5">
        <v>4</v>
      </c>
    </row>
    <row r="529" spans="1:35" x14ac:dyDescent="0.3">
      <c r="A529" s="4" t="str">
        <f>"580404"</f>
        <v>580404</v>
      </c>
      <c r="B529" s="2" t="s">
        <v>525</v>
      </c>
      <c r="C529" s="3">
        <v>172752759</v>
      </c>
      <c r="D529" s="3">
        <v>174704748</v>
      </c>
      <c r="E529" s="2">
        <v>1.1299999999999999</v>
      </c>
      <c r="F529" s="3">
        <v>149717642</v>
      </c>
      <c r="G529" s="3">
        <v>150843867</v>
      </c>
      <c r="H529" s="3"/>
      <c r="I529" s="3"/>
      <c r="J529" s="3"/>
      <c r="K529" s="3"/>
      <c r="L529" s="3"/>
      <c r="M529" s="3"/>
      <c r="N529" s="3">
        <v>149717642</v>
      </c>
      <c r="O529" s="3">
        <v>150843867</v>
      </c>
      <c r="P529" s="2">
        <v>0.75</v>
      </c>
      <c r="Q529" s="3">
        <v>3626639</v>
      </c>
      <c r="R529" s="3">
        <v>4171296</v>
      </c>
      <c r="S529" s="3">
        <v>147601420</v>
      </c>
      <c r="T529" s="3">
        <v>148054637</v>
      </c>
      <c r="U529" s="3">
        <v>146091003</v>
      </c>
      <c r="V529" s="3">
        <v>146672571</v>
      </c>
      <c r="W529" s="3">
        <v>1510417</v>
      </c>
      <c r="X529" s="3">
        <v>1382066</v>
      </c>
      <c r="Y529" s="2">
        <v>4797</v>
      </c>
      <c r="Z529" s="2">
        <v>4612</v>
      </c>
      <c r="AA529" s="2">
        <v>-3.86</v>
      </c>
      <c r="AB529" s="3">
        <v>11505059</v>
      </c>
      <c r="AC529" s="3">
        <v>12222000</v>
      </c>
      <c r="AD529" s="3">
        <v>4391473</v>
      </c>
      <c r="AE529" s="3">
        <v>2300000</v>
      </c>
      <c r="AF529" s="3">
        <v>5754880</v>
      </c>
      <c r="AG529" s="3">
        <v>6988189</v>
      </c>
      <c r="AH529" s="2">
        <v>3.33</v>
      </c>
      <c r="AI529" s="5">
        <v>4</v>
      </c>
    </row>
    <row r="530" spans="1:35" x14ac:dyDescent="0.3">
      <c r="A530" s="4" t="str">
        <f>"580405"</f>
        <v>580405</v>
      </c>
      <c r="B530" s="2" t="s">
        <v>526</v>
      </c>
      <c r="C530" s="3">
        <v>264612680</v>
      </c>
      <c r="D530" s="3">
        <v>272163385</v>
      </c>
      <c r="E530" s="2">
        <v>2.85</v>
      </c>
      <c r="F530" s="3">
        <v>213700033</v>
      </c>
      <c r="G530" s="3">
        <v>217026755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213700033</v>
      </c>
      <c r="O530" s="3">
        <v>217026755</v>
      </c>
      <c r="P530" s="2">
        <v>1.56</v>
      </c>
      <c r="Q530" s="3">
        <v>9165291</v>
      </c>
      <c r="R530" s="3">
        <v>10272593</v>
      </c>
      <c r="S530" s="3">
        <v>205599461</v>
      </c>
      <c r="T530" s="3">
        <v>206754162</v>
      </c>
      <c r="U530" s="3">
        <v>204534742</v>
      </c>
      <c r="V530" s="3">
        <v>206754162</v>
      </c>
      <c r="W530" s="3">
        <v>1064719</v>
      </c>
      <c r="X530" s="3">
        <v>0</v>
      </c>
      <c r="Y530" s="2">
        <v>7529</v>
      </c>
      <c r="Z530" s="2">
        <v>7356</v>
      </c>
      <c r="AA530" s="2">
        <v>-2.2999999999999998</v>
      </c>
      <c r="AB530" s="3">
        <v>41950926</v>
      </c>
      <c r="AC530" s="3">
        <v>34950926</v>
      </c>
      <c r="AD530" s="3">
        <v>4789345</v>
      </c>
      <c r="AE530" s="3">
        <v>4275000</v>
      </c>
      <c r="AF530" s="3">
        <v>10584508</v>
      </c>
      <c r="AG530" s="3">
        <v>10886554</v>
      </c>
      <c r="AH530" s="2">
        <v>4</v>
      </c>
      <c r="AI530" s="5">
        <v>4</v>
      </c>
    </row>
    <row r="531" spans="1:35" x14ac:dyDescent="0.3">
      <c r="A531" s="4" t="str">
        <f>"580406"</f>
        <v>580406</v>
      </c>
      <c r="B531" s="2" t="s">
        <v>527</v>
      </c>
      <c r="C531" s="3">
        <v>88843177</v>
      </c>
      <c r="D531" s="3">
        <v>90316264</v>
      </c>
      <c r="E531" s="2">
        <v>1.66</v>
      </c>
      <c r="F531" s="3">
        <v>68465006</v>
      </c>
      <c r="G531" s="3">
        <v>69053066</v>
      </c>
      <c r="H531" s="3"/>
      <c r="I531" s="3"/>
      <c r="J531" s="3"/>
      <c r="K531" s="3"/>
      <c r="L531" s="3"/>
      <c r="M531" s="3"/>
      <c r="N531" s="3">
        <v>68465006</v>
      </c>
      <c r="O531" s="3">
        <v>69053066</v>
      </c>
      <c r="P531" s="2">
        <v>0.86</v>
      </c>
      <c r="Q531" s="3">
        <v>2376748</v>
      </c>
      <c r="R531" s="3">
        <v>1794408</v>
      </c>
      <c r="S531" s="3">
        <v>66088258</v>
      </c>
      <c r="T531" s="3">
        <v>67258658</v>
      </c>
      <c r="U531" s="3">
        <v>66088258</v>
      </c>
      <c r="V531" s="3">
        <v>67258658</v>
      </c>
      <c r="W531" s="3">
        <v>0</v>
      </c>
      <c r="X531" s="3">
        <v>0</v>
      </c>
      <c r="Y531" s="2">
        <v>2971</v>
      </c>
      <c r="Z531" s="2">
        <v>2818</v>
      </c>
      <c r="AA531" s="2">
        <v>-5.15</v>
      </c>
      <c r="AB531" s="3">
        <v>4837318</v>
      </c>
      <c r="AC531" s="3">
        <v>6188521</v>
      </c>
      <c r="AD531" s="3">
        <v>3200000</v>
      </c>
      <c r="AE531" s="3">
        <v>3250000</v>
      </c>
      <c r="AF531" s="3">
        <v>3553727</v>
      </c>
      <c r="AG531" s="3">
        <v>3612650</v>
      </c>
      <c r="AH531" s="2">
        <v>4</v>
      </c>
      <c r="AI531" s="5">
        <v>4</v>
      </c>
    </row>
    <row r="532" spans="1:35" x14ac:dyDescent="0.3">
      <c r="A532" s="4" t="str">
        <f>"580410"</f>
        <v>580410</v>
      </c>
      <c r="B532" s="2" t="s">
        <v>528</v>
      </c>
      <c r="C532" s="3">
        <v>199759525</v>
      </c>
      <c r="D532" s="3">
        <v>205126576</v>
      </c>
      <c r="E532" s="2">
        <v>2.69</v>
      </c>
      <c r="F532" s="3">
        <v>145379230</v>
      </c>
      <c r="G532" s="3">
        <v>146818484</v>
      </c>
      <c r="H532" s="3"/>
      <c r="I532" s="3"/>
      <c r="J532" s="3"/>
      <c r="K532" s="3"/>
      <c r="L532" s="3"/>
      <c r="M532" s="3"/>
      <c r="N532" s="3">
        <v>145379230</v>
      </c>
      <c r="O532" s="3">
        <v>146818484</v>
      </c>
      <c r="P532" s="2">
        <v>0.99</v>
      </c>
      <c r="Q532" s="3">
        <v>6224638</v>
      </c>
      <c r="R532" s="3">
        <v>7511742</v>
      </c>
      <c r="S532" s="3">
        <v>139154592</v>
      </c>
      <c r="T532" s="3">
        <v>141247968</v>
      </c>
      <c r="U532" s="3">
        <v>139154592</v>
      </c>
      <c r="V532" s="3">
        <v>139306742</v>
      </c>
      <c r="W532" s="3">
        <v>0</v>
      </c>
      <c r="X532" s="3">
        <v>1941226</v>
      </c>
      <c r="Y532" s="2">
        <v>5714</v>
      </c>
      <c r="Z532" s="2">
        <v>5531</v>
      </c>
      <c r="AA532" s="2">
        <v>-3.2</v>
      </c>
      <c r="AB532" s="3">
        <v>7573627</v>
      </c>
      <c r="AC532" s="3">
        <v>6793550</v>
      </c>
      <c r="AD532" s="3">
        <v>7651933</v>
      </c>
      <c r="AE532" s="3">
        <v>11145620</v>
      </c>
      <c r="AF532" s="3">
        <v>13154556</v>
      </c>
      <c r="AG532" s="3">
        <v>8205063</v>
      </c>
      <c r="AH532" s="2">
        <v>6.59</v>
      </c>
      <c r="AI532" s="5">
        <v>4</v>
      </c>
    </row>
    <row r="533" spans="1:35" x14ac:dyDescent="0.3">
      <c r="A533" s="4" t="str">
        <f>"580413"</f>
        <v>580413</v>
      </c>
      <c r="B533" s="2" t="s">
        <v>529</v>
      </c>
      <c r="C533" s="3">
        <v>174657264</v>
      </c>
      <c r="D533" s="3">
        <v>184937763</v>
      </c>
      <c r="E533" s="2">
        <v>5.89</v>
      </c>
      <c r="F533" s="3">
        <v>120641023</v>
      </c>
      <c r="G533" s="3">
        <v>121832088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120641023</v>
      </c>
      <c r="O533" s="3">
        <v>121832088</v>
      </c>
      <c r="P533" s="2">
        <v>0.99</v>
      </c>
      <c r="Q533" s="3">
        <v>4193476</v>
      </c>
      <c r="R533" s="3">
        <v>4502762</v>
      </c>
      <c r="S533" s="3">
        <v>116447547</v>
      </c>
      <c r="T533" s="3">
        <v>118539326</v>
      </c>
      <c r="U533" s="3">
        <v>116447547</v>
      </c>
      <c r="V533" s="3">
        <v>117329326</v>
      </c>
      <c r="W533" s="3">
        <v>0</v>
      </c>
      <c r="X533" s="3">
        <v>1210000</v>
      </c>
      <c r="Y533" s="2">
        <v>5875</v>
      </c>
      <c r="Z533" s="2">
        <v>5601</v>
      </c>
      <c r="AA533" s="2">
        <v>-4.66</v>
      </c>
      <c r="AB533" s="3">
        <v>14318774</v>
      </c>
      <c r="AC533" s="3">
        <v>11718774</v>
      </c>
      <c r="AD533" s="3">
        <v>5100000</v>
      </c>
      <c r="AE533" s="3">
        <v>4500000</v>
      </c>
      <c r="AF533" s="3">
        <v>6900000</v>
      </c>
      <c r="AG533" s="3">
        <v>7400000</v>
      </c>
      <c r="AH533" s="2">
        <v>3.95</v>
      </c>
      <c r="AI533" s="5">
        <v>4</v>
      </c>
    </row>
    <row r="534" spans="1:35" x14ac:dyDescent="0.3">
      <c r="A534" s="4" t="str">
        <f>"580501"</f>
        <v>580501</v>
      </c>
      <c r="B534" s="2" t="s">
        <v>530</v>
      </c>
      <c r="C534" s="3">
        <v>162967087</v>
      </c>
      <c r="D534" s="3">
        <v>171016490</v>
      </c>
      <c r="E534" s="2">
        <v>4.9400000000000004</v>
      </c>
      <c r="F534" s="3">
        <v>113329894</v>
      </c>
      <c r="G534" s="3">
        <v>115360073</v>
      </c>
      <c r="H534" s="3"/>
      <c r="I534" s="3"/>
      <c r="J534" s="3"/>
      <c r="K534" s="3"/>
      <c r="L534" s="3"/>
      <c r="M534" s="3"/>
      <c r="N534" s="3">
        <v>113329894</v>
      </c>
      <c r="O534" s="3">
        <v>115360073</v>
      </c>
      <c r="P534" s="2">
        <v>1.79</v>
      </c>
      <c r="Q534" s="3">
        <v>5154543</v>
      </c>
      <c r="R534" s="3">
        <v>5483585</v>
      </c>
      <c r="S534" s="3">
        <v>108175351</v>
      </c>
      <c r="T534" s="3">
        <v>109876488</v>
      </c>
      <c r="U534" s="3">
        <v>108175351</v>
      </c>
      <c r="V534" s="3">
        <v>109876488</v>
      </c>
      <c r="W534" s="3">
        <v>0</v>
      </c>
      <c r="X534" s="3">
        <v>0</v>
      </c>
      <c r="Y534" s="2">
        <v>5725</v>
      </c>
      <c r="Z534" s="2">
        <v>5850</v>
      </c>
      <c r="AA534" s="2">
        <v>2.1800000000000002</v>
      </c>
      <c r="AB534" s="3">
        <v>9143115</v>
      </c>
      <c r="AC534" s="3">
        <v>8500000</v>
      </c>
      <c r="AD534" s="3">
        <v>0</v>
      </c>
      <c r="AE534" s="3">
        <v>0</v>
      </c>
      <c r="AF534" s="3">
        <v>6344114</v>
      </c>
      <c r="AG534" s="3">
        <v>6840660</v>
      </c>
      <c r="AH534" s="2">
        <v>3.89</v>
      </c>
      <c r="AI534" s="5">
        <v>4</v>
      </c>
    </row>
    <row r="535" spans="1:35" x14ac:dyDescent="0.3">
      <c r="A535" s="4" t="str">
        <f>"580502"</f>
        <v>580502</v>
      </c>
      <c r="B535" s="2" t="s">
        <v>531</v>
      </c>
      <c r="C535" s="3">
        <v>87516577</v>
      </c>
      <c r="D535" s="3">
        <v>88712247</v>
      </c>
      <c r="E535" s="2">
        <v>1.37</v>
      </c>
      <c r="F535" s="3">
        <v>61859807</v>
      </c>
      <c r="G535" s="3">
        <v>63097003</v>
      </c>
      <c r="H535" s="3" t="s">
        <v>98</v>
      </c>
      <c r="I535" s="3" t="s">
        <v>98</v>
      </c>
      <c r="J535" s="3"/>
      <c r="K535" s="3"/>
      <c r="L535" s="3"/>
      <c r="M535" s="3"/>
      <c r="N535" s="3">
        <v>61859807</v>
      </c>
      <c r="O535" s="3">
        <v>63097003</v>
      </c>
      <c r="P535" s="2">
        <v>2</v>
      </c>
      <c r="Q535" s="3">
        <v>3923546</v>
      </c>
      <c r="R535" s="3">
        <v>1692496</v>
      </c>
      <c r="S535" s="3">
        <v>58529782</v>
      </c>
      <c r="T535" s="3">
        <v>58723514</v>
      </c>
      <c r="U535" s="3">
        <v>57936261</v>
      </c>
      <c r="V535" s="3">
        <v>61404507</v>
      </c>
      <c r="W535" s="3">
        <v>593521</v>
      </c>
      <c r="X535" s="3">
        <v>-2680993</v>
      </c>
      <c r="Y535" s="2">
        <v>2725</v>
      </c>
      <c r="Z535" s="2">
        <v>2665</v>
      </c>
      <c r="AA535" s="2">
        <v>-2.2000000000000002</v>
      </c>
      <c r="AB535" s="3">
        <v>8011783</v>
      </c>
      <c r="AC535" s="3">
        <v>7935000</v>
      </c>
      <c r="AD535" s="3">
        <v>3038650</v>
      </c>
      <c r="AE535" s="3">
        <v>1000000</v>
      </c>
      <c r="AF535" s="3">
        <v>3500660</v>
      </c>
      <c r="AG535" s="3">
        <v>3099194</v>
      </c>
      <c r="AH535" s="2">
        <v>4</v>
      </c>
      <c r="AI535" s="5">
        <v>3.49</v>
      </c>
    </row>
    <row r="536" spans="1:35" x14ac:dyDescent="0.3">
      <c r="A536" s="4" t="str">
        <f>"580503"</f>
        <v>580503</v>
      </c>
      <c r="B536" s="2" t="s">
        <v>532</v>
      </c>
      <c r="C536" s="3">
        <v>120505188</v>
      </c>
      <c r="D536" s="3">
        <v>121037910</v>
      </c>
      <c r="E536" s="2">
        <v>0.44</v>
      </c>
      <c r="F536" s="3">
        <v>71910497</v>
      </c>
      <c r="G536" s="3">
        <v>72991599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71910497</v>
      </c>
      <c r="O536" s="3">
        <v>72991599</v>
      </c>
      <c r="P536" s="2">
        <v>1.5</v>
      </c>
      <c r="Q536" s="3">
        <v>3342472</v>
      </c>
      <c r="R536" s="3">
        <v>2931674</v>
      </c>
      <c r="S536" s="3">
        <v>71322052</v>
      </c>
      <c r="T536" s="3">
        <v>70059925</v>
      </c>
      <c r="U536" s="3">
        <v>68568025</v>
      </c>
      <c r="V536" s="3">
        <v>70059925</v>
      </c>
      <c r="W536" s="3">
        <v>2754027</v>
      </c>
      <c r="X536" s="3">
        <v>0</v>
      </c>
      <c r="Y536" s="2">
        <v>3548</v>
      </c>
      <c r="Z536" s="2">
        <v>3383</v>
      </c>
      <c r="AA536" s="2">
        <v>-4.6500000000000004</v>
      </c>
      <c r="AB536" s="3">
        <v>14856550</v>
      </c>
      <c r="AC536" s="3">
        <v>17480357</v>
      </c>
      <c r="AD536" s="3">
        <v>5920900</v>
      </c>
      <c r="AE536" s="3">
        <v>5120900</v>
      </c>
      <c r="AF536" s="3">
        <v>4820209</v>
      </c>
      <c r="AG536" s="3">
        <v>4841516</v>
      </c>
      <c r="AH536" s="2">
        <v>4</v>
      </c>
      <c r="AI536" s="5">
        <v>4</v>
      </c>
    </row>
    <row r="537" spans="1:35" x14ac:dyDescent="0.3">
      <c r="A537" s="4" t="str">
        <f>"580504"</f>
        <v>580504</v>
      </c>
      <c r="B537" s="2" t="s">
        <v>533</v>
      </c>
      <c r="C537" s="3">
        <v>96208308</v>
      </c>
      <c r="D537" s="3">
        <v>96978058</v>
      </c>
      <c r="E537" s="2">
        <v>0.8</v>
      </c>
      <c r="F537" s="3">
        <v>61106560</v>
      </c>
      <c r="G537" s="3">
        <v>61477262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61106560</v>
      </c>
      <c r="O537" s="3">
        <v>61477262</v>
      </c>
      <c r="P537" s="2">
        <v>0.61</v>
      </c>
      <c r="Q537" s="3">
        <v>2676302</v>
      </c>
      <c r="R537" s="3">
        <v>2246192</v>
      </c>
      <c r="S537" s="3">
        <v>58442124</v>
      </c>
      <c r="T537" s="3">
        <v>59231327</v>
      </c>
      <c r="U537" s="3">
        <v>58430258</v>
      </c>
      <c r="V537" s="3">
        <v>59231070</v>
      </c>
      <c r="W537" s="3">
        <v>11866</v>
      </c>
      <c r="X537" s="3">
        <v>257</v>
      </c>
      <c r="Y537" s="2">
        <v>2811</v>
      </c>
      <c r="Z537" s="2">
        <v>2661</v>
      </c>
      <c r="AA537" s="2">
        <v>-5.34</v>
      </c>
      <c r="AB537" s="3">
        <v>22480698</v>
      </c>
      <c r="AC537" s="3">
        <v>24579880</v>
      </c>
      <c r="AD537" s="3">
        <v>5129053</v>
      </c>
      <c r="AE537" s="3">
        <v>5464327</v>
      </c>
      <c r="AF537" s="3">
        <v>3863372</v>
      </c>
      <c r="AG537" s="3">
        <v>3879122</v>
      </c>
      <c r="AH537" s="2">
        <v>4.0199999999999996</v>
      </c>
      <c r="AI537" s="5">
        <v>4</v>
      </c>
    </row>
    <row r="538" spans="1:35" x14ac:dyDescent="0.3">
      <c r="A538" s="4" t="str">
        <f>"580505"</f>
        <v>580505</v>
      </c>
      <c r="B538" s="2" t="s">
        <v>534</v>
      </c>
      <c r="C538" s="3">
        <v>75603645</v>
      </c>
      <c r="D538" s="3">
        <v>76972535</v>
      </c>
      <c r="E538" s="2">
        <v>1.81</v>
      </c>
      <c r="F538" s="3">
        <v>53944254</v>
      </c>
      <c r="G538" s="3">
        <v>55530215</v>
      </c>
      <c r="H538" s="3"/>
      <c r="I538" s="3"/>
      <c r="J538" s="3"/>
      <c r="K538" s="3">
        <v>91595</v>
      </c>
      <c r="L538" s="3"/>
      <c r="M538" s="3"/>
      <c r="N538" s="3">
        <v>53944254</v>
      </c>
      <c r="O538" s="3">
        <v>55621810</v>
      </c>
      <c r="P538" s="2">
        <v>3.11</v>
      </c>
      <c r="Q538" s="3">
        <v>1060095</v>
      </c>
      <c r="R538" s="3">
        <v>2240854</v>
      </c>
      <c r="S538" s="3">
        <v>52884159</v>
      </c>
      <c r="T538" s="3">
        <v>53380956</v>
      </c>
      <c r="U538" s="3">
        <v>52884159</v>
      </c>
      <c r="V538" s="3">
        <v>53380956</v>
      </c>
      <c r="W538" s="3">
        <v>0</v>
      </c>
      <c r="X538" s="3">
        <v>0</v>
      </c>
      <c r="Y538" s="2">
        <v>2000</v>
      </c>
      <c r="Z538" s="2">
        <v>2000</v>
      </c>
      <c r="AA538" s="2">
        <v>0</v>
      </c>
      <c r="AB538" s="3">
        <v>9755964</v>
      </c>
      <c r="AC538" s="3">
        <v>9785500</v>
      </c>
      <c r="AD538" s="3">
        <v>1684000</v>
      </c>
      <c r="AE538" s="3">
        <v>1184000</v>
      </c>
      <c r="AF538" s="3">
        <v>3024145</v>
      </c>
      <c r="AG538" s="3">
        <v>3078901</v>
      </c>
      <c r="AH538" s="2">
        <v>4</v>
      </c>
      <c r="AI538" s="5">
        <v>4</v>
      </c>
    </row>
    <row r="539" spans="1:35" x14ac:dyDescent="0.3">
      <c r="A539" s="4" t="str">
        <f>"580506"</f>
        <v>580506</v>
      </c>
      <c r="B539" s="2" t="s">
        <v>535</v>
      </c>
      <c r="C539" s="3">
        <v>115735467</v>
      </c>
      <c r="D539" s="3">
        <v>119963719</v>
      </c>
      <c r="E539" s="2">
        <v>3.65</v>
      </c>
      <c r="F539" s="3">
        <v>88866467</v>
      </c>
      <c r="G539" s="3">
        <v>90084876</v>
      </c>
      <c r="H539" s="3"/>
      <c r="I539" s="3"/>
      <c r="J539" s="3"/>
      <c r="K539" s="3"/>
      <c r="L539" s="3"/>
      <c r="M539" s="3"/>
      <c r="N539" s="3">
        <v>88866467</v>
      </c>
      <c r="O539" s="3">
        <v>90084876</v>
      </c>
      <c r="P539" s="2">
        <v>1.37</v>
      </c>
      <c r="Q539" s="3">
        <v>1654938</v>
      </c>
      <c r="R539" s="3">
        <v>1508520</v>
      </c>
      <c r="S539" s="3">
        <v>87211529</v>
      </c>
      <c r="T539" s="3">
        <v>88576356</v>
      </c>
      <c r="U539" s="3">
        <v>87211529</v>
      </c>
      <c r="V539" s="3">
        <v>88576356</v>
      </c>
      <c r="W539" s="3">
        <v>0</v>
      </c>
      <c r="X539" s="3">
        <v>0</v>
      </c>
      <c r="Y539" s="2">
        <v>3213</v>
      </c>
      <c r="Z539" s="2">
        <v>3137</v>
      </c>
      <c r="AA539" s="2">
        <v>-2.37</v>
      </c>
      <c r="AB539" s="3">
        <v>20103838</v>
      </c>
      <c r="AC539" s="3">
        <v>22647072</v>
      </c>
      <c r="AD539" s="3">
        <v>4285000</v>
      </c>
      <c r="AE539" s="3">
        <v>3650000</v>
      </c>
      <c r="AF539" s="3">
        <v>4629419</v>
      </c>
      <c r="AG539" s="3">
        <v>4798549</v>
      </c>
      <c r="AH539" s="2">
        <v>4</v>
      </c>
      <c r="AI539" s="5">
        <v>4</v>
      </c>
    </row>
    <row r="540" spans="1:35" x14ac:dyDescent="0.3">
      <c r="A540" s="4" t="str">
        <f>"580507"</f>
        <v>580507</v>
      </c>
      <c r="B540" s="2" t="s">
        <v>536</v>
      </c>
      <c r="C540" s="3">
        <v>199437938</v>
      </c>
      <c r="D540" s="3">
        <v>203581707</v>
      </c>
      <c r="E540" s="2">
        <v>2.08</v>
      </c>
      <c r="F540" s="3">
        <v>129665481</v>
      </c>
      <c r="G540" s="3">
        <v>132245824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129665481</v>
      </c>
      <c r="O540" s="3">
        <v>132245824</v>
      </c>
      <c r="P540" s="2">
        <v>1.99</v>
      </c>
      <c r="Q540" s="3">
        <v>1744089</v>
      </c>
      <c r="R540" s="3">
        <v>3091666</v>
      </c>
      <c r="S540" s="3">
        <v>127921392</v>
      </c>
      <c r="T540" s="3">
        <v>130334505</v>
      </c>
      <c r="U540" s="3">
        <v>127921392</v>
      </c>
      <c r="V540" s="3">
        <v>129154158</v>
      </c>
      <c r="W540" s="3">
        <v>0</v>
      </c>
      <c r="X540" s="3">
        <v>1180347</v>
      </c>
      <c r="Y540" s="2">
        <v>5248</v>
      </c>
      <c r="Z540" s="2">
        <v>5088</v>
      </c>
      <c r="AA540" s="2">
        <v>-3.05</v>
      </c>
      <c r="AB540" s="3">
        <v>37562021</v>
      </c>
      <c r="AC540" s="3">
        <v>29523605</v>
      </c>
      <c r="AD540" s="3">
        <v>3600000</v>
      </c>
      <c r="AE540" s="3">
        <v>4458874</v>
      </c>
      <c r="AF540" s="3">
        <v>11034185</v>
      </c>
      <c r="AG540" s="3">
        <v>8122910</v>
      </c>
      <c r="AH540" s="2">
        <v>5.53</v>
      </c>
      <c r="AI540" s="5">
        <v>3.99</v>
      </c>
    </row>
    <row r="541" spans="1:35" x14ac:dyDescent="0.3">
      <c r="A541" s="4" t="str">
        <f>"580509"</f>
        <v>580509</v>
      </c>
      <c r="B541" s="2" t="s">
        <v>537</v>
      </c>
      <c r="C541" s="3">
        <v>124406746</v>
      </c>
      <c r="D541" s="3">
        <v>127501568</v>
      </c>
      <c r="E541" s="2">
        <v>2.4900000000000002</v>
      </c>
      <c r="F541" s="3">
        <v>87223610</v>
      </c>
      <c r="G541" s="3">
        <v>88619244</v>
      </c>
      <c r="H541" s="3"/>
      <c r="I541" s="3"/>
      <c r="J541" s="3"/>
      <c r="K541" s="3"/>
      <c r="L541" s="3"/>
      <c r="M541" s="3"/>
      <c r="N541" s="3">
        <v>87223610</v>
      </c>
      <c r="O541" s="3">
        <v>88619244</v>
      </c>
      <c r="P541" s="2">
        <v>1.6</v>
      </c>
      <c r="Q541" s="3">
        <v>3171957</v>
      </c>
      <c r="R541" s="3">
        <v>3384167</v>
      </c>
      <c r="S541" s="3">
        <v>84051653</v>
      </c>
      <c r="T541" s="3">
        <v>85235077</v>
      </c>
      <c r="U541" s="3">
        <v>84051653</v>
      </c>
      <c r="V541" s="3">
        <v>85235077</v>
      </c>
      <c r="W541" s="3">
        <v>0</v>
      </c>
      <c r="X541" s="3">
        <v>0</v>
      </c>
      <c r="Y541" s="2">
        <v>4007</v>
      </c>
      <c r="Z541" s="2">
        <v>3740</v>
      </c>
      <c r="AA541" s="2">
        <v>-6.66</v>
      </c>
      <c r="AB541" s="3">
        <v>25239241</v>
      </c>
      <c r="AC541" s="3">
        <v>28239241</v>
      </c>
      <c r="AD541" s="3">
        <v>1903144</v>
      </c>
      <c r="AE541" s="3">
        <v>2000000</v>
      </c>
      <c r="AF541" s="3">
        <v>4976270</v>
      </c>
      <c r="AG541" s="3">
        <v>5100063</v>
      </c>
      <c r="AH541" s="2">
        <v>4</v>
      </c>
      <c r="AI541" s="5">
        <v>4</v>
      </c>
    </row>
    <row r="542" spans="1:35" x14ac:dyDescent="0.3">
      <c r="A542" s="4" t="str">
        <f>"580512"</f>
        <v>580512</v>
      </c>
      <c r="B542" s="2" t="s">
        <v>538</v>
      </c>
      <c r="C542" s="3">
        <v>430224206</v>
      </c>
      <c r="D542" s="3">
        <v>454813370</v>
      </c>
      <c r="E542" s="2">
        <v>5.72</v>
      </c>
      <c r="F542" s="3">
        <v>111568807</v>
      </c>
      <c r="G542" s="3">
        <v>111568807</v>
      </c>
      <c r="H542" s="3"/>
      <c r="I542" s="3"/>
      <c r="J542" s="3"/>
      <c r="K542" s="3"/>
      <c r="L542" s="3"/>
      <c r="M542" s="3"/>
      <c r="N542" s="3">
        <v>111568807</v>
      </c>
      <c r="O542" s="3">
        <v>111568807</v>
      </c>
      <c r="P542" s="2">
        <v>0</v>
      </c>
      <c r="Q542" s="3">
        <v>888066</v>
      </c>
      <c r="R542" s="3">
        <v>651919</v>
      </c>
      <c r="S542" s="3">
        <v>112859744</v>
      </c>
      <c r="T542" s="3">
        <v>115543339</v>
      </c>
      <c r="U542" s="3">
        <v>110680741</v>
      </c>
      <c r="V542" s="3">
        <v>110916888</v>
      </c>
      <c r="W542" s="3">
        <v>2179003</v>
      </c>
      <c r="X542" s="3">
        <v>4626451</v>
      </c>
      <c r="Y542" s="2">
        <v>18026</v>
      </c>
      <c r="Z542" s="2">
        <v>18500</v>
      </c>
      <c r="AA542" s="2">
        <v>2.63</v>
      </c>
      <c r="AB542" s="3">
        <v>44751557</v>
      </c>
      <c r="AC542" s="3">
        <v>43796309</v>
      </c>
      <c r="AD542" s="3">
        <v>40150275</v>
      </c>
      <c r="AE542" s="3">
        <v>21874773</v>
      </c>
      <c r="AF542" s="3">
        <v>19865997</v>
      </c>
      <c r="AG542" s="3">
        <v>17208968</v>
      </c>
      <c r="AH542" s="2">
        <v>4.62</v>
      </c>
      <c r="AI542" s="5">
        <v>3.78</v>
      </c>
    </row>
    <row r="543" spans="1:35" x14ac:dyDescent="0.3">
      <c r="A543" s="4" t="str">
        <f>"580513"</f>
        <v>580513</v>
      </c>
      <c r="B543" s="2" t="s">
        <v>539</v>
      </c>
      <c r="C543" s="3">
        <v>220487829</v>
      </c>
      <c r="D543" s="3">
        <v>228432084</v>
      </c>
      <c r="E543" s="2">
        <v>3.6</v>
      </c>
      <c r="F543" s="3">
        <v>94132834</v>
      </c>
      <c r="G543" s="3">
        <v>93315810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94132834</v>
      </c>
      <c r="O543" s="3">
        <v>93315810</v>
      </c>
      <c r="P543" s="2">
        <v>-0.87</v>
      </c>
      <c r="Q543" s="3">
        <v>167129</v>
      </c>
      <c r="R543" s="3">
        <v>640348</v>
      </c>
      <c r="S543" s="3">
        <v>93965707</v>
      </c>
      <c r="T543" s="3">
        <v>97086641</v>
      </c>
      <c r="U543" s="3">
        <v>93965705</v>
      </c>
      <c r="V543" s="3">
        <v>92675462</v>
      </c>
      <c r="W543" s="3">
        <v>2</v>
      </c>
      <c r="X543" s="3">
        <v>4411179</v>
      </c>
      <c r="Y543" s="2">
        <v>7488</v>
      </c>
      <c r="Z543" s="2">
        <v>7527</v>
      </c>
      <c r="AA543" s="2">
        <v>0.52</v>
      </c>
      <c r="AB543" s="3">
        <v>11678536</v>
      </c>
      <c r="AC543" s="3">
        <v>18887472</v>
      </c>
      <c r="AD543" s="3">
        <v>1000000</v>
      </c>
      <c r="AE543" s="3">
        <v>0</v>
      </c>
      <c r="AF543" s="3">
        <v>14846219</v>
      </c>
      <c r="AG543" s="3">
        <v>9137283</v>
      </c>
      <c r="AH543" s="2">
        <v>6.73</v>
      </c>
      <c r="AI543" s="5">
        <v>4</v>
      </c>
    </row>
    <row r="544" spans="1:35" x14ac:dyDescent="0.3">
      <c r="A544" s="4" t="str">
        <f>"580514"</f>
        <v>580514</v>
      </c>
      <c r="B544" s="2" t="s">
        <v>540</v>
      </c>
      <c r="C544" s="3">
        <v>5715355</v>
      </c>
      <c r="D544" s="3">
        <v>5715355</v>
      </c>
      <c r="E544" s="2">
        <v>0</v>
      </c>
      <c r="F544" s="3">
        <v>5082291</v>
      </c>
      <c r="G544" s="3">
        <v>5082291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5082291</v>
      </c>
      <c r="O544" s="3">
        <v>5082291</v>
      </c>
      <c r="P544" s="2">
        <v>0</v>
      </c>
      <c r="Q544" s="3">
        <v>0</v>
      </c>
      <c r="R544" s="3">
        <v>0</v>
      </c>
      <c r="S544" s="3">
        <v>5269975</v>
      </c>
      <c r="T544" s="3">
        <v>5237230</v>
      </c>
      <c r="U544" s="3">
        <v>5082291</v>
      </c>
      <c r="V544" s="3">
        <v>5082291</v>
      </c>
      <c r="W544" s="3">
        <v>187684</v>
      </c>
      <c r="X544" s="3">
        <v>154939</v>
      </c>
      <c r="Y544" s="2">
        <v>52</v>
      </c>
      <c r="Z544" s="2">
        <v>49</v>
      </c>
      <c r="AA544" s="2">
        <v>-5.77</v>
      </c>
      <c r="AB544" s="3">
        <v>5000043</v>
      </c>
      <c r="AC544" s="3">
        <v>5109251</v>
      </c>
      <c r="AD544" s="3">
        <v>150000</v>
      </c>
      <c r="AE544" s="3">
        <v>150000</v>
      </c>
      <c r="AF544" s="3">
        <v>224178</v>
      </c>
      <c r="AG544" s="3">
        <v>227092</v>
      </c>
      <c r="AH544" s="2">
        <v>3.92</v>
      </c>
      <c r="AI544" s="5">
        <v>3.97</v>
      </c>
    </row>
    <row r="545" spans="1:35" x14ac:dyDescent="0.3">
      <c r="A545" s="4" t="str">
        <f>"580601"</f>
        <v>580601</v>
      </c>
      <c r="B545" s="2" t="s">
        <v>541</v>
      </c>
      <c r="C545" s="3">
        <v>77164774</v>
      </c>
      <c r="D545" s="3">
        <v>80687584</v>
      </c>
      <c r="E545" s="2">
        <v>4.57</v>
      </c>
      <c r="F545" s="3">
        <v>55391167</v>
      </c>
      <c r="G545" s="3">
        <v>55944041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55391167</v>
      </c>
      <c r="O545" s="3">
        <v>55944041</v>
      </c>
      <c r="P545" s="2">
        <v>1</v>
      </c>
      <c r="Q545" s="3">
        <v>1770371</v>
      </c>
      <c r="R545" s="3">
        <v>1596857</v>
      </c>
      <c r="S545" s="3">
        <v>53892451</v>
      </c>
      <c r="T545" s="3">
        <v>54347184</v>
      </c>
      <c r="U545" s="3">
        <v>53620796</v>
      </c>
      <c r="V545" s="3">
        <v>54347184</v>
      </c>
      <c r="W545" s="3">
        <v>271655</v>
      </c>
      <c r="X545" s="3">
        <v>0</v>
      </c>
      <c r="Y545" s="2">
        <v>2043</v>
      </c>
      <c r="Z545" s="2">
        <v>1995</v>
      </c>
      <c r="AA545" s="2">
        <v>-2.35</v>
      </c>
      <c r="AB545" s="3">
        <v>22053988</v>
      </c>
      <c r="AC545" s="3">
        <v>25739686</v>
      </c>
      <c r="AD545" s="3">
        <v>4196707</v>
      </c>
      <c r="AE545" s="3">
        <v>5898028</v>
      </c>
      <c r="AF545" s="3">
        <v>6226912</v>
      </c>
      <c r="AG545" s="3">
        <v>3227503</v>
      </c>
      <c r="AH545" s="2">
        <v>8.07</v>
      </c>
      <c r="AI545" s="5">
        <v>4</v>
      </c>
    </row>
    <row r="546" spans="1:35" x14ac:dyDescent="0.3">
      <c r="A546" s="4" t="str">
        <f>"580602"</f>
        <v>580602</v>
      </c>
      <c r="B546" s="2" t="s">
        <v>542</v>
      </c>
      <c r="C546" s="3">
        <v>144814167</v>
      </c>
      <c r="D546" s="3">
        <v>159407732</v>
      </c>
      <c r="E546" s="2">
        <v>10.08</v>
      </c>
      <c r="F546" s="3">
        <v>104541394</v>
      </c>
      <c r="G546" s="3">
        <v>104541394</v>
      </c>
      <c r="H546" s="3"/>
      <c r="I546" s="3"/>
      <c r="J546" s="3"/>
      <c r="K546" s="3"/>
      <c r="L546" s="3"/>
      <c r="M546" s="3"/>
      <c r="N546" s="3">
        <v>104541394</v>
      </c>
      <c r="O546" s="3">
        <v>104541394</v>
      </c>
      <c r="P546" s="2">
        <v>0</v>
      </c>
      <c r="Q546" s="3">
        <v>4501190</v>
      </c>
      <c r="R546" s="3">
        <v>4342345</v>
      </c>
      <c r="S546" s="3">
        <v>102350969</v>
      </c>
      <c r="T546" s="3">
        <v>101740314</v>
      </c>
      <c r="U546" s="3">
        <v>100040204</v>
      </c>
      <c r="V546" s="3">
        <v>100199049</v>
      </c>
      <c r="W546" s="3">
        <v>2310765</v>
      </c>
      <c r="X546" s="3">
        <v>1541265</v>
      </c>
      <c r="Y546" s="2">
        <v>5791</v>
      </c>
      <c r="Z546" s="2">
        <v>5354</v>
      </c>
      <c r="AA546" s="2">
        <v>-7.55</v>
      </c>
      <c r="AB546" s="3">
        <v>11319954</v>
      </c>
      <c r="AC546" s="3">
        <v>11191736</v>
      </c>
      <c r="AD546" s="3">
        <v>1650000</v>
      </c>
      <c r="AE546" s="3">
        <v>1650000</v>
      </c>
      <c r="AF546" s="3">
        <v>5792566</v>
      </c>
      <c r="AG546" s="3">
        <v>6376309</v>
      </c>
      <c r="AH546" s="2">
        <v>4</v>
      </c>
      <c r="AI546" s="5">
        <v>4</v>
      </c>
    </row>
    <row r="547" spans="1:35" x14ac:dyDescent="0.3">
      <c r="A547" s="4" t="str">
        <f>"580701"</f>
        <v>580701</v>
      </c>
      <c r="B547" s="2" t="s">
        <v>543</v>
      </c>
      <c r="C547" s="3">
        <v>12150021</v>
      </c>
      <c r="D547" s="3">
        <v>12384947</v>
      </c>
      <c r="E547" s="2">
        <v>1.93</v>
      </c>
      <c r="F547" s="3">
        <v>10777960</v>
      </c>
      <c r="G547" s="3">
        <v>11016571</v>
      </c>
      <c r="H547" s="3"/>
      <c r="I547" s="3"/>
      <c r="J547" s="3"/>
      <c r="K547" s="3"/>
      <c r="L547" s="3"/>
      <c r="M547" s="3"/>
      <c r="N547" s="3">
        <v>10777960</v>
      </c>
      <c r="O547" s="3">
        <v>11016571</v>
      </c>
      <c r="P547" s="2">
        <v>2.21</v>
      </c>
      <c r="Q547" s="3">
        <v>414788</v>
      </c>
      <c r="R547" s="3">
        <v>429920</v>
      </c>
      <c r="S547" s="3">
        <v>10363172</v>
      </c>
      <c r="T547" s="3">
        <v>10586651</v>
      </c>
      <c r="U547" s="3">
        <v>10363172</v>
      </c>
      <c r="V547" s="3">
        <v>10586651</v>
      </c>
      <c r="W547" s="3">
        <v>0</v>
      </c>
      <c r="X547" s="3">
        <v>0</v>
      </c>
      <c r="Y547" s="2">
        <v>211</v>
      </c>
      <c r="Z547" s="2">
        <v>225</v>
      </c>
      <c r="AA547" s="2">
        <v>6.64</v>
      </c>
      <c r="AB547" s="3">
        <v>600180</v>
      </c>
      <c r="AC547" s="3">
        <v>1525626</v>
      </c>
      <c r="AD547" s="3">
        <v>714978</v>
      </c>
      <c r="AE547" s="3">
        <v>700000</v>
      </c>
      <c r="AF547" s="3">
        <v>1076492</v>
      </c>
      <c r="AG547" s="3">
        <v>799998</v>
      </c>
      <c r="AH547" s="2">
        <v>8.86</v>
      </c>
      <c r="AI547" s="5">
        <v>6.46</v>
      </c>
    </row>
    <row r="548" spans="1:35" x14ac:dyDescent="0.3">
      <c r="A548" s="4" t="str">
        <f>"580801"</f>
        <v>580801</v>
      </c>
      <c r="B548" s="2" t="s">
        <v>544</v>
      </c>
      <c r="C548" s="3">
        <v>255203276</v>
      </c>
      <c r="D548" s="3">
        <v>262319665</v>
      </c>
      <c r="E548" s="2">
        <v>2.79</v>
      </c>
      <c r="F548" s="3">
        <v>201458364</v>
      </c>
      <c r="G548" s="3">
        <v>204979539</v>
      </c>
      <c r="H548" s="3"/>
      <c r="I548" s="3"/>
      <c r="J548" s="3"/>
      <c r="K548" s="3"/>
      <c r="L548" s="3"/>
      <c r="M548" s="3"/>
      <c r="N548" s="3">
        <v>201458364</v>
      </c>
      <c r="O548" s="3">
        <v>204979539</v>
      </c>
      <c r="P548" s="2">
        <v>1.75</v>
      </c>
      <c r="Q548" s="3">
        <v>5665455</v>
      </c>
      <c r="R548" s="3">
        <v>7466408</v>
      </c>
      <c r="S548" s="3">
        <v>195792909</v>
      </c>
      <c r="T548" s="3">
        <v>198527474</v>
      </c>
      <c r="U548" s="3">
        <v>195792909</v>
      </c>
      <c r="V548" s="3">
        <v>197513131</v>
      </c>
      <c r="W548" s="3">
        <v>0</v>
      </c>
      <c r="X548" s="3">
        <v>1014343</v>
      </c>
      <c r="Y548" s="2">
        <v>8111</v>
      </c>
      <c r="Z548" s="2">
        <v>7845</v>
      </c>
      <c r="AA548" s="2">
        <v>-3.28</v>
      </c>
      <c r="AB548" s="3">
        <v>35868708</v>
      </c>
      <c r="AC548" s="3">
        <v>39303898</v>
      </c>
      <c r="AD548" s="3">
        <v>3478395</v>
      </c>
      <c r="AE548" s="3">
        <v>1500000</v>
      </c>
      <c r="AF548" s="3">
        <v>10126142</v>
      </c>
      <c r="AG548" s="3">
        <v>10400000</v>
      </c>
      <c r="AH548" s="2">
        <v>3.97</v>
      </c>
      <c r="AI548" s="5">
        <v>3.96</v>
      </c>
    </row>
    <row r="549" spans="1:35" x14ac:dyDescent="0.3">
      <c r="A549" s="4" t="str">
        <f>"580805"</f>
        <v>580805</v>
      </c>
      <c r="B549" s="2" t="s">
        <v>545</v>
      </c>
      <c r="C549" s="3">
        <v>96510404</v>
      </c>
      <c r="D549" s="3">
        <v>98054941</v>
      </c>
      <c r="E549" s="2">
        <v>1.6</v>
      </c>
      <c r="F549" s="3">
        <v>73709163</v>
      </c>
      <c r="G549" s="3">
        <v>75179355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73709163</v>
      </c>
      <c r="O549" s="3">
        <v>75179355</v>
      </c>
      <c r="P549" s="2">
        <v>1.99</v>
      </c>
      <c r="Q549" s="3">
        <v>2859967</v>
      </c>
      <c r="R549" s="3">
        <v>3294560</v>
      </c>
      <c r="S549" s="3">
        <v>70849197</v>
      </c>
      <c r="T549" s="3">
        <v>71884796</v>
      </c>
      <c r="U549" s="3">
        <v>70849196</v>
      </c>
      <c r="V549" s="3">
        <v>71884795</v>
      </c>
      <c r="W549" s="3">
        <v>1</v>
      </c>
      <c r="X549" s="3">
        <v>1</v>
      </c>
      <c r="Y549" s="2">
        <v>2804</v>
      </c>
      <c r="Z549" s="2">
        <v>2750</v>
      </c>
      <c r="AA549" s="2">
        <v>-1.93</v>
      </c>
      <c r="AB549" s="3">
        <v>14317179</v>
      </c>
      <c r="AC549" s="3">
        <v>17347743</v>
      </c>
      <c r="AD549" s="3">
        <v>2298022</v>
      </c>
      <c r="AE549" s="3">
        <v>2293455</v>
      </c>
      <c r="AF549" s="3">
        <v>3849980</v>
      </c>
      <c r="AG549" s="3">
        <v>3922196</v>
      </c>
      <c r="AH549" s="2">
        <v>3.99</v>
      </c>
      <c r="AI549" s="5">
        <v>4</v>
      </c>
    </row>
    <row r="550" spans="1:35" x14ac:dyDescent="0.3">
      <c r="A550" s="4" t="str">
        <f>"580901"</f>
        <v>580901</v>
      </c>
      <c r="B550" s="2" t="s">
        <v>546</v>
      </c>
      <c r="C550" s="3">
        <v>14789323</v>
      </c>
      <c r="D550" s="3">
        <v>15218795</v>
      </c>
      <c r="E550" s="2">
        <v>2.9</v>
      </c>
      <c r="F550" s="3">
        <v>13077698</v>
      </c>
      <c r="G550" s="3">
        <v>13197240</v>
      </c>
      <c r="H550" s="3"/>
      <c r="I550" s="3"/>
      <c r="J550" s="3"/>
      <c r="K550" s="3"/>
      <c r="L550" s="3"/>
      <c r="M550" s="3"/>
      <c r="N550" s="3">
        <v>13077698</v>
      </c>
      <c r="O550" s="3">
        <v>13197240</v>
      </c>
      <c r="P550" s="2">
        <v>0.91</v>
      </c>
      <c r="Q550" s="3">
        <v>297544</v>
      </c>
      <c r="R550" s="3">
        <v>248240</v>
      </c>
      <c r="S550" s="3">
        <v>12780154</v>
      </c>
      <c r="T550" s="3">
        <v>12949000</v>
      </c>
      <c r="U550" s="3">
        <v>12780154</v>
      </c>
      <c r="V550" s="3">
        <v>12949000</v>
      </c>
      <c r="W550" s="3">
        <v>0</v>
      </c>
      <c r="X550" s="3">
        <v>0</v>
      </c>
      <c r="Y550" s="2">
        <v>302</v>
      </c>
      <c r="Z550" s="2">
        <v>314</v>
      </c>
      <c r="AA550" s="2">
        <v>3.97</v>
      </c>
      <c r="AB550" s="3">
        <v>796441</v>
      </c>
      <c r="AC550" s="3">
        <v>857050</v>
      </c>
      <c r="AD550" s="3">
        <v>875000</v>
      </c>
      <c r="AE550" s="3">
        <v>1267510</v>
      </c>
      <c r="AF550" s="3">
        <v>591572</v>
      </c>
      <c r="AG550" s="3">
        <v>608751</v>
      </c>
      <c r="AH550" s="2">
        <v>4</v>
      </c>
      <c r="AI550" s="5">
        <v>4</v>
      </c>
    </row>
    <row r="551" spans="1:35" x14ac:dyDescent="0.3">
      <c r="A551" s="4" t="str">
        <f>"580902"</f>
        <v>580902</v>
      </c>
      <c r="B551" s="2" t="s">
        <v>547</v>
      </c>
      <c r="C551" s="3">
        <v>58957227</v>
      </c>
      <c r="D551" s="3">
        <v>60108537</v>
      </c>
      <c r="E551" s="2">
        <v>1.95</v>
      </c>
      <c r="F551" s="3">
        <v>31791179</v>
      </c>
      <c r="G551" s="3">
        <v>32159971</v>
      </c>
      <c r="H551" s="3"/>
      <c r="I551" s="3"/>
      <c r="J551" s="3"/>
      <c r="K551" s="3"/>
      <c r="L551" s="3"/>
      <c r="M551" s="3"/>
      <c r="N551" s="3">
        <v>31791179</v>
      </c>
      <c r="O551" s="3">
        <v>32159971</v>
      </c>
      <c r="P551" s="2">
        <v>1.1599999999999999</v>
      </c>
      <c r="Q551" s="3">
        <v>5124642</v>
      </c>
      <c r="R551" s="3">
        <v>5174125</v>
      </c>
      <c r="S551" s="3">
        <v>26670356</v>
      </c>
      <c r="T551" s="3">
        <v>26988714</v>
      </c>
      <c r="U551" s="3">
        <v>26666537</v>
      </c>
      <c r="V551" s="3">
        <v>26985846</v>
      </c>
      <c r="W551" s="3">
        <v>3819</v>
      </c>
      <c r="X551" s="3">
        <v>2868</v>
      </c>
      <c r="Y551" s="2">
        <v>1803</v>
      </c>
      <c r="Z551" s="2">
        <v>1795</v>
      </c>
      <c r="AA551" s="2">
        <v>-0.44</v>
      </c>
      <c r="AB551" s="3">
        <v>4077955</v>
      </c>
      <c r="AC551" s="3">
        <v>4898879</v>
      </c>
      <c r="AD551" s="3">
        <v>1200000</v>
      </c>
      <c r="AE551" s="3">
        <v>1200000</v>
      </c>
      <c r="AF551" s="3">
        <v>2358259</v>
      </c>
      <c r="AG551" s="3">
        <v>2404341</v>
      </c>
      <c r="AH551" s="2">
        <v>4</v>
      </c>
      <c r="AI551" s="5">
        <v>4</v>
      </c>
    </row>
    <row r="552" spans="1:35" x14ac:dyDescent="0.3">
      <c r="A552" s="4" t="str">
        <f>"580903"</f>
        <v>580903</v>
      </c>
      <c r="B552" s="2" t="s">
        <v>548</v>
      </c>
      <c r="C552" s="3">
        <v>9240211</v>
      </c>
      <c r="D552" s="3">
        <v>9455999</v>
      </c>
      <c r="E552" s="2">
        <v>2.34</v>
      </c>
      <c r="F552" s="3">
        <v>7847196</v>
      </c>
      <c r="G552" s="3">
        <v>8007904</v>
      </c>
      <c r="H552" s="3"/>
      <c r="I552" s="3"/>
      <c r="J552" s="3"/>
      <c r="K552" s="3"/>
      <c r="L552" s="3"/>
      <c r="M552" s="3"/>
      <c r="N552" s="3">
        <v>7847196</v>
      </c>
      <c r="O552" s="3">
        <v>8007904</v>
      </c>
      <c r="P552" s="2">
        <v>2.0499999999999998</v>
      </c>
      <c r="Q552" s="3">
        <v>34765</v>
      </c>
      <c r="R552" s="3">
        <v>50794</v>
      </c>
      <c r="S552" s="3">
        <v>7812431</v>
      </c>
      <c r="T552" s="3">
        <v>7957110</v>
      </c>
      <c r="U552" s="3">
        <v>7812431</v>
      </c>
      <c r="V552" s="3">
        <v>7957110</v>
      </c>
      <c r="W552" s="3">
        <v>0</v>
      </c>
      <c r="X552" s="3">
        <v>0</v>
      </c>
      <c r="Y552" s="2">
        <v>87</v>
      </c>
      <c r="Z552" s="2">
        <v>120</v>
      </c>
      <c r="AA552" s="2">
        <v>37.93</v>
      </c>
      <c r="AB552" s="3">
        <v>2045664</v>
      </c>
      <c r="AC552" s="3">
        <v>2108000</v>
      </c>
      <c r="AD552" s="3">
        <v>943405</v>
      </c>
      <c r="AE552" s="3">
        <v>978317</v>
      </c>
      <c r="AF552" s="3">
        <v>1866699</v>
      </c>
      <c r="AG552" s="3">
        <v>1100000</v>
      </c>
      <c r="AH552" s="2">
        <v>20.2</v>
      </c>
      <c r="AI552" s="5">
        <v>11.63</v>
      </c>
    </row>
    <row r="553" spans="1:35" x14ac:dyDescent="0.3">
      <c r="A553" s="4" t="str">
        <f>"580905"</f>
        <v>580905</v>
      </c>
      <c r="B553" s="2" t="s">
        <v>549</v>
      </c>
      <c r="C553" s="3">
        <v>55205086</v>
      </c>
      <c r="D553" s="3">
        <v>57318187</v>
      </c>
      <c r="E553" s="2">
        <v>3.83</v>
      </c>
      <c r="F553" s="3">
        <v>47124320</v>
      </c>
      <c r="G553" s="3">
        <v>47124320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47124320</v>
      </c>
      <c r="O553" s="3">
        <v>47124320</v>
      </c>
      <c r="P553" s="2">
        <v>0</v>
      </c>
      <c r="Q553" s="3">
        <v>4142260</v>
      </c>
      <c r="R553" s="3">
        <v>3978883</v>
      </c>
      <c r="S553" s="3">
        <v>43054530</v>
      </c>
      <c r="T553" s="3">
        <v>43922277</v>
      </c>
      <c r="U553" s="3">
        <v>42982060</v>
      </c>
      <c r="V553" s="3">
        <v>43145437</v>
      </c>
      <c r="W553" s="3">
        <v>72470</v>
      </c>
      <c r="X553" s="3">
        <v>776840</v>
      </c>
      <c r="Y553" s="2">
        <v>2050</v>
      </c>
      <c r="Z553" s="2">
        <v>2050</v>
      </c>
      <c r="AA553" s="2">
        <v>0</v>
      </c>
      <c r="AB553" s="3">
        <v>8962873</v>
      </c>
      <c r="AC553" s="3">
        <v>10392148</v>
      </c>
      <c r="AD553" s="3">
        <v>201839</v>
      </c>
      <c r="AE553" s="3">
        <v>210000</v>
      </c>
      <c r="AF553" s="3">
        <v>2208200</v>
      </c>
      <c r="AG553" s="3">
        <v>2292727</v>
      </c>
      <c r="AH553" s="2">
        <v>4</v>
      </c>
      <c r="AI553" s="5">
        <v>4</v>
      </c>
    </row>
    <row r="554" spans="1:35" x14ac:dyDescent="0.3">
      <c r="A554" s="4" t="str">
        <f>"580906"</f>
        <v>580906</v>
      </c>
      <c r="B554" s="2" t="s">
        <v>550</v>
      </c>
      <c r="C554" s="3">
        <v>72856393</v>
      </c>
      <c r="D554" s="3">
        <v>73999900</v>
      </c>
      <c r="E554" s="2">
        <v>1.57</v>
      </c>
      <c r="F554" s="3">
        <v>60640842</v>
      </c>
      <c r="G554" s="3">
        <v>60683686</v>
      </c>
      <c r="H554" s="3">
        <v>0</v>
      </c>
      <c r="I554" s="3">
        <v>0</v>
      </c>
      <c r="J554" s="3">
        <v>0</v>
      </c>
      <c r="K554" s="3">
        <v>0</v>
      </c>
      <c r="L554" s="3">
        <v>1199999</v>
      </c>
      <c r="M554" s="3">
        <v>250000</v>
      </c>
      <c r="N554" s="3">
        <v>59440843</v>
      </c>
      <c r="O554" s="3">
        <v>60433686</v>
      </c>
      <c r="P554" s="2">
        <v>1.67</v>
      </c>
      <c r="Q554" s="3">
        <v>3257069</v>
      </c>
      <c r="R554" s="3">
        <v>3433461</v>
      </c>
      <c r="S554" s="3">
        <v>60683686</v>
      </c>
      <c r="T554" s="3">
        <v>60640842</v>
      </c>
      <c r="U554" s="3">
        <v>57383773</v>
      </c>
      <c r="V554" s="3">
        <v>57250225</v>
      </c>
      <c r="W554" s="3">
        <v>3299913</v>
      </c>
      <c r="X554" s="3">
        <v>3390617</v>
      </c>
      <c r="Y554" s="2">
        <v>1427</v>
      </c>
      <c r="Z554" s="2">
        <v>1422</v>
      </c>
      <c r="AA554" s="2">
        <v>-0.35</v>
      </c>
      <c r="AB554" s="3">
        <v>23606104</v>
      </c>
      <c r="AC554" s="3">
        <v>25000000</v>
      </c>
      <c r="AD554" s="3">
        <v>1000000</v>
      </c>
      <c r="AE554" s="3">
        <v>500000</v>
      </c>
      <c r="AF554" s="3">
        <v>3977294</v>
      </c>
      <c r="AG554" s="3">
        <v>2050000</v>
      </c>
      <c r="AH554" s="2">
        <v>5.46</v>
      </c>
      <c r="AI554" s="5">
        <v>2.77</v>
      </c>
    </row>
    <row r="555" spans="1:35" x14ac:dyDescent="0.3">
      <c r="A555" s="4" t="str">
        <f>"580909"</f>
        <v>580909</v>
      </c>
      <c r="B555" s="2" t="s">
        <v>551</v>
      </c>
      <c r="C555" s="3">
        <v>18986122</v>
      </c>
      <c r="D555" s="3">
        <v>20658612</v>
      </c>
      <c r="E555" s="2">
        <v>8.81</v>
      </c>
      <c r="F555" s="3">
        <v>16423632</v>
      </c>
      <c r="G555" s="3">
        <v>17889822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16423632</v>
      </c>
      <c r="O555" s="3">
        <v>17889822</v>
      </c>
      <c r="P555" s="2">
        <v>8.93</v>
      </c>
      <c r="Q555" s="3">
        <v>2517384</v>
      </c>
      <c r="R555" s="3">
        <v>2518994</v>
      </c>
      <c r="S555" s="3">
        <v>13906248</v>
      </c>
      <c r="T555" s="3">
        <v>14385876</v>
      </c>
      <c r="U555" s="3">
        <v>13906248</v>
      </c>
      <c r="V555" s="3">
        <v>15370828</v>
      </c>
      <c r="W555" s="3">
        <v>0</v>
      </c>
      <c r="X555" s="3">
        <v>-984952</v>
      </c>
      <c r="Y555" s="2">
        <v>218</v>
      </c>
      <c r="Z555" s="2">
        <v>212</v>
      </c>
      <c r="AA555" s="2">
        <v>-2.75</v>
      </c>
      <c r="AB555" s="3">
        <v>1901235</v>
      </c>
      <c r="AC555" s="3">
        <v>1565985</v>
      </c>
      <c r="AD555" s="3">
        <v>600000</v>
      </c>
      <c r="AE555" s="3">
        <v>400000</v>
      </c>
      <c r="AF555" s="3">
        <v>596445</v>
      </c>
      <c r="AG555" s="3">
        <v>826344</v>
      </c>
      <c r="AH555" s="2">
        <v>3.14</v>
      </c>
      <c r="AI555" s="5">
        <v>4</v>
      </c>
    </row>
    <row r="556" spans="1:35" x14ac:dyDescent="0.3">
      <c r="A556" s="4" t="str">
        <f>"580912"</f>
        <v>580912</v>
      </c>
      <c r="B556" s="2" t="s">
        <v>552</v>
      </c>
      <c r="C556" s="3">
        <v>97108005</v>
      </c>
      <c r="D556" s="3">
        <v>98687843</v>
      </c>
      <c r="E556" s="2">
        <v>1.63</v>
      </c>
      <c r="F556" s="3">
        <v>56904991</v>
      </c>
      <c r="G556" s="3">
        <v>58347350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56904991</v>
      </c>
      <c r="O556" s="3">
        <v>58347350</v>
      </c>
      <c r="P556" s="2">
        <v>2.5299999999999998</v>
      </c>
      <c r="Q556" s="3">
        <v>494408</v>
      </c>
      <c r="R556" s="3">
        <v>433223</v>
      </c>
      <c r="S556" s="3">
        <v>56410583</v>
      </c>
      <c r="T556" s="3">
        <v>57914127</v>
      </c>
      <c r="U556" s="3">
        <v>56410583</v>
      </c>
      <c r="V556" s="3">
        <v>57914127</v>
      </c>
      <c r="W556" s="3">
        <v>0</v>
      </c>
      <c r="X556" s="3">
        <v>0</v>
      </c>
      <c r="Y556" s="2">
        <v>3069</v>
      </c>
      <c r="Z556" s="2">
        <v>2911</v>
      </c>
      <c r="AA556" s="2">
        <v>-5.15</v>
      </c>
      <c r="AB556" s="3">
        <v>13769009</v>
      </c>
      <c r="AC556" s="3">
        <v>14419060</v>
      </c>
      <c r="AD556" s="3">
        <v>233780</v>
      </c>
      <c r="AE556" s="3">
        <v>0</v>
      </c>
      <c r="AF556" s="3">
        <v>3884320</v>
      </c>
      <c r="AG556" s="3">
        <v>3947514</v>
      </c>
      <c r="AH556" s="2">
        <v>4</v>
      </c>
      <c r="AI556" s="5">
        <v>4</v>
      </c>
    </row>
    <row r="557" spans="1:35" x14ac:dyDescent="0.3">
      <c r="A557" s="4" t="str">
        <f>"580913"</f>
        <v>580913</v>
      </c>
      <c r="B557" s="2" t="s">
        <v>553</v>
      </c>
      <c r="C557" s="3">
        <v>22181417</v>
      </c>
      <c r="D557" s="3">
        <v>23137474</v>
      </c>
      <c r="E557" s="2">
        <v>4.3099999999999996</v>
      </c>
      <c r="F557" s="3">
        <v>18821496</v>
      </c>
      <c r="G557" s="3">
        <v>19207768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18821496</v>
      </c>
      <c r="O557" s="3">
        <v>19207768</v>
      </c>
      <c r="P557" s="2">
        <v>2.0499999999999998</v>
      </c>
      <c r="Q557" s="3">
        <v>0</v>
      </c>
      <c r="R557" s="3">
        <v>16977</v>
      </c>
      <c r="S557" s="3">
        <v>19289025</v>
      </c>
      <c r="T557" s="3">
        <v>19190856</v>
      </c>
      <c r="U557" s="3">
        <v>18821496</v>
      </c>
      <c r="V557" s="3">
        <v>19190791</v>
      </c>
      <c r="W557" s="3">
        <v>467529</v>
      </c>
      <c r="X557" s="3">
        <v>65</v>
      </c>
      <c r="Y557" s="2">
        <v>434</v>
      </c>
      <c r="Z557" s="2">
        <v>440</v>
      </c>
      <c r="AA557" s="2">
        <v>1.38</v>
      </c>
      <c r="AB557" s="3">
        <v>4961865</v>
      </c>
      <c r="AC557" s="3">
        <v>4961865</v>
      </c>
      <c r="AD557" s="3">
        <v>1500954</v>
      </c>
      <c r="AE557" s="3">
        <v>1194223</v>
      </c>
      <c r="AF557" s="3">
        <v>1013898</v>
      </c>
      <c r="AG557" s="3">
        <v>925500</v>
      </c>
      <c r="AH557" s="2">
        <v>4.57</v>
      </c>
      <c r="AI557" s="5">
        <v>4</v>
      </c>
    </row>
    <row r="558" spans="1:35" x14ac:dyDescent="0.3">
      <c r="A558" s="4" t="str">
        <f>"580917"</f>
        <v>580917</v>
      </c>
      <c r="B558" s="2" t="s">
        <v>554</v>
      </c>
      <c r="C558" s="3">
        <v>26279012</v>
      </c>
      <c r="D558" s="3">
        <v>26913297</v>
      </c>
      <c r="E558" s="2">
        <v>2.41</v>
      </c>
      <c r="F558" s="3">
        <v>23767616</v>
      </c>
      <c r="G558" s="3">
        <v>24198923</v>
      </c>
      <c r="H558" s="3"/>
      <c r="I558" s="3"/>
      <c r="J558" s="3"/>
      <c r="K558" s="3"/>
      <c r="L558" s="3"/>
      <c r="M558" s="3"/>
      <c r="N558" s="3">
        <v>23767616</v>
      </c>
      <c r="O558" s="3">
        <v>24198923</v>
      </c>
      <c r="P558" s="2">
        <v>1.81</v>
      </c>
      <c r="Q558" s="3">
        <v>596118</v>
      </c>
      <c r="R558" s="3">
        <v>690725</v>
      </c>
      <c r="S558" s="3">
        <v>23171498</v>
      </c>
      <c r="T558" s="3">
        <v>23508198</v>
      </c>
      <c r="U558" s="3">
        <v>23171498</v>
      </c>
      <c r="V558" s="3">
        <v>23508198</v>
      </c>
      <c r="W558" s="3">
        <v>0</v>
      </c>
      <c r="X558" s="3">
        <v>0</v>
      </c>
      <c r="Y558" s="2">
        <v>385</v>
      </c>
      <c r="Z558" s="2">
        <v>385</v>
      </c>
      <c r="AA558" s="2">
        <v>0</v>
      </c>
      <c r="AB558" s="3">
        <v>3831275</v>
      </c>
      <c r="AC558" s="3">
        <v>3977341</v>
      </c>
      <c r="AD558" s="3">
        <v>960000</v>
      </c>
      <c r="AE558" s="3">
        <v>960000</v>
      </c>
      <c r="AF558" s="3">
        <v>4440921</v>
      </c>
      <c r="AG558" s="3">
        <v>4000000</v>
      </c>
      <c r="AH558" s="2">
        <v>16.899999999999999</v>
      </c>
      <c r="AI558" s="5">
        <v>14.86</v>
      </c>
    </row>
    <row r="559" spans="1:35" x14ac:dyDescent="0.3">
      <c r="A559" s="4" t="str">
        <f>"581002"</f>
        <v>581002</v>
      </c>
      <c r="B559" s="2" t="s">
        <v>555</v>
      </c>
      <c r="C559" s="3">
        <v>5834902</v>
      </c>
      <c r="D559" s="3">
        <v>5681041</v>
      </c>
      <c r="E559" s="2">
        <v>-2.64</v>
      </c>
      <c r="F559" s="3">
        <v>5185402</v>
      </c>
      <c r="G559" s="3">
        <v>5129691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5185402</v>
      </c>
      <c r="O559" s="3">
        <v>5129691</v>
      </c>
      <c r="P559" s="2">
        <v>-1.07</v>
      </c>
      <c r="Q559" s="3">
        <v>0</v>
      </c>
      <c r="R559" s="3">
        <v>0</v>
      </c>
      <c r="S559" s="3">
        <v>5379708</v>
      </c>
      <c r="T559" s="3">
        <v>5285790</v>
      </c>
      <c r="U559" s="3">
        <v>5185402</v>
      </c>
      <c r="V559" s="3">
        <v>5129691</v>
      </c>
      <c r="W559" s="3">
        <v>194306</v>
      </c>
      <c r="X559" s="3">
        <v>156099</v>
      </c>
      <c r="Y559" s="2">
        <v>157</v>
      </c>
      <c r="Z559" s="2">
        <v>154</v>
      </c>
      <c r="AA559" s="2">
        <v>-1.91</v>
      </c>
      <c r="AB559" s="3">
        <v>1206541</v>
      </c>
      <c r="AC559" s="3">
        <v>1206541</v>
      </c>
      <c r="AD559" s="3">
        <v>150000</v>
      </c>
      <c r="AE559" s="3">
        <v>100000</v>
      </c>
      <c r="AF559" s="3">
        <v>1402045</v>
      </c>
      <c r="AG559" s="3">
        <v>1229003</v>
      </c>
      <c r="AH559" s="2">
        <v>24.03</v>
      </c>
      <c r="AI559" s="5">
        <v>21.63</v>
      </c>
    </row>
    <row r="560" spans="1:35" x14ac:dyDescent="0.3">
      <c r="A560" s="4" t="str">
        <f>"581004"</f>
        <v>581004</v>
      </c>
      <c r="B560" s="2" t="s">
        <v>556</v>
      </c>
      <c r="C560" s="3">
        <v>3649481</v>
      </c>
      <c r="D560" s="3">
        <v>3746392</v>
      </c>
      <c r="E560" s="2">
        <v>2.66</v>
      </c>
      <c r="F560" s="3">
        <v>3263513</v>
      </c>
      <c r="G560" s="3">
        <v>3334828</v>
      </c>
      <c r="H560" s="3">
        <v>51000</v>
      </c>
      <c r="I560" s="3">
        <v>51000</v>
      </c>
      <c r="J560" s="3"/>
      <c r="K560" s="3"/>
      <c r="L560" s="3"/>
      <c r="M560" s="3"/>
      <c r="N560" s="3">
        <v>3314513</v>
      </c>
      <c r="O560" s="3">
        <v>3385828</v>
      </c>
      <c r="P560" s="2">
        <v>2.15</v>
      </c>
      <c r="Q560" s="3">
        <v>0</v>
      </c>
      <c r="R560" s="3">
        <v>0</v>
      </c>
      <c r="S560" s="3">
        <v>3263513</v>
      </c>
      <c r="T560" s="3">
        <v>3334828</v>
      </c>
      <c r="U560" s="3">
        <v>3263513</v>
      </c>
      <c r="V560" s="3">
        <v>3334828</v>
      </c>
      <c r="W560" s="3">
        <v>0</v>
      </c>
      <c r="X560" s="3">
        <v>0</v>
      </c>
      <c r="Y560" s="2">
        <v>65</v>
      </c>
      <c r="Z560" s="2">
        <v>70</v>
      </c>
      <c r="AA560" s="2">
        <v>7.69</v>
      </c>
      <c r="AB560" s="3">
        <v>1277553</v>
      </c>
      <c r="AC560" s="3">
        <v>1112573</v>
      </c>
      <c r="AD560" s="3">
        <v>0</v>
      </c>
      <c r="AE560" s="3">
        <v>0</v>
      </c>
      <c r="AF560" s="3">
        <v>125000</v>
      </c>
      <c r="AG560" s="3">
        <v>125000</v>
      </c>
      <c r="AH560" s="2">
        <v>3.43</v>
      </c>
      <c r="AI560" s="5">
        <v>3.34</v>
      </c>
    </row>
    <row r="561" spans="1:35" x14ac:dyDescent="0.3">
      <c r="A561" s="4" t="str">
        <f>"581005"</f>
        <v>581005</v>
      </c>
      <c r="B561" s="2" t="s">
        <v>557</v>
      </c>
      <c r="C561" s="3">
        <v>31010000</v>
      </c>
      <c r="D561" s="3">
        <v>31604000</v>
      </c>
      <c r="E561" s="2">
        <v>1.92</v>
      </c>
      <c r="F561" s="3">
        <v>27600000</v>
      </c>
      <c r="G561" s="3">
        <v>28106000</v>
      </c>
      <c r="H561" s="3"/>
      <c r="I561" s="3"/>
      <c r="J561" s="3"/>
      <c r="K561" s="3"/>
      <c r="L561" s="3"/>
      <c r="M561" s="3"/>
      <c r="N561" s="3">
        <v>27600000</v>
      </c>
      <c r="O561" s="3">
        <v>28106000</v>
      </c>
      <c r="P561" s="2">
        <v>1.83</v>
      </c>
      <c r="Q561" s="3">
        <v>790069</v>
      </c>
      <c r="R561" s="3">
        <v>737764</v>
      </c>
      <c r="S561" s="3">
        <v>27012265</v>
      </c>
      <c r="T561" s="3">
        <v>27368797</v>
      </c>
      <c r="U561" s="3">
        <v>26809931</v>
      </c>
      <c r="V561" s="3">
        <v>27368236</v>
      </c>
      <c r="W561" s="3">
        <v>202334</v>
      </c>
      <c r="X561" s="3">
        <v>561</v>
      </c>
      <c r="Y561" s="2">
        <v>753</v>
      </c>
      <c r="Z561" s="2">
        <v>750</v>
      </c>
      <c r="AA561" s="2">
        <v>-0.4</v>
      </c>
      <c r="AB561" s="3">
        <v>10273063</v>
      </c>
      <c r="AC561" s="3">
        <v>11835140</v>
      </c>
      <c r="AD561" s="3">
        <v>656094</v>
      </c>
      <c r="AE561" s="3">
        <v>600000</v>
      </c>
      <c r="AF561" s="3">
        <v>1223311</v>
      </c>
      <c r="AG561" s="3">
        <v>1264160</v>
      </c>
      <c r="AH561" s="2">
        <v>3.94</v>
      </c>
      <c r="AI561" s="5">
        <v>4</v>
      </c>
    </row>
    <row r="562" spans="1:35" x14ac:dyDescent="0.3">
      <c r="A562" s="4" t="str">
        <f>"581010"</f>
        <v>581010</v>
      </c>
      <c r="B562" s="2" t="s">
        <v>558</v>
      </c>
      <c r="C562" s="3">
        <v>20100000</v>
      </c>
      <c r="D562" s="3">
        <v>20452000</v>
      </c>
      <c r="E562" s="2">
        <v>1.75</v>
      </c>
      <c r="F562" s="3">
        <v>15774000</v>
      </c>
      <c r="G562" s="3">
        <v>16094500</v>
      </c>
      <c r="H562" s="3"/>
      <c r="I562" s="3"/>
      <c r="J562" s="3"/>
      <c r="K562" s="3"/>
      <c r="L562" s="3"/>
      <c r="M562" s="3"/>
      <c r="N562" s="3">
        <v>15774000</v>
      </c>
      <c r="O562" s="3">
        <v>16094500</v>
      </c>
      <c r="P562" s="2">
        <v>2.0299999999999998</v>
      </c>
      <c r="Q562" s="3">
        <v>645652</v>
      </c>
      <c r="R562" s="3">
        <v>654212</v>
      </c>
      <c r="S562" s="3">
        <v>15128719</v>
      </c>
      <c r="T562" s="3">
        <v>15440574</v>
      </c>
      <c r="U562" s="3">
        <v>15128348</v>
      </c>
      <c r="V562" s="3">
        <v>15440288</v>
      </c>
      <c r="W562" s="3">
        <v>371</v>
      </c>
      <c r="X562" s="3">
        <v>286</v>
      </c>
      <c r="Y562" s="2">
        <v>657</v>
      </c>
      <c r="Z562" s="2">
        <v>657</v>
      </c>
      <c r="AA562" s="2">
        <v>0</v>
      </c>
      <c r="AB562" s="3">
        <v>3499411</v>
      </c>
      <c r="AC562" s="3">
        <v>4086917</v>
      </c>
      <c r="AD562" s="3">
        <v>583562</v>
      </c>
      <c r="AE562" s="3">
        <v>575000</v>
      </c>
      <c r="AF562" s="3">
        <v>800495</v>
      </c>
      <c r="AG562" s="3">
        <v>818050</v>
      </c>
      <c r="AH562" s="2">
        <v>3.98</v>
      </c>
      <c r="AI562" s="5">
        <v>4</v>
      </c>
    </row>
    <row r="563" spans="1:35" x14ac:dyDescent="0.3">
      <c r="A563" s="4" t="str">
        <f>"581012"</f>
        <v>581012</v>
      </c>
      <c r="B563" s="2" t="s">
        <v>559</v>
      </c>
      <c r="C563" s="3">
        <v>41418100</v>
      </c>
      <c r="D563" s="3">
        <v>42216806</v>
      </c>
      <c r="E563" s="2">
        <v>1.93</v>
      </c>
      <c r="F563" s="3">
        <v>37494923</v>
      </c>
      <c r="G563" s="3">
        <v>38028742</v>
      </c>
      <c r="H563" s="3"/>
      <c r="I563" s="3"/>
      <c r="J563" s="3"/>
      <c r="K563" s="3"/>
      <c r="L563" s="3"/>
      <c r="M563" s="3"/>
      <c r="N563" s="3">
        <v>37494923</v>
      </c>
      <c r="O563" s="3">
        <v>38028742</v>
      </c>
      <c r="P563" s="2">
        <v>1.42</v>
      </c>
      <c r="Q563" s="3">
        <v>1495142</v>
      </c>
      <c r="R563" s="3">
        <v>1614963</v>
      </c>
      <c r="S563" s="3">
        <v>36200364</v>
      </c>
      <c r="T563" s="3">
        <v>36796671</v>
      </c>
      <c r="U563" s="3">
        <v>35999781</v>
      </c>
      <c r="V563" s="3">
        <v>36413779</v>
      </c>
      <c r="W563" s="3">
        <v>200583</v>
      </c>
      <c r="X563" s="3">
        <v>382892</v>
      </c>
      <c r="Y563" s="2">
        <v>1039</v>
      </c>
      <c r="Z563" s="2">
        <v>1094</v>
      </c>
      <c r="AA563" s="2">
        <v>5.29</v>
      </c>
      <c r="AB563" s="3">
        <v>9313295</v>
      </c>
      <c r="AC563" s="3">
        <v>11444622</v>
      </c>
      <c r="AD563" s="3">
        <v>1051500</v>
      </c>
      <c r="AE563" s="3">
        <v>950000</v>
      </c>
      <c r="AF563" s="3">
        <v>539180</v>
      </c>
      <c r="AG563" s="3">
        <v>1688672</v>
      </c>
      <c r="AH563" s="2">
        <v>1.3</v>
      </c>
      <c r="AI563" s="5">
        <v>4</v>
      </c>
    </row>
    <row r="564" spans="1:35" x14ac:dyDescent="0.3">
      <c r="A564" s="4" t="str">
        <f>"590501"</f>
        <v>590501</v>
      </c>
      <c r="B564" s="2" t="s">
        <v>560</v>
      </c>
      <c r="C564" s="3">
        <v>45991556</v>
      </c>
      <c r="D564" s="3">
        <v>47994681</v>
      </c>
      <c r="E564" s="2">
        <v>4.3600000000000003</v>
      </c>
      <c r="F564" s="3">
        <v>19739717</v>
      </c>
      <c r="G564" s="3">
        <v>19739717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19739717</v>
      </c>
      <c r="O564" s="3">
        <v>19739717</v>
      </c>
      <c r="P564" s="2">
        <v>0</v>
      </c>
      <c r="Q564" s="3">
        <v>0</v>
      </c>
      <c r="R564" s="3">
        <v>0</v>
      </c>
      <c r="S564" s="3">
        <v>20519867</v>
      </c>
      <c r="T564" s="3">
        <v>20387848</v>
      </c>
      <c r="U564" s="3">
        <v>19739717</v>
      </c>
      <c r="V564" s="3">
        <v>19739717</v>
      </c>
      <c r="W564" s="3">
        <v>780150</v>
      </c>
      <c r="X564" s="3">
        <v>648131</v>
      </c>
      <c r="Y564" s="2">
        <v>1508</v>
      </c>
      <c r="Z564" s="2">
        <v>1511</v>
      </c>
      <c r="AA564" s="2">
        <v>0.2</v>
      </c>
      <c r="AB564" s="3">
        <v>6462733</v>
      </c>
      <c r="AC564" s="3">
        <v>6468745</v>
      </c>
      <c r="AD564" s="3">
        <v>1767769</v>
      </c>
      <c r="AE564" s="3">
        <v>1516665</v>
      </c>
      <c r="AF564" s="3">
        <v>1344597</v>
      </c>
      <c r="AG564" s="3">
        <v>1920000</v>
      </c>
      <c r="AH564" s="2">
        <v>2.92</v>
      </c>
      <c r="AI564" s="5">
        <v>4</v>
      </c>
    </row>
    <row r="565" spans="1:35" x14ac:dyDescent="0.3">
      <c r="A565" s="4" t="str">
        <f>"590801"</f>
        <v>590801</v>
      </c>
      <c r="B565" s="2" t="s">
        <v>561</v>
      </c>
      <c r="C565" s="3">
        <v>18364424</v>
      </c>
      <c r="D565" s="3">
        <v>18607926</v>
      </c>
      <c r="E565" s="2">
        <v>1.33</v>
      </c>
      <c r="F565" s="3">
        <v>12170173</v>
      </c>
      <c r="G565" s="3">
        <v>11930173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12170173</v>
      </c>
      <c r="O565" s="3">
        <v>11930173</v>
      </c>
      <c r="P565" s="2">
        <v>-1.97</v>
      </c>
      <c r="Q565" s="3">
        <v>846205</v>
      </c>
      <c r="R565" s="3">
        <v>800202</v>
      </c>
      <c r="S565" s="3">
        <v>11323968</v>
      </c>
      <c r="T565" s="3">
        <v>11503063</v>
      </c>
      <c r="U565" s="3">
        <v>11323968</v>
      </c>
      <c r="V565" s="3">
        <v>11129971</v>
      </c>
      <c r="W565" s="3">
        <v>0</v>
      </c>
      <c r="X565" s="3">
        <v>373092</v>
      </c>
      <c r="Y565" s="2">
        <v>482</v>
      </c>
      <c r="Z565" s="2">
        <v>478</v>
      </c>
      <c r="AA565" s="2">
        <v>-0.83</v>
      </c>
      <c r="AB565" s="3">
        <v>1517597</v>
      </c>
      <c r="AC565" s="3">
        <v>1400597</v>
      </c>
      <c r="AD565" s="3">
        <v>30071</v>
      </c>
      <c r="AE565" s="3">
        <v>42000</v>
      </c>
      <c r="AF565" s="3">
        <v>639667</v>
      </c>
      <c r="AG565" s="3">
        <v>939667</v>
      </c>
      <c r="AH565" s="2">
        <v>3.48</v>
      </c>
      <c r="AI565" s="5">
        <v>5.05</v>
      </c>
    </row>
    <row r="566" spans="1:35" x14ac:dyDescent="0.3">
      <c r="A566" s="4" t="str">
        <f>"590901"</f>
        <v>590901</v>
      </c>
      <c r="B566" s="2" t="s">
        <v>562</v>
      </c>
      <c r="C566" s="3">
        <v>50324923</v>
      </c>
      <c r="D566" s="3">
        <v>53962992</v>
      </c>
      <c r="E566" s="2">
        <v>7.23</v>
      </c>
      <c r="F566" s="3">
        <v>18760162</v>
      </c>
      <c r="G566" s="3">
        <v>18760162</v>
      </c>
      <c r="H566" s="3">
        <v>12551</v>
      </c>
      <c r="I566" s="3">
        <v>152200</v>
      </c>
      <c r="J566" s="3">
        <v>0</v>
      </c>
      <c r="K566" s="3">
        <v>0</v>
      </c>
      <c r="L566" s="3">
        <v>0</v>
      </c>
      <c r="M566" s="3">
        <v>0</v>
      </c>
      <c r="N566" s="3">
        <v>18772713</v>
      </c>
      <c r="O566" s="3">
        <v>18912362</v>
      </c>
      <c r="P566" s="2">
        <v>0.74</v>
      </c>
      <c r="Q566" s="3">
        <v>0</v>
      </c>
      <c r="R566" s="3">
        <v>0</v>
      </c>
      <c r="S566" s="3">
        <v>19267724</v>
      </c>
      <c r="T566" s="3">
        <v>19243804</v>
      </c>
      <c r="U566" s="3">
        <v>18760162</v>
      </c>
      <c r="V566" s="3">
        <v>18760162</v>
      </c>
      <c r="W566" s="3">
        <v>507562</v>
      </c>
      <c r="X566" s="3">
        <v>483642</v>
      </c>
      <c r="Y566" s="2">
        <v>1773</v>
      </c>
      <c r="Z566" s="2">
        <v>1775</v>
      </c>
      <c r="AA566" s="2">
        <v>0.11</v>
      </c>
      <c r="AB566" s="3">
        <v>5964575</v>
      </c>
      <c r="AC566" s="3">
        <v>5964575</v>
      </c>
      <c r="AD566" s="3">
        <v>2144663</v>
      </c>
      <c r="AE566" s="3">
        <v>2994663</v>
      </c>
      <c r="AF566" s="3">
        <v>3591989</v>
      </c>
      <c r="AG566" s="3">
        <v>2500000</v>
      </c>
      <c r="AH566" s="2">
        <v>7.14</v>
      </c>
      <c r="AI566" s="5">
        <v>4.63</v>
      </c>
    </row>
    <row r="567" spans="1:35" x14ac:dyDescent="0.3">
      <c r="A567" s="4" t="str">
        <f>"591201"</f>
        <v>591201</v>
      </c>
      <c r="B567" s="2" t="s">
        <v>563</v>
      </c>
      <c r="C567" s="3">
        <v>34870077</v>
      </c>
      <c r="D567" s="3">
        <v>35171263</v>
      </c>
      <c r="E567" s="2">
        <v>0.86</v>
      </c>
      <c r="F567" s="3">
        <v>21154821</v>
      </c>
      <c r="G567" s="3">
        <v>20986560</v>
      </c>
      <c r="H567" s="3"/>
      <c r="I567" s="3"/>
      <c r="J567" s="3"/>
      <c r="K567" s="3"/>
      <c r="L567" s="3"/>
      <c r="M567" s="3"/>
      <c r="N567" s="3">
        <v>21154821</v>
      </c>
      <c r="O567" s="3">
        <v>20986560</v>
      </c>
      <c r="P567" s="2">
        <v>-0.8</v>
      </c>
      <c r="Q567" s="3">
        <v>0</v>
      </c>
      <c r="R567" s="3">
        <v>0</v>
      </c>
      <c r="S567" s="3">
        <v>21154821</v>
      </c>
      <c r="T567" s="3">
        <v>20986560</v>
      </c>
      <c r="U567" s="3">
        <v>21154821</v>
      </c>
      <c r="V567" s="3">
        <v>20986560</v>
      </c>
      <c r="W567" s="3">
        <v>0</v>
      </c>
      <c r="X567" s="3">
        <v>0</v>
      </c>
      <c r="Y567" s="2">
        <v>963</v>
      </c>
      <c r="Z567" s="2">
        <v>915</v>
      </c>
      <c r="AA567" s="2">
        <v>-4.9800000000000004</v>
      </c>
      <c r="AB567" s="3">
        <v>13812839</v>
      </c>
      <c r="AC567" s="3">
        <v>11750000</v>
      </c>
      <c r="AD567" s="3">
        <v>2141652</v>
      </c>
      <c r="AE567" s="3">
        <v>2150000</v>
      </c>
      <c r="AF567" s="3">
        <v>4511854</v>
      </c>
      <c r="AG567" s="3">
        <v>3000000</v>
      </c>
      <c r="AH567" s="2">
        <v>12.94</v>
      </c>
      <c r="AI567" s="5">
        <v>8.5299999999999994</v>
      </c>
    </row>
    <row r="568" spans="1:35" x14ac:dyDescent="0.3">
      <c r="A568" s="4" t="str">
        <f>"591301"</f>
        <v>591301</v>
      </c>
      <c r="B568" s="2" t="s">
        <v>564</v>
      </c>
      <c r="C568" s="3">
        <v>9632190</v>
      </c>
      <c r="D568" s="3">
        <v>9913365</v>
      </c>
      <c r="E568" s="2">
        <v>2.92</v>
      </c>
      <c r="F568" s="3">
        <v>5475629</v>
      </c>
      <c r="G568" s="3">
        <v>5575273</v>
      </c>
      <c r="H568" s="3"/>
      <c r="I568" s="3"/>
      <c r="J568" s="3"/>
      <c r="K568" s="3"/>
      <c r="L568" s="3"/>
      <c r="M568" s="3"/>
      <c r="N568" s="3">
        <v>5475629</v>
      </c>
      <c r="O568" s="3">
        <v>5575273</v>
      </c>
      <c r="P568" s="2">
        <v>1.82</v>
      </c>
      <c r="Q568" s="3">
        <v>178065</v>
      </c>
      <c r="R568" s="3">
        <v>190322</v>
      </c>
      <c r="S568" s="3">
        <v>5297561</v>
      </c>
      <c r="T568" s="3">
        <v>5384951</v>
      </c>
      <c r="U568" s="3">
        <v>5297564</v>
      </c>
      <c r="V568" s="3">
        <v>5384951</v>
      </c>
      <c r="W568" s="3">
        <v>-3</v>
      </c>
      <c r="X568" s="3">
        <v>0</v>
      </c>
      <c r="Y568" s="2">
        <v>253</v>
      </c>
      <c r="Z568" s="2">
        <v>255</v>
      </c>
      <c r="AA568" s="2">
        <v>0.79</v>
      </c>
      <c r="AB568" s="3">
        <v>1588857</v>
      </c>
      <c r="AC568" s="3">
        <v>1588857</v>
      </c>
      <c r="AD568" s="3">
        <v>345000</v>
      </c>
      <c r="AE568" s="3">
        <v>444207</v>
      </c>
      <c r="AF568" s="3">
        <v>672408</v>
      </c>
      <c r="AG568" s="3">
        <v>573201</v>
      </c>
      <c r="AH568" s="2">
        <v>6.98</v>
      </c>
      <c r="AI568" s="5">
        <v>5.78</v>
      </c>
    </row>
    <row r="569" spans="1:35" x14ac:dyDescent="0.3">
      <c r="A569" s="4" t="str">
        <f>"591302"</f>
        <v>591302</v>
      </c>
      <c r="B569" s="2" t="s">
        <v>565</v>
      </c>
      <c r="C569" s="3">
        <v>17406451</v>
      </c>
      <c r="D569" s="3">
        <v>18134957</v>
      </c>
      <c r="E569" s="2">
        <v>4.1900000000000004</v>
      </c>
      <c r="F569" s="3">
        <v>8854185</v>
      </c>
      <c r="G569" s="3">
        <v>8986480</v>
      </c>
      <c r="H569" s="3"/>
      <c r="I569" s="3"/>
      <c r="J569" s="3"/>
      <c r="K569" s="3"/>
      <c r="L569" s="3"/>
      <c r="M569" s="3"/>
      <c r="N569" s="3">
        <v>8854185</v>
      </c>
      <c r="O569" s="3">
        <v>8986480</v>
      </c>
      <c r="P569" s="2">
        <v>1.49</v>
      </c>
      <c r="Q569" s="3">
        <v>0</v>
      </c>
      <c r="R569" s="3">
        <v>0</v>
      </c>
      <c r="S569" s="3">
        <v>8854185</v>
      </c>
      <c r="T569" s="3">
        <v>8986480</v>
      </c>
      <c r="U569" s="3">
        <v>8854185</v>
      </c>
      <c r="V569" s="3">
        <v>8986480</v>
      </c>
      <c r="W569" s="3">
        <v>0</v>
      </c>
      <c r="X569" s="3">
        <v>0</v>
      </c>
      <c r="Y569" s="2">
        <v>487</v>
      </c>
      <c r="Z569" s="2">
        <v>485</v>
      </c>
      <c r="AA569" s="2">
        <v>-0.41</v>
      </c>
      <c r="AB569" s="3">
        <v>6688244</v>
      </c>
      <c r="AC569" s="3">
        <v>8108245</v>
      </c>
      <c r="AD569" s="3">
        <v>650000</v>
      </c>
      <c r="AE569" s="3">
        <v>809442</v>
      </c>
      <c r="AF569" s="3">
        <v>696258</v>
      </c>
      <c r="AG569" s="3">
        <v>1671055</v>
      </c>
      <c r="AH569" s="2">
        <v>4</v>
      </c>
      <c r="AI569" s="5">
        <v>9.2100000000000009</v>
      </c>
    </row>
    <row r="570" spans="1:35" x14ac:dyDescent="0.3">
      <c r="A570" s="4" t="str">
        <f>"591401"</f>
        <v>591401</v>
      </c>
      <c r="B570" s="2" t="s">
        <v>566</v>
      </c>
      <c r="C570" s="3">
        <v>90533025</v>
      </c>
      <c r="D570" s="3">
        <v>91266606</v>
      </c>
      <c r="E570" s="2">
        <v>0.81</v>
      </c>
      <c r="F570" s="3">
        <v>44493025</v>
      </c>
      <c r="G570" s="3">
        <v>43576655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44493025</v>
      </c>
      <c r="O570" s="3">
        <v>43576655</v>
      </c>
      <c r="P570" s="2">
        <v>-2.06</v>
      </c>
      <c r="Q570" s="3">
        <v>2467321</v>
      </c>
      <c r="R570" s="3">
        <v>2236417</v>
      </c>
      <c r="S570" s="3">
        <v>42025704</v>
      </c>
      <c r="T570" s="3">
        <v>41340238</v>
      </c>
      <c r="U570" s="3">
        <v>42025704</v>
      </c>
      <c r="V570" s="3">
        <v>41340238</v>
      </c>
      <c r="W570" s="3">
        <v>0</v>
      </c>
      <c r="X570" s="3">
        <v>0</v>
      </c>
      <c r="Y570" s="2">
        <v>2790</v>
      </c>
      <c r="Z570" s="2">
        <v>2791</v>
      </c>
      <c r="AA570" s="2">
        <v>0.04</v>
      </c>
      <c r="AB570" s="3">
        <v>11187903</v>
      </c>
      <c r="AC570" s="3">
        <v>12200000</v>
      </c>
      <c r="AD570" s="3">
        <v>2700000</v>
      </c>
      <c r="AE570" s="3">
        <v>2000000</v>
      </c>
      <c r="AF570" s="3">
        <v>9021000</v>
      </c>
      <c r="AG570" s="3">
        <v>7021000</v>
      </c>
      <c r="AH570" s="2">
        <v>9.9600000000000009</v>
      </c>
      <c r="AI570" s="5">
        <v>7.69</v>
      </c>
    </row>
    <row r="571" spans="1:35" x14ac:dyDescent="0.3">
      <c r="A571" s="4" t="str">
        <f>"591502"</f>
        <v>591502</v>
      </c>
      <c r="B571" s="2" t="s">
        <v>567</v>
      </c>
      <c r="C571" s="3">
        <v>39832785</v>
      </c>
      <c r="D571" s="3">
        <v>39407116</v>
      </c>
      <c r="E571" s="2">
        <v>-1.07</v>
      </c>
      <c r="F571" s="3">
        <v>18383234</v>
      </c>
      <c r="G571" s="3">
        <v>18649791</v>
      </c>
      <c r="H571" s="3"/>
      <c r="I571" s="3"/>
      <c r="J571" s="3"/>
      <c r="K571" s="3"/>
      <c r="L571" s="3"/>
      <c r="M571" s="3"/>
      <c r="N571" s="3">
        <v>18383234</v>
      </c>
      <c r="O571" s="3">
        <v>18649791</v>
      </c>
      <c r="P571" s="2">
        <v>1.45</v>
      </c>
      <c r="Q571" s="3">
        <v>599893</v>
      </c>
      <c r="R571" s="3">
        <v>672408</v>
      </c>
      <c r="S571" s="3">
        <v>17783341</v>
      </c>
      <c r="T571" s="3">
        <v>17977383</v>
      </c>
      <c r="U571" s="3">
        <v>17783341</v>
      </c>
      <c r="V571" s="3">
        <v>17977383</v>
      </c>
      <c r="W571" s="3">
        <v>0</v>
      </c>
      <c r="X571" s="3">
        <v>0</v>
      </c>
      <c r="Y571" s="2">
        <v>1025</v>
      </c>
      <c r="Z571" s="2">
        <v>1029</v>
      </c>
      <c r="AA571" s="2">
        <v>0.39</v>
      </c>
      <c r="AB571" s="3">
        <v>5901827</v>
      </c>
      <c r="AC571" s="3">
        <v>6200000</v>
      </c>
      <c r="AD571" s="3">
        <v>2250000</v>
      </c>
      <c r="AE571" s="3">
        <v>2250000</v>
      </c>
      <c r="AF571" s="3">
        <v>1593310</v>
      </c>
      <c r="AG571" s="3">
        <v>1576285</v>
      </c>
      <c r="AH571" s="2">
        <v>4</v>
      </c>
      <c r="AI571" s="5">
        <v>4</v>
      </c>
    </row>
    <row r="572" spans="1:35" x14ac:dyDescent="0.3">
      <c r="A572" s="4" t="str">
        <f>"600101"</f>
        <v>600101</v>
      </c>
      <c r="B572" s="2" t="s">
        <v>568</v>
      </c>
      <c r="C572" s="3">
        <v>33049055</v>
      </c>
      <c r="D572" s="3">
        <v>33618083</v>
      </c>
      <c r="E572" s="2">
        <v>1.72</v>
      </c>
      <c r="F572" s="3">
        <v>7270912</v>
      </c>
      <c r="G572" s="3">
        <v>7401000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7270912</v>
      </c>
      <c r="O572" s="3">
        <v>7401000</v>
      </c>
      <c r="P572" s="2">
        <v>1.79</v>
      </c>
      <c r="Q572" s="3">
        <v>547787</v>
      </c>
      <c r="R572" s="3">
        <v>468644</v>
      </c>
      <c r="S572" s="3">
        <v>6728785</v>
      </c>
      <c r="T572" s="3">
        <v>6933004</v>
      </c>
      <c r="U572" s="3">
        <v>6723125</v>
      </c>
      <c r="V572" s="3">
        <v>6932356</v>
      </c>
      <c r="W572" s="3">
        <v>5660</v>
      </c>
      <c r="X572" s="3">
        <v>648</v>
      </c>
      <c r="Y572" s="2">
        <v>1660</v>
      </c>
      <c r="Z572" s="2">
        <v>1640</v>
      </c>
      <c r="AA572" s="2">
        <v>-1.2</v>
      </c>
      <c r="AB572" s="3">
        <v>3525697</v>
      </c>
      <c r="AC572" s="3">
        <v>3400081</v>
      </c>
      <c r="AD572" s="3">
        <v>1664126</v>
      </c>
      <c r="AE572" s="3">
        <v>1664126</v>
      </c>
      <c r="AF572" s="3">
        <v>1314875</v>
      </c>
      <c r="AG572" s="3">
        <v>1600000</v>
      </c>
      <c r="AH572" s="2">
        <v>3.98</v>
      </c>
      <c r="AI572" s="5">
        <v>4.76</v>
      </c>
    </row>
    <row r="573" spans="1:35" x14ac:dyDescent="0.3">
      <c r="A573" s="4" t="str">
        <f>"600301"</f>
        <v>600301</v>
      </c>
      <c r="B573" s="2" t="s">
        <v>569</v>
      </c>
      <c r="C573" s="3">
        <v>18880726</v>
      </c>
      <c r="D573" s="3">
        <v>19001466</v>
      </c>
      <c r="E573" s="2">
        <v>0.64</v>
      </c>
      <c r="F573" s="3">
        <v>5889866</v>
      </c>
      <c r="G573" s="3">
        <v>5963489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5889866</v>
      </c>
      <c r="O573" s="3">
        <v>5963489</v>
      </c>
      <c r="P573" s="2">
        <v>1.25</v>
      </c>
      <c r="Q573" s="3">
        <v>35180</v>
      </c>
      <c r="R573" s="3">
        <v>42521</v>
      </c>
      <c r="S573" s="3">
        <v>5862654</v>
      </c>
      <c r="T573" s="3">
        <v>5942201</v>
      </c>
      <c r="U573" s="3">
        <v>5854686</v>
      </c>
      <c r="V573" s="3">
        <v>5920968</v>
      </c>
      <c r="W573" s="3">
        <v>7968</v>
      </c>
      <c r="X573" s="3">
        <v>21233</v>
      </c>
      <c r="Y573" s="2">
        <v>769</v>
      </c>
      <c r="Z573" s="2">
        <v>750</v>
      </c>
      <c r="AA573" s="2">
        <v>-2.4700000000000002</v>
      </c>
      <c r="AB573" s="3">
        <v>2352037</v>
      </c>
      <c r="AC573" s="3">
        <v>2221154</v>
      </c>
      <c r="AD573" s="3">
        <v>330000</v>
      </c>
      <c r="AE573" s="3">
        <v>225000</v>
      </c>
      <c r="AF573" s="3">
        <v>378040</v>
      </c>
      <c r="AG573" s="3">
        <v>760059</v>
      </c>
      <c r="AH573" s="2">
        <v>2</v>
      </c>
      <c r="AI573" s="5">
        <v>4</v>
      </c>
    </row>
    <row r="574" spans="1:35" x14ac:dyDescent="0.3">
      <c r="A574" s="4" t="str">
        <f>"600402"</f>
        <v>600402</v>
      </c>
      <c r="B574" s="2" t="s">
        <v>570</v>
      </c>
      <c r="C574" s="3">
        <v>25939479</v>
      </c>
      <c r="D574" s="3">
        <v>26725723</v>
      </c>
      <c r="E574" s="2">
        <v>3.03</v>
      </c>
      <c r="F574" s="3">
        <v>8106150</v>
      </c>
      <c r="G574" s="3">
        <v>8130470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8106150</v>
      </c>
      <c r="O574" s="3">
        <v>8130470</v>
      </c>
      <c r="P574" s="2">
        <v>0.3</v>
      </c>
      <c r="Q574" s="3">
        <v>143537</v>
      </c>
      <c r="R574" s="3">
        <v>137699</v>
      </c>
      <c r="S574" s="3">
        <v>8138769</v>
      </c>
      <c r="T574" s="3">
        <v>8124391</v>
      </c>
      <c r="U574" s="3">
        <v>7962613</v>
      </c>
      <c r="V574" s="3">
        <v>7992771</v>
      </c>
      <c r="W574" s="3">
        <v>176156</v>
      </c>
      <c r="X574" s="3">
        <v>131620</v>
      </c>
      <c r="Y574" s="2">
        <v>1024</v>
      </c>
      <c r="Z574" s="2">
        <v>1024</v>
      </c>
      <c r="AA574" s="2">
        <v>0</v>
      </c>
      <c r="AB574" s="3">
        <v>6328291</v>
      </c>
      <c r="AC574" s="3">
        <v>7262338</v>
      </c>
      <c r="AD574" s="3">
        <v>850000</v>
      </c>
      <c r="AE574" s="3">
        <v>850000</v>
      </c>
      <c r="AF574" s="3">
        <v>1004865</v>
      </c>
      <c r="AG574" s="3">
        <v>1028540</v>
      </c>
      <c r="AH574" s="2">
        <v>3.87</v>
      </c>
      <c r="AI574" s="5">
        <v>3.85</v>
      </c>
    </row>
    <row r="575" spans="1:35" x14ac:dyDescent="0.3">
      <c r="A575" s="4" t="str">
        <f>"600601"</f>
        <v>600601</v>
      </c>
      <c r="B575" s="2" t="s">
        <v>571</v>
      </c>
      <c r="C575" s="3">
        <v>47717978</v>
      </c>
      <c r="D575" s="3">
        <v>49835497</v>
      </c>
      <c r="E575" s="2">
        <v>4.4400000000000004</v>
      </c>
      <c r="F575" s="3">
        <v>17900212</v>
      </c>
      <c r="G575" s="3">
        <v>17900212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17900212</v>
      </c>
      <c r="O575" s="3">
        <v>17900212</v>
      </c>
      <c r="P575" s="2">
        <v>0</v>
      </c>
      <c r="Q575" s="3">
        <v>475172</v>
      </c>
      <c r="R575" s="3">
        <v>472985</v>
      </c>
      <c r="S575" s="3">
        <v>17425040</v>
      </c>
      <c r="T575" s="3">
        <v>17729620</v>
      </c>
      <c r="U575" s="3">
        <v>17425040</v>
      </c>
      <c r="V575" s="3">
        <v>17427227</v>
      </c>
      <c r="W575" s="3">
        <v>0</v>
      </c>
      <c r="X575" s="3">
        <v>302393</v>
      </c>
      <c r="Y575" s="2">
        <v>1862</v>
      </c>
      <c r="Z575" s="2">
        <v>1862</v>
      </c>
      <c r="AA575" s="2">
        <v>0</v>
      </c>
      <c r="AB575" s="3">
        <v>3323598</v>
      </c>
      <c r="AC575" s="3">
        <v>5055792</v>
      </c>
      <c r="AD575" s="3">
        <v>1600000</v>
      </c>
      <c r="AE575" s="3">
        <v>2500000</v>
      </c>
      <c r="AF575" s="3">
        <v>1619113</v>
      </c>
      <c r="AG575" s="3">
        <v>1981261</v>
      </c>
      <c r="AH575" s="2">
        <v>3.39</v>
      </c>
      <c r="AI575" s="5">
        <v>3.98</v>
      </c>
    </row>
    <row r="576" spans="1:35" x14ac:dyDescent="0.3">
      <c r="A576" s="4" t="str">
        <f>"600801"</f>
        <v>600801</v>
      </c>
      <c r="B576" s="2" t="s">
        <v>572</v>
      </c>
      <c r="C576" s="3">
        <v>22879055</v>
      </c>
      <c r="D576" s="3">
        <v>24323506</v>
      </c>
      <c r="E576" s="2">
        <v>6.31</v>
      </c>
      <c r="F576" s="3">
        <v>7009619</v>
      </c>
      <c r="G576" s="3">
        <v>7145248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7009619</v>
      </c>
      <c r="O576" s="3">
        <v>7145248</v>
      </c>
      <c r="P576" s="2">
        <v>1.93</v>
      </c>
      <c r="Q576" s="3">
        <v>0</v>
      </c>
      <c r="R576" s="3">
        <v>0</v>
      </c>
      <c r="S576" s="3">
        <v>7009619</v>
      </c>
      <c r="T576" s="3">
        <v>7145248</v>
      </c>
      <c r="U576" s="3">
        <v>7009619</v>
      </c>
      <c r="V576" s="3">
        <v>7145248</v>
      </c>
      <c r="W576" s="3">
        <v>0</v>
      </c>
      <c r="X576" s="3">
        <v>0</v>
      </c>
      <c r="Y576" s="2">
        <v>806</v>
      </c>
      <c r="Z576" s="2">
        <v>796</v>
      </c>
      <c r="AA576" s="2">
        <v>-1.24</v>
      </c>
      <c r="AB576" s="3">
        <v>3563567</v>
      </c>
      <c r="AC576" s="3">
        <v>2890444</v>
      </c>
      <c r="AD576" s="3">
        <v>220773</v>
      </c>
      <c r="AE576" s="3">
        <v>778119</v>
      </c>
      <c r="AF576" s="3">
        <v>1171562</v>
      </c>
      <c r="AG576" s="3">
        <v>972940</v>
      </c>
      <c r="AH576" s="2">
        <v>5.12</v>
      </c>
      <c r="AI576" s="5">
        <v>4</v>
      </c>
    </row>
    <row r="577" spans="1:35" x14ac:dyDescent="0.3">
      <c r="A577" s="4" t="str">
        <f>"600903"</f>
        <v>600903</v>
      </c>
      <c r="B577" s="2" t="s">
        <v>573</v>
      </c>
      <c r="C577" s="3">
        <v>18452924</v>
      </c>
      <c r="D577" s="3">
        <v>19341128</v>
      </c>
      <c r="E577" s="2">
        <v>4.8099999999999996</v>
      </c>
      <c r="F577" s="3">
        <v>3865315</v>
      </c>
      <c r="G577" s="3">
        <v>3865315</v>
      </c>
      <c r="H577" s="3"/>
      <c r="I577" s="3"/>
      <c r="J577" s="3"/>
      <c r="K577" s="3"/>
      <c r="L577" s="3"/>
      <c r="M577" s="3"/>
      <c r="N577" s="3">
        <v>3865315</v>
      </c>
      <c r="O577" s="3">
        <v>3865315</v>
      </c>
      <c r="P577" s="2">
        <v>0</v>
      </c>
      <c r="Q577" s="3">
        <v>270558</v>
      </c>
      <c r="R577" s="3">
        <v>288607</v>
      </c>
      <c r="S577" s="3">
        <v>3594757</v>
      </c>
      <c r="T577" s="3">
        <v>3579614</v>
      </c>
      <c r="U577" s="3">
        <v>3594757</v>
      </c>
      <c r="V577" s="3">
        <v>3576708</v>
      </c>
      <c r="W577" s="3">
        <v>0</v>
      </c>
      <c r="X577" s="3">
        <v>2906</v>
      </c>
      <c r="Y577" s="2">
        <v>955</v>
      </c>
      <c r="Z577" s="2">
        <v>955</v>
      </c>
      <c r="AA577" s="2">
        <v>0</v>
      </c>
      <c r="AB577" s="3">
        <v>3296811</v>
      </c>
      <c r="AC577" s="3">
        <v>4358100</v>
      </c>
      <c r="AD577" s="3">
        <v>612652</v>
      </c>
      <c r="AE577" s="3">
        <v>341598</v>
      </c>
      <c r="AF577" s="3">
        <v>2518036</v>
      </c>
      <c r="AG577" s="3">
        <v>2514347</v>
      </c>
      <c r="AH577" s="2">
        <v>13.65</v>
      </c>
      <c r="AI577" s="5">
        <v>13</v>
      </c>
    </row>
    <row r="578" spans="1:35" x14ac:dyDescent="0.3">
      <c r="A578" s="4" t="str">
        <f>"610301"</f>
        <v>610301</v>
      </c>
      <c r="B578" s="2" t="s">
        <v>574</v>
      </c>
      <c r="C578" s="3">
        <v>42826418</v>
      </c>
      <c r="D578" s="3">
        <v>43537952</v>
      </c>
      <c r="E578" s="2">
        <v>1.66</v>
      </c>
      <c r="F578" s="3">
        <v>18746819</v>
      </c>
      <c r="G578" s="3">
        <v>19266894</v>
      </c>
      <c r="H578" s="3"/>
      <c r="I578" s="3"/>
      <c r="J578" s="3"/>
      <c r="K578" s="3"/>
      <c r="L578" s="3"/>
      <c r="M578" s="3"/>
      <c r="N578" s="3">
        <v>18746819</v>
      </c>
      <c r="O578" s="3">
        <v>19266894</v>
      </c>
      <c r="P578" s="2">
        <v>2.77</v>
      </c>
      <c r="Q578" s="3">
        <v>0</v>
      </c>
      <c r="R578" s="3">
        <v>0</v>
      </c>
      <c r="S578" s="3">
        <v>19215556</v>
      </c>
      <c r="T578" s="3">
        <v>19266894</v>
      </c>
      <c r="U578" s="3">
        <v>18746819</v>
      </c>
      <c r="V578" s="3">
        <v>19266894</v>
      </c>
      <c r="W578" s="3">
        <v>468737</v>
      </c>
      <c r="X578" s="3">
        <v>0</v>
      </c>
      <c r="Y578" s="2">
        <v>1517</v>
      </c>
      <c r="Z578" s="2">
        <v>1449</v>
      </c>
      <c r="AA578" s="2">
        <v>-4.4800000000000004</v>
      </c>
      <c r="AB578" s="3">
        <v>7065964</v>
      </c>
      <c r="AC578" s="3">
        <v>7317011</v>
      </c>
      <c r="AD578" s="3">
        <v>1598356</v>
      </c>
      <c r="AE578" s="3">
        <v>1850000</v>
      </c>
      <c r="AF578" s="3">
        <v>3119750</v>
      </c>
      <c r="AG578" s="3">
        <v>1741518</v>
      </c>
      <c r="AH578" s="2">
        <v>7.28</v>
      </c>
      <c r="AI578" s="5">
        <v>4</v>
      </c>
    </row>
    <row r="579" spans="1:35" x14ac:dyDescent="0.3">
      <c r="A579" s="4" t="str">
        <f>"610501"</f>
        <v>610501</v>
      </c>
      <c r="B579" s="2" t="s">
        <v>575</v>
      </c>
      <c r="C579" s="3">
        <v>22972668</v>
      </c>
      <c r="D579" s="3">
        <v>23366177</v>
      </c>
      <c r="E579" s="2">
        <v>1.71</v>
      </c>
      <c r="F579" s="3">
        <v>6432175</v>
      </c>
      <c r="G579" s="3">
        <v>6560818</v>
      </c>
      <c r="H579" s="3"/>
      <c r="I579" s="3"/>
      <c r="J579" s="3"/>
      <c r="K579" s="3"/>
      <c r="L579" s="3"/>
      <c r="M579" s="3"/>
      <c r="N579" s="3">
        <v>6432175</v>
      </c>
      <c r="O579" s="3">
        <v>6560818</v>
      </c>
      <c r="P579" s="2">
        <v>2</v>
      </c>
      <c r="Q579" s="3">
        <v>45618</v>
      </c>
      <c r="R579" s="3">
        <v>62073</v>
      </c>
      <c r="S579" s="3">
        <v>6386557</v>
      </c>
      <c r="T579" s="3">
        <v>6542565</v>
      </c>
      <c r="U579" s="3">
        <v>6386557</v>
      </c>
      <c r="V579" s="3">
        <v>6498745</v>
      </c>
      <c r="W579" s="3">
        <v>0</v>
      </c>
      <c r="X579" s="3">
        <v>43820</v>
      </c>
      <c r="Y579" s="2">
        <v>783</v>
      </c>
      <c r="Z579" s="2">
        <v>769</v>
      </c>
      <c r="AA579" s="2">
        <v>-1.79</v>
      </c>
      <c r="AB579" s="3">
        <v>7492368</v>
      </c>
      <c r="AC579" s="3">
        <v>5891845</v>
      </c>
      <c r="AD579" s="3">
        <v>1737899</v>
      </c>
      <c r="AE579" s="3">
        <v>2174190</v>
      </c>
      <c r="AF579" s="3">
        <v>1951792</v>
      </c>
      <c r="AG579" s="3">
        <v>1193517</v>
      </c>
      <c r="AH579" s="2">
        <v>8.5</v>
      </c>
      <c r="AI579" s="5">
        <v>5.1100000000000003</v>
      </c>
    </row>
    <row r="580" spans="1:35" x14ac:dyDescent="0.3">
      <c r="A580" s="4" t="str">
        <f>"610600"</f>
        <v>610600</v>
      </c>
      <c r="B580" s="2" t="s">
        <v>576</v>
      </c>
      <c r="C580" s="3">
        <v>136842648</v>
      </c>
      <c r="D580" s="3">
        <v>145179885</v>
      </c>
      <c r="E580" s="2">
        <v>6.09</v>
      </c>
      <c r="F580" s="3">
        <v>92777822</v>
      </c>
      <c r="G580" s="3">
        <v>95525492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92777822</v>
      </c>
      <c r="O580" s="3">
        <v>95525492</v>
      </c>
      <c r="P580" s="2">
        <v>2.96</v>
      </c>
      <c r="Q580" s="3">
        <v>4103820</v>
      </c>
      <c r="R580" s="3">
        <v>5263748</v>
      </c>
      <c r="S580" s="3">
        <v>88674002</v>
      </c>
      <c r="T580" s="3">
        <v>90261744</v>
      </c>
      <c r="U580" s="3">
        <v>88674002</v>
      </c>
      <c r="V580" s="3">
        <v>90261744</v>
      </c>
      <c r="W580" s="3">
        <v>0</v>
      </c>
      <c r="X580" s="3">
        <v>0</v>
      </c>
      <c r="Y580" s="2">
        <v>5318</v>
      </c>
      <c r="Z580" s="2">
        <v>5318</v>
      </c>
      <c r="AA580" s="2">
        <v>0</v>
      </c>
      <c r="AB580" s="3">
        <v>11440402</v>
      </c>
      <c r="AC580" s="3">
        <v>12203851</v>
      </c>
      <c r="AD580" s="3">
        <v>53903891</v>
      </c>
      <c r="AE580" s="3">
        <v>5117704</v>
      </c>
      <c r="AF580" s="3">
        <v>5857337</v>
      </c>
      <c r="AG580" s="3">
        <v>5318140</v>
      </c>
      <c r="AH580" s="2">
        <v>4.28</v>
      </c>
      <c r="AI580" s="5">
        <v>3.66</v>
      </c>
    </row>
    <row r="581" spans="1:35" x14ac:dyDescent="0.3">
      <c r="A581" s="4" t="str">
        <f>"610801"</f>
        <v>610801</v>
      </c>
      <c r="B581" s="2" t="s">
        <v>577</v>
      </c>
      <c r="C581" s="3">
        <v>31554110</v>
      </c>
      <c r="D581" s="3">
        <v>32408881</v>
      </c>
      <c r="E581" s="2">
        <v>2.71</v>
      </c>
      <c r="F581" s="3">
        <v>20369531</v>
      </c>
      <c r="G581" s="3">
        <v>21247374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20369531</v>
      </c>
      <c r="O581" s="3">
        <v>21247374</v>
      </c>
      <c r="P581" s="2">
        <v>4.3099999999999996</v>
      </c>
      <c r="Q581" s="3">
        <v>867500</v>
      </c>
      <c r="R581" s="3">
        <v>1097510</v>
      </c>
      <c r="S581" s="3">
        <v>19687174</v>
      </c>
      <c r="T581" s="3">
        <v>20005573</v>
      </c>
      <c r="U581" s="3">
        <v>19502031</v>
      </c>
      <c r="V581" s="3">
        <v>20149864</v>
      </c>
      <c r="W581" s="3">
        <v>185143</v>
      </c>
      <c r="X581" s="3">
        <v>-144291</v>
      </c>
      <c r="Y581" s="2">
        <v>1169</v>
      </c>
      <c r="Z581" s="2">
        <v>1186</v>
      </c>
      <c r="AA581" s="2">
        <v>1.45</v>
      </c>
      <c r="AB581" s="3">
        <v>1634172</v>
      </c>
      <c r="AC581" s="3">
        <v>1634172</v>
      </c>
      <c r="AD581" s="3">
        <v>325000</v>
      </c>
      <c r="AE581" s="3">
        <v>175000</v>
      </c>
      <c r="AF581" s="3">
        <v>888257</v>
      </c>
      <c r="AG581" s="3">
        <v>1163257</v>
      </c>
      <c r="AH581" s="2">
        <v>2.82</v>
      </c>
      <c r="AI581" s="5">
        <v>3.59</v>
      </c>
    </row>
    <row r="582" spans="1:35" x14ac:dyDescent="0.3">
      <c r="A582" s="4" t="str">
        <f>"610901"</f>
        <v>610901</v>
      </c>
      <c r="B582" s="2" t="s">
        <v>578</v>
      </c>
      <c r="C582" s="3">
        <v>21542078</v>
      </c>
      <c r="D582" s="3">
        <v>21779140</v>
      </c>
      <c r="E582" s="2">
        <v>1.1000000000000001</v>
      </c>
      <c r="F582" s="3">
        <v>6191114</v>
      </c>
      <c r="G582" s="3">
        <v>6438758</v>
      </c>
      <c r="H582" s="3"/>
      <c r="I582" s="3"/>
      <c r="J582" s="3"/>
      <c r="K582" s="3"/>
      <c r="L582" s="3"/>
      <c r="M582" s="3"/>
      <c r="N582" s="3">
        <v>6191114</v>
      </c>
      <c r="O582" s="3">
        <v>6438758</v>
      </c>
      <c r="P582" s="2">
        <v>4</v>
      </c>
      <c r="Q582" s="3">
        <v>372215</v>
      </c>
      <c r="R582" s="3">
        <v>12585</v>
      </c>
      <c r="S582" s="3">
        <v>5818899</v>
      </c>
      <c r="T582" s="3">
        <v>5957794</v>
      </c>
      <c r="U582" s="3">
        <v>5818899</v>
      </c>
      <c r="V582" s="3">
        <v>6426173</v>
      </c>
      <c r="W582" s="3">
        <v>0</v>
      </c>
      <c r="X582" s="3">
        <v>-468379</v>
      </c>
      <c r="Y582" s="2">
        <v>740</v>
      </c>
      <c r="Z582" s="2">
        <v>718</v>
      </c>
      <c r="AA582" s="2">
        <v>-2.97</v>
      </c>
      <c r="AB582" s="3">
        <v>962440</v>
      </c>
      <c r="AC582" s="3">
        <v>692404</v>
      </c>
      <c r="AD582" s="3">
        <v>315512</v>
      </c>
      <c r="AE582" s="3">
        <v>315512</v>
      </c>
      <c r="AF582" s="3">
        <v>583763</v>
      </c>
      <c r="AG582" s="3">
        <v>583763</v>
      </c>
      <c r="AH582" s="2">
        <v>2.71</v>
      </c>
      <c r="AI582" s="5">
        <v>2.68</v>
      </c>
    </row>
    <row r="583" spans="1:35" x14ac:dyDescent="0.3">
      <c r="A583" s="4" t="str">
        <f>"611001"</f>
        <v>611001</v>
      </c>
      <c r="B583" s="2" t="s">
        <v>579</v>
      </c>
      <c r="C583" s="3">
        <v>25841073</v>
      </c>
      <c r="D583" s="3">
        <v>28382245</v>
      </c>
      <c r="E583" s="2">
        <v>9.83</v>
      </c>
      <c r="F583" s="3">
        <v>11885785</v>
      </c>
      <c r="G583" s="3">
        <v>12164141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11885785</v>
      </c>
      <c r="O583" s="3">
        <v>12164141</v>
      </c>
      <c r="P583" s="2">
        <v>2.34</v>
      </c>
      <c r="Q583" s="3">
        <v>0</v>
      </c>
      <c r="R583" s="3">
        <v>0</v>
      </c>
      <c r="S583" s="3">
        <v>11885785</v>
      </c>
      <c r="T583" s="3">
        <v>12164141</v>
      </c>
      <c r="U583" s="3">
        <v>11885785</v>
      </c>
      <c r="V583" s="3">
        <v>12164141</v>
      </c>
      <c r="W583" s="3">
        <v>0</v>
      </c>
      <c r="X583" s="3">
        <v>0</v>
      </c>
      <c r="Y583" s="2">
        <v>1050</v>
      </c>
      <c r="Z583" s="2">
        <v>934</v>
      </c>
      <c r="AA583" s="2">
        <v>-11.05</v>
      </c>
      <c r="AB583" s="3">
        <v>2939319</v>
      </c>
      <c r="AC583" s="3">
        <v>3339319</v>
      </c>
      <c r="AD583" s="3">
        <v>150849</v>
      </c>
      <c r="AE583" s="3">
        <v>160849</v>
      </c>
      <c r="AF583" s="3">
        <v>1447258</v>
      </c>
      <c r="AG583" s="3">
        <v>1135290</v>
      </c>
      <c r="AH583" s="2">
        <v>5.6</v>
      </c>
      <c r="AI583" s="5">
        <v>4</v>
      </c>
    </row>
    <row r="584" spans="1:35" x14ac:dyDescent="0.3">
      <c r="A584" s="4" t="str">
        <f>"620600"</f>
        <v>620600</v>
      </c>
      <c r="B584" s="2" t="s">
        <v>580</v>
      </c>
      <c r="C584" s="3">
        <v>187420013</v>
      </c>
      <c r="D584" s="3">
        <v>195984949</v>
      </c>
      <c r="E584" s="2">
        <v>4.57</v>
      </c>
      <c r="F584" s="3">
        <v>107419898</v>
      </c>
      <c r="G584" s="3">
        <v>107419898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107419898</v>
      </c>
      <c r="O584" s="3">
        <v>107419898</v>
      </c>
      <c r="P584" s="2">
        <v>0</v>
      </c>
      <c r="Q584" s="3">
        <v>2291276</v>
      </c>
      <c r="R584" s="3">
        <v>1732270</v>
      </c>
      <c r="S584" s="3">
        <v>105128622</v>
      </c>
      <c r="T584" s="3">
        <v>107095742</v>
      </c>
      <c r="U584" s="3">
        <v>105128622</v>
      </c>
      <c r="V584" s="3">
        <v>105687628</v>
      </c>
      <c r="W584" s="3">
        <v>0</v>
      </c>
      <c r="X584" s="3">
        <v>1408114</v>
      </c>
      <c r="Y584" s="2">
        <v>6630</v>
      </c>
      <c r="Z584" s="2">
        <v>6586</v>
      </c>
      <c r="AA584" s="2">
        <v>-0.66</v>
      </c>
      <c r="AB584" s="3">
        <v>28333523</v>
      </c>
      <c r="AC584" s="3">
        <v>26269253</v>
      </c>
      <c r="AD584" s="3">
        <v>3000000</v>
      </c>
      <c r="AE584" s="3">
        <v>4000000</v>
      </c>
      <c r="AF584" s="3">
        <v>6900669</v>
      </c>
      <c r="AG584" s="3">
        <v>7839398</v>
      </c>
      <c r="AH584" s="2">
        <v>3.68</v>
      </c>
      <c r="AI584" s="5">
        <v>4</v>
      </c>
    </row>
    <row r="585" spans="1:35" x14ac:dyDescent="0.3">
      <c r="A585" s="4" t="str">
        <f>"620803"</f>
        <v>620803</v>
      </c>
      <c r="B585" s="2" t="s">
        <v>581</v>
      </c>
      <c r="C585" s="3">
        <v>44946339</v>
      </c>
      <c r="D585" s="3">
        <v>47133657</v>
      </c>
      <c r="E585" s="2">
        <v>4.87</v>
      </c>
      <c r="F585" s="3">
        <v>29181381</v>
      </c>
      <c r="G585" s="3">
        <v>29903503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29181381</v>
      </c>
      <c r="O585" s="3">
        <v>29903503</v>
      </c>
      <c r="P585" s="2">
        <v>2.4700000000000002</v>
      </c>
      <c r="Q585" s="3">
        <v>1317642</v>
      </c>
      <c r="R585" s="3">
        <v>1432596</v>
      </c>
      <c r="S585" s="3">
        <v>27863739</v>
      </c>
      <c r="T585" s="3">
        <v>28470907</v>
      </c>
      <c r="U585" s="3">
        <v>27863739</v>
      </c>
      <c r="V585" s="3">
        <v>28470907</v>
      </c>
      <c r="W585" s="3">
        <v>0</v>
      </c>
      <c r="X585" s="3">
        <v>0</v>
      </c>
      <c r="Y585" s="2">
        <v>1770</v>
      </c>
      <c r="Z585" s="2">
        <v>1735</v>
      </c>
      <c r="AA585" s="2">
        <v>-1.98</v>
      </c>
      <c r="AB585" s="3">
        <v>4710851</v>
      </c>
      <c r="AC585" s="3">
        <v>4000000</v>
      </c>
      <c r="AD585" s="3">
        <v>3010424</v>
      </c>
      <c r="AE585" s="3">
        <v>2500000</v>
      </c>
      <c r="AF585" s="3">
        <v>1700427</v>
      </c>
      <c r="AG585" s="3">
        <v>1500000</v>
      </c>
      <c r="AH585" s="2">
        <v>3.78</v>
      </c>
      <c r="AI585" s="5">
        <v>3.18</v>
      </c>
    </row>
    <row r="586" spans="1:35" x14ac:dyDescent="0.3">
      <c r="A586" s="4" t="str">
        <f>"620901"</f>
        <v>620901</v>
      </c>
      <c r="B586" s="2" t="s">
        <v>582</v>
      </c>
      <c r="C586" s="3">
        <v>66007448</v>
      </c>
      <c r="D586" s="3">
        <v>66994479</v>
      </c>
      <c r="E586" s="2">
        <v>1.5</v>
      </c>
      <c r="F586" s="3">
        <v>38755413</v>
      </c>
      <c r="G586" s="3">
        <v>40165552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38755413</v>
      </c>
      <c r="O586" s="3">
        <v>40165552</v>
      </c>
      <c r="P586" s="2">
        <v>3.64</v>
      </c>
      <c r="Q586" s="3">
        <v>1377427</v>
      </c>
      <c r="R586" s="3">
        <v>1866596</v>
      </c>
      <c r="S586" s="3">
        <v>37377986</v>
      </c>
      <c r="T586" s="3">
        <v>38298956</v>
      </c>
      <c r="U586" s="3">
        <v>37377986</v>
      </c>
      <c r="V586" s="3">
        <v>38298956</v>
      </c>
      <c r="W586" s="3">
        <v>0</v>
      </c>
      <c r="X586" s="3">
        <v>0</v>
      </c>
      <c r="Y586" s="2">
        <v>1979</v>
      </c>
      <c r="Z586" s="2">
        <v>1820</v>
      </c>
      <c r="AA586" s="2">
        <v>-8.0299999999999994</v>
      </c>
      <c r="AB586" s="3">
        <v>5561828</v>
      </c>
      <c r="AC586" s="3">
        <v>5343531</v>
      </c>
      <c r="AD586" s="3">
        <v>2861842</v>
      </c>
      <c r="AE586" s="3">
        <v>0</v>
      </c>
      <c r="AF586" s="3">
        <v>1477543</v>
      </c>
      <c r="AG586" s="3">
        <v>2677779</v>
      </c>
      <c r="AH586" s="2">
        <v>2.2400000000000002</v>
      </c>
      <c r="AI586" s="5">
        <v>4</v>
      </c>
    </row>
    <row r="587" spans="1:35" x14ac:dyDescent="0.3">
      <c r="A587" s="4" t="str">
        <f>"621001"</f>
        <v>621001</v>
      </c>
      <c r="B587" s="2" t="s">
        <v>583</v>
      </c>
      <c r="C587" s="3">
        <v>58363438</v>
      </c>
      <c r="D587" s="3">
        <v>58363438</v>
      </c>
      <c r="E587" s="2">
        <v>0</v>
      </c>
      <c r="F587" s="3">
        <v>36331599</v>
      </c>
      <c r="G587" s="3">
        <v>35231599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36331599</v>
      </c>
      <c r="O587" s="3">
        <v>35231599</v>
      </c>
      <c r="P587" s="2">
        <v>-3.03</v>
      </c>
      <c r="Q587" s="3">
        <v>1375283</v>
      </c>
      <c r="R587" s="3">
        <v>2293633</v>
      </c>
      <c r="S587" s="3">
        <v>36331599</v>
      </c>
      <c r="T587" s="3">
        <v>38801775</v>
      </c>
      <c r="U587" s="3">
        <v>34956316</v>
      </c>
      <c r="V587" s="3">
        <v>32937966</v>
      </c>
      <c r="W587" s="3">
        <v>1375283</v>
      </c>
      <c r="X587" s="3">
        <v>5863809</v>
      </c>
      <c r="Y587" s="2">
        <v>1940</v>
      </c>
      <c r="Z587" s="2">
        <v>1850</v>
      </c>
      <c r="AA587" s="2">
        <v>-4.6399999999999997</v>
      </c>
      <c r="AB587" s="3">
        <v>2654146</v>
      </c>
      <c r="AC587" s="3">
        <v>2933260</v>
      </c>
      <c r="AD587" s="3">
        <v>3474361</v>
      </c>
      <c r="AE587" s="3">
        <v>2405990</v>
      </c>
      <c r="AF587" s="3">
        <v>3907608</v>
      </c>
      <c r="AG587" s="3">
        <v>2334538</v>
      </c>
      <c r="AH587" s="2">
        <v>6.7</v>
      </c>
      <c r="AI587" s="5">
        <v>4</v>
      </c>
    </row>
    <row r="588" spans="1:35" x14ac:dyDescent="0.3">
      <c r="A588" s="4" t="str">
        <f>"621101"</f>
        <v>621101</v>
      </c>
      <c r="B588" s="2" t="s">
        <v>584</v>
      </c>
      <c r="C588" s="3">
        <v>64940103</v>
      </c>
      <c r="D588" s="3">
        <v>70013600</v>
      </c>
      <c r="E588" s="2">
        <v>7.81</v>
      </c>
      <c r="F588" s="3">
        <v>45544370</v>
      </c>
      <c r="G588" s="3">
        <v>44985200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45544370</v>
      </c>
      <c r="O588" s="3">
        <v>44985200</v>
      </c>
      <c r="P588" s="2">
        <v>-1.23</v>
      </c>
      <c r="Q588" s="3">
        <v>3901150</v>
      </c>
      <c r="R588" s="3">
        <v>2621390</v>
      </c>
      <c r="S588" s="3">
        <v>41931220</v>
      </c>
      <c r="T588" s="3">
        <v>42363827</v>
      </c>
      <c r="U588" s="3">
        <v>41643220</v>
      </c>
      <c r="V588" s="3">
        <v>42363810</v>
      </c>
      <c r="W588" s="3">
        <v>288000</v>
      </c>
      <c r="X588" s="3">
        <v>17</v>
      </c>
      <c r="Y588" s="2">
        <v>1880</v>
      </c>
      <c r="Z588" s="2">
        <v>1773</v>
      </c>
      <c r="AA588" s="2">
        <v>-5.69</v>
      </c>
      <c r="AB588" s="3">
        <v>296975</v>
      </c>
      <c r="AC588" s="3">
        <v>296975</v>
      </c>
      <c r="AD588" s="3">
        <v>2200000</v>
      </c>
      <c r="AE588" s="3">
        <v>2200000</v>
      </c>
      <c r="AF588" s="3">
        <v>2518971</v>
      </c>
      <c r="AG588" s="3">
        <v>2800500</v>
      </c>
      <c r="AH588" s="2">
        <v>3.88</v>
      </c>
      <c r="AI588" s="5">
        <v>4</v>
      </c>
    </row>
    <row r="589" spans="1:35" x14ac:dyDescent="0.3">
      <c r="A589" s="4" t="str">
        <f>"621201"</f>
        <v>621201</v>
      </c>
      <c r="B589" s="2" t="s">
        <v>585</v>
      </c>
      <c r="C589" s="3">
        <v>57938452</v>
      </c>
      <c r="D589" s="3">
        <v>58786143</v>
      </c>
      <c r="E589" s="2">
        <v>1.46</v>
      </c>
      <c r="F589" s="3">
        <v>44721240</v>
      </c>
      <c r="G589" s="3">
        <v>45486297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44721240</v>
      </c>
      <c r="O589" s="3">
        <v>45486297</v>
      </c>
      <c r="P589" s="2">
        <v>1.71</v>
      </c>
      <c r="Q589" s="3">
        <v>511662</v>
      </c>
      <c r="R589" s="3">
        <v>402720</v>
      </c>
      <c r="S589" s="3">
        <v>44209578</v>
      </c>
      <c r="T589" s="3">
        <v>45083577</v>
      </c>
      <c r="U589" s="3">
        <v>44209578</v>
      </c>
      <c r="V589" s="3">
        <v>45083577</v>
      </c>
      <c r="W589" s="3">
        <v>0</v>
      </c>
      <c r="X589" s="3">
        <v>0</v>
      </c>
      <c r="Y589" s="2">
        <v>1185</v>
      </c>
      <c r="Z589" s="2">
        <v>1172</v>
      </c>
      <c r="AA589" s="2">
        <v>-1.1000000000000001</v>
      </c>
      <c r="AB589" s="3">
        <v>16712463</v>
      </c>
      <c r="AC589" s="3">
        <v>12532647</v>
      </c>
      <c r="AD589" s="3">
        <v>3265620</v>
      </c>
      <c r="AE589" s="3">
        <v>2775000</v>
      </c>
      <c r="AF589" s="3">
        <v>2317541</v>
      </c>
      <c r="AG589" s="3">
        <v>2348461</v>
      </c>
      <c r="AH589" s="2">
        <v>4</v>
      </c>
      <c r="AI589" s="5">
        <v>3.99</v>
      </c>
    </row>
    <row r="590" spans="1:35" x14ac:dyDescent="0.3">
      <c r="A590" s="4" t="str">
        <f>"621601"</f>
        <v>621601</v>
      </c>
      <c r="B590" s="2" t="s">
        <v>586</v>
      </c>
      <c r="C590" s="3">
        <v>66471574</v>
      </c>
      <c r="D590" s="3">
        <v>66536965</v>
      </c>
      <c r="E590" s="2">
        <v>0.1</v>
      </c>
      <c r="F590" s="3">
        <v>40631060</v>
      </c>
      <c r="G590" s="3">
        <v>41522330</v>
      </c>
      <c r="H590" s="3"/>
      <c r="I590" s="3"/>
      <c r="J590" s="3"/>
      <c r="K590" s="3"/>
      <c r="L590" s="3"/>
      <c r="M590" s="3"/>
      <c r="N590" s="3">
        <v>40631060</v>
      </c>
      <c r="O590" s="3">
        <v>41522330</v>
      </c>
      <c r="P590" s="2">
        <v>2.19</v>
      </c>
      <c r="Q590" s="3">
        <v>836820</v>
      </c>
      <c r="R590" s="3">
        <v>983758</v>
      </c>
      <c r="S590" s="3">
        <v>39794240</v>
      </c>
      <c r="T590" s="3">
        <v>40538572</v>
      </c>
      <c r="U590" s="3">
        <v>39794240</v>
      </c>
      <c r="V590" s="3">
        <v>40538572</v>
      </c>
      <c r="W590" s="3">
        <v>0</v>
      </c>
      <c r="X590" s="3">
        <v>0</v>
      </c>
      <c r="Y590" s="2">
        <v>2434</v>
      </c>
      <c r="Z590" s="2">
        <v>2293</v>
      </c>
      <c r="AA590" s="2">
        <v>-5.79</v>
      </c>
      <c r="AB590" s="3">
        <v>3076262</v>
      </c>
      <c r="AC590" s="3">
        <v>6626242</v>
      </c>
      <c r="AD590" s="3">
        <v>1785303</v>
      </c>
      <c r="AE590" s="3">
        <v>70477</v>
      </c>
      <c r="AF590" s="3">
        <v>4287821</v>
      </c>
      <c r="AG590" s="3">
        <v>2661478</v>
      </c>
      <c r="AH590" s="2">
        <v>6.45</v>
      </c>
      <c r="AI590" s="5">
        <v>4</v>
      </c>
    </row>
    <row r="591" spans="1:35" x14ac:dyDescent="0.3">
      <c r="A591" s="4" t="str">
        <f>"621801"</f>
        <v>621801</v>
      </c>
      <c r="B591" s="2" t="s">
        <v>587</v>
      </c>
      <c r="C591" s="3">
        <v>77697248</v>
      </c>
      <c r="D591" s="3">
        <v>79343346</v>
      </c>
      <c r="E591" s="2">
        <v>2.12</v>
      </c>
      <c r="F591" s="3">
        <v>44021248</v>
      </c>
      <c r="G591" s="3">
        <v>44667346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44021248</v>
      </c>
      <c r="O591" s="3">
        <v>44667346</v>
      </c>
      <c r="P591" s="2">
        <v>1.47</v>
      </c>
      <c r="Q591" s="3">
        <v>855456</v>
      </c>
      <c r="R591" s="3">
        <v>822064</v>
      </c>
      <c r="S591" s="3">
        <v>43165792</v>
      </c>
      <c r="T591" s="3">
        <v>43995282</v>
      </c>
      <c r="U591" s="3">
        <v>43165792</v>
      </c>
      <c r="V591" s="3">
        <v>43845282</v>
      </c>
      <c r="W591" s="3">
        <v>0</v>
      </c>
      <c r="X591" s="3">
        <v>150000</v>
      </c>
      <c r="Y591" s="2">
        <v>2900</v>
      </c>
      <c r="Z591" s="2">
        <v>2850</v>
      </c>
      <c r="AA591" s="2">
        <v>-1.72</v>
      </c>
      <c r="AB591" s="3">
        <v>24770846</v>
      </c>
      <c r="AC591" s="3">
        <v>25300000</v>
      </c>
      <c r="AD591" s="3">
        <v>1950000</v>
      </c>
      <c r="AE591" s="3">
        <v>1250000</v>
      </c>
      <c r="AF591" s="3">
        <v>3107890</v>
      </c>
      <c r="AG591" s="3">
        <v>3173735</v>
      </c>
      <c r="AH591" s="2">
        <v>4</v>
      </c>
      <c r="AI591" s="5">
        <v>4</v>
      </c>
    </row>
    <row r="592" spans="1:35" x14ac:dyDescent="0.3">
      <c r="A592" s="4" t="str">
        <f>"622002"</f>
        <v>622002</v>
      </c>
      <c r="B592" s="2" t="s">
        <v>588</v>
      </c>
      <c r="C592" s="3">
        <v>52471394</v>
      </c>
      <c r="D592" s="3">
        <v>55081453</v>
      </c>
      <c r="E592" s="2">
        <v>4.97</v>
      </c>
      <c r="F592" s="3">
        <v>25012758</v>
      </c>
      <c r="G592" s="3">
        <v>25458691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25012758</v>
      </c>
      <c r="O592" s="3">
        <v>25458691</v>
      </c>
      <c r="P592" s="2">
        <v>1.78</v>
      </c>
      <c r="Q592" s="3">
        <v>292583</v>
      </c>
      <c r="R592" s="3">
        <v>274930</v>
      </c>
      <c r="S592" s="3">
        <v>24720175</v>
      </c>
      <c r="T592" s="3">
        <v>25183761</v>
      </c>
      <c r="U592" s="3">
        <v>24720175</v>
      </c>
      <c r="V592" s="3">
        <v>25183761</v>
      </c>
      <c r="W592" s="3">
        <v>0</v>
      </c>
      <c r="X592" s="3">
        <v>0</v>
      </c>
      <c r="Y592" s="2">
        <v>1623</v>
      </c>
      <c r="Z592" s="2">
        <v>1588</v>
      </c>
      <c r="AA592" s="2">
        <v>-2.16</v>
      </c>
      <c r="AB592" s="3">
        <v>1800630</v>
      </c>
      <c r="AC592" s="3">
        <v>2257719</v>
      </c>
      <c r="AD592" s="3">
        <v>3697570</v>
      </c>
      <c r="AE592" s="3">
        <v>2712655</v>
      </c>
      <c r="AF592" s="3">
        <v>2058556</v>
      </c>
      <c r="AG592" s="3">
        <v>2203258</v>
      </c>
      <c r="AH592" s="2">
        <v>3.92</v>
      </c>
      <c r="AI592" s="5">
        <v>4</v>
      </c>
    </row>
    <row r="593" spans="1:35" x14ac:dyDescent="0.3">
      <c r="A593" s="4" t="str">
        <f>"630101"</f>
        <v>630101</v>
      </c>
      <c r="B593" s="2" t="s">
        <v>589</v>
      </c>
      <c r="C593" s="3">
        <v>9757046</v>
      </c>
      <c r="D593" s="3">
        <v>9917491</v>
      </c>
      <c r="E593" s="2">
        <v>1.64</v>
      </c>
      <c r="F593" s="3">
        <v>7848787</v>
      </c>
      <c r="G593" s="3">
        <v>7960456</v>
      </c>
      <c r="H593" s="3"/>
      <c r="I593" s="3"/>
      <c r="J593" s="3"/>
      <c r="K593" s="3"/>
      <c r="L593" s="3"/>
      <c r="M593" s="3"/>
      <c r="N593" s="3">
        <v>7848787</v>
      </c>
      <c r="O593" s="3">
        <v>7960456</v>
      </c>
      <c r="P593" s="2">
        <v>1.42</v>
      </c>
      <c r="Q593" s="3">
        <v>255657</v>
      </c>
      <c r="R593" s="3">
        <v>252479</v>
      </c>
      <c r="S593" s="3">
        <v>7630034</v>
      </c>
      <c r="T593" s="3">
        <v>7707978</v>
      </c>
      <c r="U593" s="3">
        <v>7593130</v>
      </c>
      <c r="V593" s="3">
        <v>7707977</v>
      </c>
      <c r="W593" s="3">
        <v>36904</v>
      </c>
      <c r="X593" s="3">
        <v>1</v>
      </c>
      <c r="Y593" s="2">
        <v>179</v>
      </c>
      <c r="Z593" s="2">
        <v>179</v>
      </c>
      <c r="AA593" s="2">
        <v>0</v>
      </c>
      <c r="AB593" s="3">
        <v>728547</v>
      </c>
      <c r="AC593" s="3">
        <v>930000</v>
      </c>
      <c r="AD593" s="3">
        <v>968933</v>
      </c>
      <c r="AE593" s="3">
        <v>1100000</v>
      </c>
      <c r="AF593" s="3">
        <v>1716719</v>
      </c>
      <c r="AG593" s="3">
        <v>450000</v>
      </c>
      <c r="AH593" s="2">
        <v>17.59</v>
      </c>
      <c r="AI593" s="5">
        <v>4.54</v>
      </c>
    </row>
    <row r="594" spans="1:35" x14ac:dyDescent="0.3">
      <c r="A594" s="4" t="str">
        <f>"630202"</f>
        <v>630202</v>
      </c>
      <c r="B594" s="2" t="s">
        <v>590</v>
      </c>
      <c r="C594" s="3">
        <v>13899750</v>
      </c>
      <c r="D594" s="3">
        <v>14428000</v>
      </c>
      <c r="E594" s="2">
        <v>3.8</v>
      </c>
      <c r="F594" s="3">
        <v>9250750</v>
      </c>
      <c r="G594" s="3">
        <v>9354770</v>
      </c>
      <c r="H594" s="3"/>
      <c r="I594" s="3"/>
      <c r="J594" s="3"/>
      <c r="K594" s="3"/>
      <c r="L594" s="3"/>
      <c r="M594" s="3"/>
      <c r="N594" s="3">
        <v>9250750</v>
      </c>
      <c r="O594" s="3">
        <v>9354770</v>
      </c>
      <c r="P594" s="2">
        <v>1.1200000000000001</v>
      </c>
      <c r="Q594" s="3">
        <v>40642</v>
      </c>
      <c r="R594" s="3">
        <v>146601</v>
      </c>
      <c r="S594" s="3">
        <v>9217482</v>
      </c>
      <c r="T594" s="3">
        <v>9385152</v>
      </c>
      <c r="U594" s="3">
        <v>9210108</v>
      </c>
      <c r="V594" s="3">
        <v>9208169</v>
      </c>
      <c r="W594" s="3">
        <v>7374</v>
      </c>
      <c r="X594" s="3">
        <v>176983</v>
      </c>
      <c r="Y594" s="2">
        <v>510</v>
      </c>
      <c r="Z594" s="2">
        <v>475</v>
      </c>
      <c r="AA594" s="2">
        <v>-6.86</v>
      </c>
      <c r="AB594" s="3">
        <v>768587</v>
      </c>
      <c r="AC594" s="3">
        <v>978587</v>
      </c>
      <c r="AD594" s="3">
        <v>460000</v>
      </c>
      <c r="AE594" s="3">
        <v>460000</v>
      </c>
      <c r="AF594" s="3">
        <v>4721496</v>
      </c>
      <c r="AG594" s="3">
        <v>4711496</v>
      </c>
      <c r="AH594" s="2">
        <v>33.97</v>
      </c>
      <c r="AI594" s="5">
        <v>32.659999999999997</v>
      </c>
    </row>
    <row r="595" spans="1:35" x14ac:dyDescent="0.3">
      <c r="A595" s="4" t="str">
        <f>"630300"</f>
        <v>630300</v>
      </c>
      <c r="B595" s="2" t="s">
        <v>591</v>
      </c>
      <c r="C595" s="3">
        <v>46504866</v>
      </c>
      <c r="D595" s="3">
        <v>47916444</v>
      </c>
      <c r="E595" s="2">
        <v>3.04</v>
      </c>
      <c r="F595" s="3">
        <v>21603964</v>
      </c>
      <c r="G595" s="3">
        <v>22144063</v>
      </c>
      <c r="H595" s="3"/>
      <c r="I595" s="3"/>
      <c r="J595" s="3"/>
      <c r="K595" s="3"/>
      <c r="L595" s="3"/>
      <c r="M595" s="3"/>
      <c r="N595" s="3">
        <v>21603964</v>
      </c>
      <c r="O595" s="3">
        <v>22144063</v>
      </c>
      <c r="P595" s="2">
        <v>2.5</v>
      </c>
      <c r="Q595" s="3">
        <v>126934</v>
      </c>
      <c r="R595" s="3">
        <v>413525</v>
      </c>
      <c r="S595" s="3">
        <v>21477030</v>
      </c>
      <c r="T595" s="3">
        <v>21730538</v>
      </c>
      <c r="U595" s="3">
        <v>21477030</v>
      </c>
      <c r="V595" s="3">
        <v>21730538</v>
      </c>
      <c r="W595" s="3">
        <v>0</v>
      </c>
      <c r="X595" s="3">
        <v>0</v>
      </c>
      <c r="Y595" s="2">
        <v>2060</v>
      </c>
      <c r="Z595" s="2">
        <v>2004</v>
      </c>
      <c r="AA595" s="2">
        <v>-2.72</v>
      </c>
      <c r="AB595" s="3">
        <v>8889715</v>
      </c>
      <c r="AC595" s="3">
        <v>9821040</v>
      </c>
      <c r="AD595" s="3">
        <v>4798229</v>
      </c>
      <c r="AE595" s="3">
        <v>1497467</v>
      </c>
      <c r="AF595" s="3">
        <v>3230031</v>
      </c>
      <c r="AG595" s="3">
        <v>7599468</v>
      </c>
      <c r="AH595" s="2">
        <v>6.95</v>
      </c>
      <c r="AI595" s="5">
        <v>15.86</v>
      </c>
    </row>
    <row r="596" spans="1:35" x14ac:dyDescent="0.3">
      <c r="A596" s="4" t="str">
        <f>"630601"</f>
        <v>630601</v>
      </c>
      <c r="B596" s="2" t="s">
        <v>592</v>
      </c>
      <c r="C596" s="3">
        <v>11406114</v>
      </c>
      <c r="D596" s="3">
        <v>11858510</v>
      </c>
      <c r="E596" s="2">
        <v>3.97</v>
      </c>
      <c r="F596" s="3">
        <v>6110229</v>
      </c>
      <c r="G596" s="3">
        <v>6212992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6110229</v>
      </c>
      <c r="O596" s="3">
        <v>6212992</v>
      </c>
      <c r="P596" s="2">
        <v>1.68</v>
      </c>
      <c r="Q596" s="3">
        <v>0</v>
      </c>
      <c r="R596" s="3">
        <v>310680</v>
      </c>
      <c r="S596" s="3">
        <v>6110229</v>
      </c>
      <c r="T596" s="3">
        <v>5902312</v>
      </c>
      <c r="U596" s="3">
        <v>6110229</v>
      </c>
      <c r="V596" s="3">
        <v>5902312</v>
      </c>
      <c r="W596" s="3">
        <v>0</v>
      </c>
      <c r="X596" s="3">
        <v>0</v>
      </c>
      <c r="Y596" s="2">
        <v>345</v>
      </c>
      <c r="Z596" s="2">
        <v>340</v>
      </c>
      <c r="AA596" s="2">
        <v>-1.45</v>
      </c>
      <c r="AB596" s="3">
        <v>1027594</v>
      </c>
      <c r="AC596" s="3">
        <v>1073904</v>
      </c>
      <c r="AD596" s="3">
        <v>1202639</v>
      </c>
      <c r="AE596" s="3">
        <v>1751000</v>
      </c>
      <c r="AF596" s="3">
        <v>1035246</v>
      </c>
      <c r="AG596" s="3">
        <v>474340</v>
      </c>
      <c r="AH596" s="2">
        <v>9.08</v>
      </c>
      <c r="AI596" s="5">
        <v>4</v>
      </c>
    </row>
    <row r="597" spans="1:35" x14ac:dyDescent="0.3">
      <c r="A597" s="4" t="str">
        <f>"630701"</f>
        <v>630701</v>
      </c>
      <c r="B597" s="2" t="s">
        <v>593</v>
      </c>
      <c r="C597" s="3">
        <v>23909749</v>
      </c>
      <c r="D597" s="3">
        <v>23909749</v>
      </c>
      <c r="E597" s="2">
        <v>0</v>
      </c>
      <c r="F597" s="3">
        <v>20210000</v>
      </c>
      <c r="G597" s="3">
        <v>20457142</v>
      </c>
      <c r="H597" s="3"/>
      <c r="I597" s="3"/>
      <c r="J597" s="3"/>
      <c r="K597" s="3"/>
      <c r="L597" s="3"/>
      <c r="M597" s="3"/>
      <c r="N597" s="3">
        <v>20210000</v>
      </c>
      <c r="O597" s="3">
        <v>20457142</v>
      </c>
      <c r="P597" s="2">
        <v>1.22</v>
      </c>
      <c r="Q597" s="3">
        <v>928666</v>
      </c>
      <c r="R597" s="3">
        <v>918189</v>
      </c>
      <c r="S597" s="3">
        <v>19432303</v>
      </c>
      <c r="T597" s="3">
        <v>19538953</v>
      </c>
      <c r="U597" s="3">
        <v>19281334</v>
      </c>
      <c r="V597" s="3">
        <v>19538953</v>
      </c>
      <c r="W597" s="3">
        <v>150969</v>
      </c>
      <c r="X597" s="3">
        <v>0</v>
      </c>
      <c r="Y597" s="2">
        <v>672</v>
      </c>
      <c r="Z597" s="2">
        <v>665</v>
      </c>
      <c r="AA597" s="2">
        <v>-1.04</v>
      </c>
      <c r="AB597" s="3">
        <v>3171136</v>
      </c>
      <c r="AC597" s="3">
        <v>3522400</v>
      </c>
      <c r="AD597" s="3">
        <v>1099475</v>
      </c>
      <c r="AE597" s="3">
        <v>781494</v>
      </c>
      <c r="AF597" s="3">
        <v>956390</v>
      </c>
      <c r="AG597" s="3">
        <v>956390</v>
      </c>
      <c r="AH597" s="2">
        <v>4</v>
      </c>
      <c r="AI597" s="5">
        <v>4</v>
      </c>
    </row>
    <row r="598" spans="1:35" x14ac:dyDescent="0.3">
      <c r="A598" s="4" t="str">
        <f>"630801"</f>
        <v>630801</v>
      </c>
      <c r="B598" s="2" t="s">
        <v>594</v>
      </c>
      <c r="C598" s="3">
        <v>21459438</v>
      </c>
      <c r="D598" s="3">
        <v>21770281</v>
      </c>
      <c r="E598" s="2">
        <v>1.45</v>
      </c>
      <c r="F598" s="3">
        <v>11179692</v>
      </c>
      <c r="G598" s="3">
        <v>11235104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11179692</v>
      </c>
      <c r="O598" s="3">
        <v>11235104</v>
      </c>
      <c r="P598" s="2">
        <v>0.5</v>
      </c>
      <c r="Q598" s="3">
        <v>647132</v>
      </c>
      <c r="R598" s="3">
        <v>579276</v>
      </c>
      <c r="S598" s="3">
        <v>10956559</v>
      </c>
      <c r="T598" s="3">
        <v>11299104</v>
      </c>
      <c r="U598" s="3">
        <v>10532560</v>
      </c>
      <c r="V598" s="3">
        <v>10655828</v>
      </c>
      <c r="W598" s="3">
        <v>423999</v>
      </c>
      <c r="X598" s="3">
        <v>643276</v>
      </c>
      <c r="Y598" s="2">
        <v>656</v>
      </c>
      <c r="Z598" s="2">
        <v>650</v>
      </c>
      <c r="AA598" s="2">
        <v>-0.91</v>
      </c>
      <c r="AB598" s="3">
        <v>2773972</v>
      </c>
      <c r="AC598" s="3">
        <v>3048838</v>
      </c>
      <c r="AD598" s="3">
        <v>1323712</v>
      </c>
      <c r="AE598" s="3">
        <v>1323712</v>
      </c>
      <c r="AF598" s="3">
        <v>3160910</v>
      </c>
      <c r="AG598" s="3">
        <v>3160910</v>
      </c>
      <c r="AH598" s="2">
        <v>14.73</v>
      </c>
      <c r="AI598" s="5">
        <v>14.52</v>
      </c>
    </row>
    <row r="599" spans="1:35" x14ac:dyDescent="0.3">
      <c r="A599" s="4" t="str">
        <f>"630902"</f>
        <v>630902</v>
      </c>
      <c r="B599" s="2" t="s">
        <v>595</v>
      </c>
      <c r="C599" s="3">
        <v>67563088</v>
      </c>
      <c r="D599" s="3">
        <v>69855050</v>
      </c>
      <c r="E599" s="2">
        <v>3.39</v>
      </c>
      <c r="F599" s="3">
        <v>36258659</v>
      </c>
      <c r="G599" s="3">
        <v>36988033</v>
      </c>
      <c r="H599" s="3"/>
      <c r="I599" s="3"/>
      <c r="J599" s="3"/>
      <c r="K599" s="3"/>
      <c r="L599" s="3"/>
      <c r="M599" s="3"/>
      <c r="N599" s="3">
        <v>36258659</v>
      </c>
      <c r="O599" s="3">
        <v>36988033</v>
      </c>
      <c r="P599" s="2">
        <v>2.0099999999999998</v>
      </c>
      <c r="Q599" s="3">
        <v>2894713</v>
      </c>
      <c r="R599" s="3">
        <v>3193184</v>
      </c>
      <c r="S599" s="3">
        <v>33363946</v>
      </c>
      <c r="T599" s="3">
        <v>33794849</v>
      </c>
      <c r="U599" s="3">
        <v>33363946</v>
      </c>
      <c r="V599" s="3">
        <v>33794849</v>
      </c>
      <c r="W599" s="3">
        <v>0</v>
      </c>
      <c r="X599" s="3">
        <v>0</v>
      </c>
      <c r="Y599" s="2">
        <v>3071</v>
      </c>
      <c r="Z599" s="2">
        <v>3004</v>
      </c>
      <c r="AA599" s="2">
        <v>-2.1800000000000002</v>
      </c>
      <c r="AB599" s="3">
        <v>410093</v>
      </c>
      <c r="AC599" s="3">
        <v>0</v>
      </c>
      <c r="AD599" s="3">
        <v>6915544</v>
      </c>
      <c r="AE599" s="3">
        <v>5701729</v>
      </c>
      <c r="AF599" s="3">
        <v>2702524</v>
      </c>
      <c r="AG599" s="3">
        <v>2095652</v>
      </c>
      <c r="AH599" s="2">
        <v>4</v>
      </c>
      <c r="AI599" s="5">
        <v>3</v>
      </c>
    </row>
    <row r="600" spans="1:35" x14ac:dyDescent="0.3">
      <c r="A600" s="4" t="str">
        <f>"630918"</f>
        <v>630918</v>
      </c>
      <c r="B600" s="2" t="s">
        <v>596</v>
      </c>
      <c r="C600" s="3">
        <v>4964718</v>
      </c>
      <c r="D600" s="3">
        <v>5353492</v>
      </c>
      <c r="E600" s="2">
        <v>7.83</v>
      </c>
      <c r="F600" s="3">
        <v>3009076</v>
      </c>
      <c r="G600" s="3">
        <v>3052892</v>
      </c>
      <c r="H600" s="3"/>
      <c r="I600" s="3"/>
      <c r="J600" s="3"/>
      <c r="K600" s="3"/>
      <c r="L600" s="3"/>
      <c r="M600" s="3"/>
      <c r="N600" s="3">
        <v>3009076</v>
      </c>
      <c r="O600" s="3">
        <v>3052892</v>
      </c>
      <c r="P600" s="2">
        <v>1.46</v>
      </c>
      <c r="Q600" s="3">
        <v>0</v>
      </c>
      <c r="R600" s="3">
        <v>0</v>
      </c>
      <c r="S600" s="3">
        <v>3009076</v>
      </c>
      <c r="T600" s="3">
        <v>3052892</v>
      </c>
      <c r="U600" s="3">
        <v>3009076</v>
      </c>
      <c r="V600" s="3">
        <v>3052892</v>
      </c>
      <c r="W600" s="3">
        <v>0</v>
      </c>
      <c r="X600" s="3">
        <v>0</v>
      </c>
      <c r="Y600" s="2">
        <v>154</v>
      </c>
      <c r="Z600" s="2">
        <v>157</v>
      </c>
      <c r="AA600" s="2">
        <v>1.95</v>
      </c>
      <c r="AB600" s="3">
        <v>279293</v>
      </c>
      <c r="AC600" s="3">
        <v>279291</v>
      </c>
      <c r="AD600" s="3">
        <v>184121</v>
      </c>
      <c r="AE600" s="3">
        <v>210346</v>
      </c>
      <c r="AF600" s="3">
        <v>320807</v>
      </c>
      <c r="AG600" s="3">
        <v>112034</v>
      </c>
      <c r="AH600" s="2">
        <v>6.46</v>
      </c>
      <c r="AI600" s="5">
        <v>2.09</v>
      </c>
    </row>
    <row r="601" spans="1:35" x14ac:dyDescent="0.3">
      <c r="A601" s="4" t="str">
        <f>"631201"</f>
        <v>631201</v>
      </c>
      <c r="B601" s="2" t="s">
        <v>597</v>
      </c>
      <c r="C601" s="3">
        <v>21592635</v>
      </c>
      <c r="D601" s="3">
        <v>21766212</v>
      </c>
      <c r="E601" s="2">
        <v>0.8</v>
      </c>
      <c r="F601" s="3">
        <v>7911737</v>
      </c>
      <c r="G601" s="3">
        <v>7911737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7911737</v>
      </c>
      <c r="O601" s="3">
        <v>7911737</v>
      </c>
      <c r="P601" s="2">
        <v>0</v>
      </c>
      <c r="Q601" s="3">
        <v>36290</v>
      </c>
      <c r="R601" s="3">
        <v>49646</v>
      </c>
      <c r="S601" s="3">
        <v>8080548</v>
      </c>
      <c r="T601" s="3">
        <v>8122759</v>
      </c>
      <c r="U601" s="3">
        <v>7875447</v>
      </c>
      <c r="V601" s="3">
        <v>7862091</v>
      </c>
      <c r="W601" s="3">
        <v>205101</v>
      </c>
      <c r="X601" s="3">
        <v>260668</v>
      </c>
      <c r="Y601" s="2">
        <v>698</v>
      </c>
      <c r="Z601" s="2">
        <v>648</v>
      </c>
      <c r="AA601" s="2">
        <v>-7.16</v>
      </c>
      <c r="AB601" s="3">
        <v>3737433</v>
      </c>
      <c r="AC601" s="3">
        <v>4565436</v>
      </c>
      <c r="AD601" s="3">
        <v>566851</v>
      </c>
      <c r="AE601" s="3">
        <v>448450</v>
      </c>
      <c r="AF601" s="3">
        <v>3398456</v>
      </c>
      <c r="AG601" s="3">
        <v>2416134</v>
      </c>
      <c r="AH601" s="2">
        <v>15.74</v>
      </c>
      <c r="AI601" s="5">
        <v>11.1</v>
      </c>
    </row>
    <row r="602" spans="1:35" x14ac:dyDescent="0.3">
      <c r="A602" s="4" t="str">
        <f>"640101"</f>
        <v>640101</v>
      </c>
      <c r="B602" s="2" t="s">
        <v>598</v>
      </c>
      <c r="C602" s="3">
        <v>13305750</v>
      </c>
      <c r="D602" s="3">
        <v>13201360</v>
      </c>
      <c r="E602" s="2">
        <v>-0.78</v>
      </c>
      <c r="F602" s="3">
        <v>4860000</v>
      </c>
      <c r="G602" s="3">
        <v>4908600</v>
      </c>
      <c r="H602" s="3"/>
      <c r="I602" s="3"/>
      <c r="J602" s="3"/>
      <c r="K602" s="3"/>
      <c r="L602" s="3"/>
      <c r="M602" s="3"/>
      <c r="N602" s="3">
        <v>4860000</v>
      </c>
      <c r="O602" s="3">
        <v>4908600</v>
      </c>
      <c r="P602" s="2">
        <v>1</v>
      </c>
      <c r="Q602" s="3">
        <v>52438</v>
      </c>
      <c r="R602" s="3">
        <v>170650</v>
      </c>
      <c r="S602" s="3">
        <v>4874241</v>
      </c>
      <c r="T602" s="3">
        <v>4896679</v>
      </c>
      <c r="U602" s="3">
        <v>4807562</v>
      </c>
      <c r="V602" s="3">
        <v>4737950</v>
      </c>
      <c r="W602" s="3">
        <v>66679</v>
      </c>
      <c r="X602" s="3">
        <v>158729</v>
      </c>
      <c r="Y602" s="2">
        <v>485</v>
      </c>
      <c r="Z602" s="2">
        <v>475</v>
      </c>
      <c r="AA602" s="2">
        <v>-2.06</v>
      </c>
      <c r="AB602" s="3">
        <v>1492899</v>
      </c>
      <c r="AC602" s="3">
        <v>1884258</v>
      </c>
      <c r="AD602" s="3">
        <v>822565</v>
      </c>
      <c r="AE602" s="3">
        <v>325630</v>
      </c>
      <c r="AF602" s="3">
        <v>1486826</v>
      </c>
      <c r="AG602" s="3">
        <v>925000</v>
      </c>
      <c r="AH602" s="2">
        <v>11.17</v>
      </c>
      <c r="AI602" s="5">
        <v>7.01</v>
      </c>
    </row>
    <row r="603" spans="1:35" x14ac:dyDescent="0.3">
      <c r="A603" s="4" t="str">
        <f>"640502"</f>
        <v>640502</v>
      </c>
      <c r="B603" s="2" t="s">
        <v>599</v>
      </c>
      <c r="C603" s="3">
        <v>12345678</v>
      </c>
      <c r="D603" s="3">
        <v>12345678</v>
      </c>
      <c r="E603" s="2">
        <v>0</v>
      </c>
      <c r="F603" s="3">
        <v>5226988</v>
      </c>
      <c r="G603" s="3">
        <v>5347993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5226988</v>
      </c>
      <c r="O603" s="3">
        <v>5347993</v>
      </c>
      <c r="P603" s="2">
        <v>2.3199999999999998</v>
      </c>
      <c r="Q603" s="3">
        <v>193656</v>
      </c>
      <c r="R603" s="3">
        <v>255868</v>
      </c>
      <c r="S603" s="3">
        <v>5033332</v>
      </c>
      <c r="T603" s="3">
        <v>5092125</v>
      </c>
      <c r="U603" s="3">
        <v>5033332</v>
      </c>
      <c r="V603" s="3">
        <v>5092125</v>
      </c>
      <c r="W603" s="3">
        <v>0</v>
      </c>
      <c r="X603" s="3">
        <v>0</v>
      </c>
      <c r="Y603" s="2">
        <v>489</v>
      </c>
      <c r="Z603" s="2">
        <v>428</v>
      </c>
      <c r="AA603" s="2">
        <v>-12.47</v>
      </c>
      <c r="AB603" s="3">
        <v>1206817</v>
      </c>
      <c r="AC603" s="3">
        <v>1410000</v>
      </c>
      <c r="AD603" s="3">
        <v>600000</v>
      </c>
      <c r="AE603" s="3">
        <v>734067</v>
      </c>
      <c r="AF603" s="3">
        <v>829600</v>
      </c>
      <c r="AG603" s="3">
        <v>624478</v>
      </c>
      <c r="AH603" s="2">
        <v>6.72</v>
      </c>
      <c r="AI603" s="5">
        <v>5.0599999999999996</v>
      </c>
    </row>
    <row r="604" spans="1:35" x14ac:dyDescent="0.3">
      <c r="A604" s="4" t="str">
        <f>"640601"</f>
        <v>640601</v>
      </c>
      <c r="B604" s="2" t="s">
        <v>600</v>
      </c>
      <c r="C604" s="3">
        <v>11179469</v>
      </c>
      <c r="D604" s="3">
        <v>11096764</v>
      </c>
      <c r="E604" s="2">
        <v>-0.74</v>
      </c>
      <c r="F604" s="3">
        <v>3007723</v>
      </c>
      <c r="G604" s="3">
        <v>3392089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3007723</v>
      </c>
      <c r="O604" s="3">
        <v>3392089</v>
      </c>
      <c r="P604" s="2">
        <v>12.78</v>
      </c>
      <c r="Q604" s="3">
        <v>7284</v>
      </c>
      <c r="R604" s="3">
        <v>0</v>
      </c>
      <c r="S604" s="3">
        <v>3083486</v>
      </c>
      <c r="T604" s="3">
        <v>3392089</v>
      </c>
      <c r="U604" s="3">
        <v>3000439</v>
      </c>
      <c r="V604" s="3">
        <v>3392089</v>
      </c>
      <c r="W604" s="3">
        <v>83047</v>
      </c>
      <c r="X604" s="3">
        <v>0</v>
      </c>
      <c r="Y604" s="2">
        <v>473</v>
      </c>
      <c r="Z604" s="2">
        <v>431</v>
      </c>
      <c r="AA604" s="2">
        <v>-8.8800000000000008</v>
      </c>
      <c r="AB604" s="3">
        <v>494754</v>
      </c>
      <c r="AC604" s="3">
        <v>1088063</v>
      </c>
      <c r="AD604" s="3">
        <v>0</v>
      </c>
      <c r="AE604" s="3">
        <v>109611</v>
      </c>
      <c r="AF604" s="3">
        <v>679299</v>
      </c>
      <c r="AG604" s="3">
        <v>1153336</v>
      </c>
      <c r="AH604" s="2">
        <v>6.08</v>
      </c>
      <c r="AI604" s="5">
        <v>10.39</v>
      </c>
    </row>
    <row r="605" spans="1:35" x14ac:dyDescent="0.3">
      <c r="A605" s="4" t="str">
        <f>"640701"</f>
        <v>640701</v>
      </c>
      <c r="B605" s="2" t="s">
        <v>601</v>
      </c>
      <c r="C605" s="3">
        <v>26136086</v>
      </c>
      <c r="D605" s="3">
        <v>27010929</v>
      </c>
      <c r="E605" s="2">
        <v>3.35</v>
      </c>
      <c r="F605" s="3">
        <v>7076119</v>
      </c>
      <c r="G605" s="3">
        <v>6476019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7076119</v>
      </c>
      <c r="O605" s="3">
        <v>6476019</v>
      </c>
      <c r="P605" s="2">
        <v>-8.48</v>
      </c>
      <c r="Q605" s="3">
        <v>369855</v>
      </c>
      <c r="R605" s="3">
        <v>301295</v>
      </c>
      <c r="S605" s="3">
        <v>6778860</v>
      </c>
      <c r="T605" s="3">
        <v>6797347</v>
      </c>
      <c r="U605" s="3">
        <v>6706264</v>
      </c>
      <c r="V605" s="3">
        <v>6174724</v>
      </c>
      <c r="W605" s="3">
        <v>72596</v>
      </c>
      <c r="X605" s="3">
        <v>622623</v>
      </c>
      <c r="Y605" s="2">
        <v>1033</v>
      </c>
      <c r="Z605" s="2">
        <v>1020</v>
      </c>
      <c r="AA605" s="2">
        <v>-1.26</v>
      </c>
      <c r="AB605" s="3">
        <v>2078038</v>
      </c>
      <c r="AC605" s="3">
        <v>5251842</v>
      </c>
      <c r="AD605" s="3">
        <v>2134666</v>
      </c>
      <c r="AE605" s="3">
        <v>25000</v>
      </c>
      <c r="AF605" s="3">
        <v>5617458</v>
      </c>
      <c r="AG605" s="3">
        <v>3927978</v>
      </c>
      <c r="AH605" s="2">
        <v>21.49</v>
      </c>
      <c r="AI605" s="5">
        <v>14.54</v>
      </c>
    </row>
    <row r="606" spans="1:35" x14ac:dyDescent="0.3">
      <c r="A606" s="4" t="str">
        <f>"640801"</f>
        <v>640801</v>
      </c>
      <c r="B606" s="2" t="s">
        <v>602</v>
      </c>
      <c r="C606" s="3">
        <v>21976710</v>
      </c>
      <c r="D606" s="3">
        <v>22590319</v>
      </c>
      <c r="E606" s="2">
        <v>2.79</v>
      </c>
      <c r="F606" s="3">
        <v>11472720</v>
      </c>
      <c r="G606" s="3">
        <v>11702174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11472720</v>
      </c>
      <c r="O606" s="3">
        <v>11702174</v>
      </c>
      <c r="P606" s="2">
        <v>2</v>
      </c>
      <c r="Q606" s="3">
        <v>296612</v>
      </c>
      <c r="R606" s="3">
        <v>429739</v>
      </c>
      <c r="S606" s="3">
        <v>11176108</v>
      </c>
      <c r="T606" s="3">
        <v>11357490</v>
      </c>
      <c r="U606" s="3">
        <v>11176108</v>
      </c>
      <c r="V606" s="3">
        <v>11272435</v>
      </c>
      <c r="W606" s="3">
        <v>0</v>
      </c>
      <c r="X606" s="3">
        <v>85055</v>
      </c>
      <c r="Y606" s="2">
        <v>950</v>
      </c>
      <c r="Z606" s="2">
        <v>900</v>
      </c>
      <c r="AA606" s="2">
        <v>-5.26</v>
      </c>
      <c r="AB606" s="3">
        <v>1384700</v>
      </c>
      <c r="AC606" s="3">
        <v>2114700</v>
      </c>
      <c r="AD606" s="3">
        <v>202053</v>
      </c>
      <c r="AE606" s="3">
        <v>97800</v>
      </c>
      <c r="AF606" s="3">
        <v>1715725</v>
      </c>
      <c r="AG606" s="3">
        <v>1849804</v>
      </c>
      <c r="AH606" s="2">
        <v>7.81</v>
      </c>
      <c r="AI606" s="5">
        <v>8.19</v>
      </c>
    </row>
    <row r="607" spans="1:35" x14ac:dyDescent="0.3">
      <c r="A607" s="4" t="str">
        <f>"641001"</f>
        <v>641001</v>
      </c>
      <c r="B607" s="2" t="s">
        <v>603</v>
      </c>
      <c r="C607" s="3">
        <v>13405200</v>
      </c>
      <c r="D607" s="3">
        <v>13450000</v>
      </c>
      <c r="E607" s="2">
        <v>0.33</v>
      </c>
      <c r="F607" s="3">
        <v>3667483</v>
      </c>
      <c r="G607" s="3">
        <v>3727630</v>
      </c>
      <c r="H607" s="3"/>
      <c r="I607" s="3"/>
      <c r="J607" s="3"/>
      <c r="K607" s="3"/>
      <c r="L607" s="3"/>
      <c r="M607" s="3"/>
      <c r="N607" s="3">
        <v>3667483</v>
      </c>
      <c r="O607" s="3">
        <v>3727630</v>
      </c>
      <c r="P607" s="2">
        <v>1.64</v>
      </c>
      <c r="Q607" s="3">
        <v>223474</v>
      </c>
      <c r="R607" s="3">
        <v>233875</v>
      </c>
      <c r="S607" s="3">
        <v>3444009</v>
      </c>
      <c r="T607" s="3">
        <v>3493795</v>
      </c>
      <c r="U607" s="3">
        <v>3444009</v>
      </c>
      <c r="V607" s="3">
        <v>3493755</v>
      </c>
      <c r="W607" s="3">
        <v>0</v>
      </c>
      <c r="X607" s="3">
        <v>40</v>
      </c>
      <c r="Y607" s="2">
        <v>446</v>
      </c>
      <c r="Z607" s="2">
        <v>392</v>
      </c>
      <c r="AA607" s="2">
        <v>-12.11</v>
      </c>
      <c r="AB607" s="3">
        <v>203184</v>
      </c>
      <c r="AC607" s="3">
        <v>210321</v>
      </c>
      <c r="AD607" s="3">
        <v>786043</v>
      </c>
      <c r="AE607" s="3">
        <v>555207</v>
      </c>
      <c r="AF607" s="3">
        <v>435525</v>
      </c>
      <c r="AG607" s="3">
        <v>501277</v>
      </c>
      <c r="AH607" s="2">
        <v>3.25</v>
      </c>
      <c r="AI607" s="5">
        <v>3.73</v>
      </c>
    </row>
    <row r="608" spans="1:35" x14ac:dyDescent="0.3">
      <c r="A608" s="4" t="str">
        <f>"641301"</f>
        <v>641301</v>
      </c>
      <c r="B608" s="2" t="s">
        <v>604</v>
      </c>
      <c r="C608" s="3">
        <v>44692702</v>
      </c>
      <c r="D608" s="3">
        <v>46327727</v>
      </c>
      <c r="E608" s="2">
        <v>3.66</v>
      </c>
      <c r="F608" s="3">
        <v>12703410</v>
      </c>
      <c r="G608" s="3">
        <v>12703410</v>
      </c>
      <c r="H608" s="3"/>
      <c r="I608" s="3"/>
      <c r="J608" s="3"/>
      <c r="K608" s="3"/>
      <c r="L608" s="3"/>
      <c r="M608" s="3"/>
      <c r="N608" s="3">
        <v>12703410</v>
      </c>
      <c r="O608" s="3">
        <v>12703410</v>
      </c>
      <c r="P608" s="2">
        <v>0</v>
      </c>
      <c r="Q608" s="3">
        <v>0</v>
      </c>
      <c r="R608" s="3">
        <v>0</v>
      </c>
      <c r="S608" s="3">
        <v>12890801</v>
      </c>
      <c r="T608" s="3">
        <v>13109578</v>
      </c>
      <c r="U608" s="3">
        <v>12703410</v>
      </c>
      <c r="V608" s="3">
        <v>12703410</v>
      </c>
      <c r="W608" s="3">
        <v>187391</v>
      </c>
      <c r="X608" s="3">
        <v>406168</v>
      </c>
      <c r="Y608" s="2">
        <v>2420</v>
      </c>
      <c r="Z608" s="2">
        <v>2408</v>
      </c>
      <c r="AA608" s="2">
        <v>-0.5</v>
      </c>
      <c r="AB608" s="3">
        <v>1414564</v>
      </c>
      <c r="AC608" s="3">
        <v>1164564</v>
      </c>
      <c r="AD608" s="3">
        <v>390171</v>
      </c>
      <c r="AE608" s="3">
        <v>350000</v>
      </c>
      <c r="AF608" s="3">
        <v>3212567</v>
      </c>
      <c r="AG608" s="3">
        <v>2718228</v>
      </c>
      <c r="AH608" s="2">
        <v>7.19</v>
      </c>
      <c r="AI608" s="5">
        <v>5.87</v>
      </c>
    </row>
    <row r="609" spans="1:35" x14ac:dyDescent="0.3">
      <c r="A609" s="4" t="str">
        <f>"641401"</f>
        <v>641401</v>
      </c>
      <c r="B609" s="2" t="s">
        <v>605</v>
      </c>
      <c r="C609" s="3">
        <v>2611727</v>
      </c>
      <c r="D609" s="3">
        <v>2679839</v>
      </c>
      <c r="E609" s="2">
        <v>2.61</v>
      </c>
      <c r="F609" s="3">
        <v>1957686</v>
      </c>
      <c r="G609" s="3">
        <v>1992071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1957686</v>
      </c>
      <c r="O609" s="3">
        <v>1992071</v>
      </c>
      <c r="P609" s="2">
        <v>1.76</v>
      </c>
      <c r="Q609" s="3">
        <v>0</v>
      </c>
      <c r="R609" s="3">
        <v>0</v>
      </c>
      <c r="S609" s="3">
        <v>1957686</v>
      </c>
      <c r="T609" s="3">
        <v>1992071</v>
      </c>
      <c r="U609" s="3">
        <v>1957686</v>
      </c>
      <c r="V609" s="3">
        <v>1992071</v>
      </c>
      <c r="W609" s="3">
        <v>0</v>
      </c>
      <c r="X609" s="3">
        <v>0</v>
      </c>
      <c r="Y609" s="2">
        <v>61</v>
      </c>
      <c r="Z609" s="2">
        <v>61</v>
      </c>
      <c r="AA609" s="2">
        <v>0</v>
      </c>
      <c r="AB609" s="3">
        <v>76799</v>
      </c>
      <c r="AC609" s="3">
        <v>76832</v>
      </c>
      <c r="AD609" s="3">
        <v>275814</v>
      </c>
      <c r="AE609" s="3">
        <v>184981</v>
      </c>
      <c r="AF609" s="3">
        <v>1631175</v>
      </c>
      <c r="AG609" s="3">
        <v>1146194</v>
      </c>
      <c r="AH609" s="2">
        <v>62.46</v>
      </c>
      <c r="AI609" s="5">
        <v>42.77</v>
      </c>
    </row>
    <row r="610" spans="1:35" x14ac:dyDescent="0.3">
      <c r="A610" s="4" t="str">
        <f>"641501"</f>
        <v>641501</v>
      </c>
      <c r="B610" s="2" t="s">
        <v>606</v>
      </c>
      <c r="C610" s="3">
        <v>14122544</v>
      </c>
      <c r="D610" s="3">
        <v>15631195</v>
      </c>
      <c r="E610" s="2">
        <v>10.68</v>
      </c>
      <c r="F610" s="3">
        <v>5223926</v>
      </c>
      <c r="G610" s="3">
        <v>5223841</v>
      </c>
      <c r="H610" s="3"/>
      <c r="I610" s="3"/>
      <c r="J610" s="3"/>
      <c r="K610" s="3"/>
      <c r="L610" s="3"/>
      <c r="M610" s="3"/>
      <c r="N610" s="3">
        <v>5223926</v>
      </c>
      <c r="O610" s="3">
        <v>5223841</v>
      </c>
      <c r="P610" s="2">
        <v>0</v>
      </c>
      <c r="Q610" s="3">
        <v>272402</v>
      </c>
      <c r="R610" s="3">
        <v>231994</v>
      </c>
      <c r="S610" s="3">
        <v>4951524</v>
      </c>
      <c r="T610" s="3">
        <v>4991847</v>
      </c>
      <c r="U610" s="3">
        <v>4951524</v>
      </c>
      <c r="V610" s="3">
        <v>4991847</v>
      </c>
      <c r="W610" s="3">
        <v>0</v>
      </c>
      <c r="X610" s="3">
        <v>0</v>
      </c>
      <c r="Y610" s="2">
        <v>556</v>
      </c>
      <c r="Z610" s="2">
        <v>550</v>
      </c>
      <c r="AA610" s="2">
        <v>-1.08</v>
      </c>
      <c r="AB610" s="3">
        <v>2289878</v>
      </c>
      <c r="AC610" s="3">
        <v>2290000</v>
      </c>
      <c r="AD610" s="3">
        <v>817951</v>
      </c>
      <c r="AE610" s="3">
        <v>1043600</v>
      </c>
      <c r="AF610" s="3">
        <v>1667594</v>
      </c>
      <c r="AG610" s="3">
        <v>623994</v>
      </c>
      <c r="AH610" s="2">
        <v>11.81</v>
      </c>
      <c r="AI610" s="5">
        <v>3.99</v>
      </c>
    </row>
    <row r="611" spans="1:35" x14ac:dyDescent="0.3">
      <c r="A611" s="4" t="str">
        <f>"641610"</f>
        <v>641610</v>
      </c>
      <c r="B611" s="2" t="s">
        <v>607</v>
      </c>
      <c r="C611" s="3">
        <v>22284631</v>
      </c>
      <c r="D611" s="3">
        <v>23047962</v>
      </c>
      <c r="E611" s="2">
        <v>3.43</v>
      </c>
      <c r="F611" s="3">
        <v>9085784</v>
      </c>
      <c r="G611" s="3">
        <v>9236000</v>
      </c>
      <c r="H611" s="3"/>
      <c r="I611" s="3"/>
      <c r="J611" s="3"/>
      <c r="K611" s="3"/>
      <c r="L611" s="3"/>
      <c r="M611" s="3"/>
      <c r="N611" s="3">
        <v>9085784</v>
      </c>
      <c r="O611" s="3">
        <v>9236000</v>
      </c>
      <c r="P611" s="2">
        <v>1.65</v>
      </c>
      <c r="Q611" s="3">
        <v>749568</v>
      </c>
      <c r="R611" s="3">
        <v>761505</v>
      </c>
      <c r="S611" s="3">
        <v>8596638</v>
      </c>
      <c r="T611" s="3">
        <v>8475363</v>
      </c>
      <c r="U611" s="3">
        <v>8336216</v>
      </c>
      <c r="V611" s="3">
        <v>8474495</v>
      </c>
      <c r="W611" s="3">
        <v>260422</v>
      </c>
      <c r="X611" s="3">
        <v>868</v>
      </c>
      <c r="Y611" s="2">
        <v>836</v>
      </c>
      <c r="Z611" s="2">
        <v>818</v>
      </c>
      <c r="AA611" s="2">
        <v>-2.15</v>
      </c>
      <c r="AB611" s="3">
        <v>1006856</v>
      </c>
      <c r="AC611" s="3">
        <v>1240251</v>
      </c>
      <c r="AD611" s="3">
        <v>990538</v>
      </c>
      <c r="AE611" s="3">
        <v>800000</v>
      </c>
      <c r="AF611" s="3">
        <v>1209988</v>
      </c>
      <c r="AG611" s="3">
        <v>921918</v>
      </c>
      <c r="AH611" s="2">
        <v>5.43</v>
      </c>
      <c r="AI611" s="5">
        <v>4</v>
      </c>
    </row>
    <row r="612" spans="1:35" x14ac:dyDescent="0.3">
      <c r="A612" s="4" t="str">
        <f>"641701"</f>
        <v>641701</v>
      </c>
      <c r="B612" s="2" t="s">
        <v>608</v>
      </c>
      <c r="C612" s="3">
        <v>17083791</v>
      </c>
      <c r="D612" s="3">
        <v>17806903</v>
      </c>
      <c r="E612" s="2">
        <v>4.2300000000000004</v>
      </c>
      <c r="F612" s="3">
        <v>5683334</v>
      </c>
      <c r="G612" s="3">
        <v>5683334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5683334</v>
      </c>
      <c r="O612" s="3">
        <v>5683334</v>
      </c>
      <c r="P612" s="2">
        <v>0</v>
      </c>
      <c r="Q612" s="3">
        <v>0</v>
      </c>
      <c r="R612" s="3">
        <v>0</v>
      </c>
      <c r="S612" s="3">
        <v>5816257</v>
      </c>
      <c r="T612" s="3">
        <v>5847719</v>
      </c>
      <c r="U612" s="3">
        <v>5683334</v>
      </c>
      <c r="V612" s="3">
        <v>5683334</v>
      </c>
      <c r="W612" s="3">
        <v>132923</v>
      </c>
      <c r="X612" s="3">
        <v>164385</v>
      </c>
      <c r="Y612" s="2">
        <v>687</v>
      </c>
      <c r="Z612" s="2">
        <v>691</v>
      </c>
      <c r="AA612" s="2">
        <v>0.57999999999999996</v>
      </c>
      <c r="AB612" s="3">
        <v>3196083</v>
      </c>
      <c r="AC612" s="3">
        <v>3972056</v>
      </c>
      <c r="AD612" s="3">
        <v>735936</v>
      </c>
      <c r="AE612" s="3">
        <v>600000</v>
      </c>
      <c r="AF612" s="3">
        <v>2123685</v>
      </c>
      <c r="AG612" s="3">
        <v>2492210</v>
      </c>
      <c r="AH612" s="2">
        <v>12.43</v>
      </c>
      <c r="AI612" s="5">
        <v>14</v>
      </c>
    </row>
    <row r="613" spans="1:35" x14ac:dyDescent="0.3">
      <c r="A613" s="4" t="str">
        <f>"650101"</f>
        <v>650101</v>
      </c>
      <c r="B613" s="2" t="s">
        <v>609</v>
      </c>
      <c r="C613" s="3">
        <v>50290465</v>
      </c>
      <c r="D613" s="3">
        <v>50857919</v>
      </c>
      <c r="E613" s="2">
        <v>1.1299999999999999</v>
      </c>
      <c r="F613" s="3">
        <v>13566089</v>
      </c>
      <c r="G613" s="3">
        <v>13823845</v>
      </c>
      <c r="H613" s="3">
        <v>592437</v>
      </c>
      <c r="I613" s="3">
        <v>601323</v>
      </c>
      <c r="J613" s="3">
        <v>0</v>
      </c>
      <c r="K613" s="3">
        <v>0</v>
      </c>
      <c r="L613" s="3">
        <v>0</v>
      </c>
      <c r="M613" s="3">
        <v>0</v>
      </c>
      <c r="N613" s="3">
        <v>14158526</v>
      </c>
      <c r="O613" s="3">
        <v>14425168</v>
      </c>
      <c r="P613" s="2">
        <v>1.88</v>
      </c>
      <c r="Q613" s="3">
        <v>0</v>
      </c>
      <c r="R613" s="3">
        <v>0</v>
      </c>
      <c r="S613" s="3">
        <v>13728008</v>
      </c>
      <c r="T613" s="3">
        <v>14010052</v>
      </c>
      <c r="U613" s="3">
        <v>13566089</v>
      </c>
      <c r="V613" s="3">
        <v>13823845</v>
      </c>
      <c r="W613" s="3">
        <v>161919</v>
      </c>
      <c r="X613" s="3">
        <v>186207</v>
      </c>
      <c r="Y613" s="2">
        <v>2106</v>
      </c>
      <c r="Z613" s="2">
        <v>2016</v>
      </c>
      <c r="AA613" s="2">
        <v>-4.2699999999999996</v>
      </c>
      <c r="AB613" s="3">
        <v>13489715</v>
      </c>
      <c r="AC613" s="3">
        <v>12645513</v>
      </c>
      <c r="AD613" s="3">
        <v>1500000</v>
      </c>
      <c r="AE613" s="3">
        <v>500000</v>
      </c>
      <c r="AF613" s="3">
        <v>2011614</v>
      </c>
      <c r="AG613" s="3">
        <v>2024000</v>
      </c>
      <c r="AH613" s="2">
        <v>4</v>
      </c>
      <c r="AI613" s="5">
        <v>3.98</v>
      </c>
    </row>
    <row r="614" spans="1:35" x14ac:dyDescent="0.3">
      <c r="A614" s="4" t="str">
        <f>"650301"</f>
        <v>650301</v>
      </c>
      <c r="B614" s="2" t="s">
        <v>610</v>
      </c>
      <c r="C614" s="3">
        <v>22035010</v>
      </c>
      <c r="D614" s="3">
        <v>23762120</v>
      </c>
      <c r="E614" s="2">
        <v>7.84</v>
      </c>
      <c r="F614" s="3">
        <v>5064665</v>
      </c>
      <c r="G614" s="3">
        <v>5165959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5064665</v>
      </c>
      <c r="O614" s="3">
        <v>5165959</v>
      </c>
      <c r="P614" s="2">
        <v>2</v>
      </c>
      <c r="Q614" s="3">
        <v>0</v>
      </c>
      <c r="R614" s="3">
        <v>0</v>
      </c>
      <c r="S614" s="3">
        <v>5141158</v>
      </c>
      <c r="T614" s="3">
        <v>5271614</v>
      </c>
      <c r="U614" s="3">
        <v>5064665</v>
      </c>
      <c r="V614" s="3">
        <v>5165959</v>
      </c>
      <c r="W614" s="3">
        <v>76493</v>
      </c>
      <c r="X614" s="3">
        <v>105655</v>
      </c>
      <c r="Y614" s="2">
        <v>786</v>
      </c>
      <c r="Z614" s="2">
        <v>759</v>
      </c>
      <c r="AA614" s="2">
        <v>-3.44</v>
      </c>
      <c r="AB614" s="3">
        <v>4232351</v>
      </c>
      <c r="AC614" s="3">
        <v>5556145</v>
      </c>
      <c r="AD614" s="3">
        <v>300000</v>
      </c>
      <c r="AE614" s="3">
        <v>300000</v>
      </c>
      <c r="AF614" s="3">
        <v>881400</v>
      </c>
      <c r="AG614" s="3">
        <v>950485</v>
      </c>
      <c r="AH614" s="2">
        <v>4</v>
      </c>
      <c r="AI614" s="5">
        <v>4</v>
      </c>
    </row>
    <row r="615" spans="1:35" x14ac:dyDescent="0.3">
      <c r="A615" s="4" t="str">
        <f>"650501"</f>
        <v>650501</v>
      </c>
      <c r="B615" s="2" t="s">
        <v>611</v>
      </c>
      <c r="C615" s="3">
        <v>24719112</v>
      </c>
      <c r="D615" s="3">
        <v>25283390</v>
      </c>
      <c r="E615" s="2">
        <v>2.2799999999999998</v>
      </c>
      <c r="F615" s="3">
        <v>5057115</v>
      </c>
      <c r="G615" s="3">
        <v>5143086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5057115</v>
      </c>
      <c r="O615" s="3">
        <v>5143086</v>
      </c>
      <c r="P615" s="2">
        <v>1.7</v>
      </c>
      <c r="Q615" s="3">
        <v>0</v>
      </c>
      <c r="R615" s="3">
        <v>0</v>
      </c>
      <c r="S615" s="3">
        <v>5143726</v>
      </c>
      <c r="T615" s="3">
        <v>5379138</v>
      </c>
      <c r="U615" s="3">
        <v>5057115</v>
      </c>
      <c r="V615" s="3">
        <v>5143086</v>
      </c>
      <c r="W615" s="3">
        <v>86611</v>
      </c>
      <c r="X615" s="3">
        <v>236052</v>
      </c>
      <c r="Y615" s="2">
        <v>933</v>
      </c>
      <c r="Z615" s="2">
        <v>939</v>
      </c>
      <c r="AA615" s="2">
        <v>0.64</v>
      </c>
      <c r="AB615" s="3">
        <v>4200228</v>
      </c>
      <c r="AC615" s="3">
        <v>4460228</v>
      </c>
      <c r="AD615" s="3">
        <v>400000</v>
      </c>
      <c r="AE615" s="3">
        <v>400000</v>
      </c>
      <c r="AF615" s="3">
        <v>791310</v>
      </c>
      <c r="AG615" s="3">
        <v>795000</v>
      </c>
      <c r="AH615" s="2">
        <v>3.2</v>
      </c>
      <c r="AI615" s="5">
        <v>3.14</v>
      </c>
    </row>
    <row r="616" spans="1:35" x14ac:dyDescent="0.3">
      <c r="A616" s="4" t="str">
        <f>"650701"</f>
        <v>650701</v>
      </c>
      <c r="B616" s="2" t="s">
        <v>612</v>
      </c>
      <c r="C616" s="3">
        <v>20442575</v>
      </c>
      <c r="D616" s="3">
        <v>21090290</v>
      </c>
      <c r="E616" s="2">
        <v>3.17</v>
      </c>
      <c r="F616" s="3">
        <v>6884609</v>
      </c>
      <c r="G616" s="3">
        <v>6994379</v>
      </c>
      <c r="H616" s="3"/>
      <c r="I616" s="3"/>
      <c r="J616" s="3">
        <v>0</v>
      </c>
      <c r="K616" s="3">
        <v>0</v>
      </c>
      <c r="L616" s="3"/>
      <c r="M616" s="3"/>
      <c r="N616" s="3">
        <v>6884609</v>
      </c>
      <c r="O616" s="3">
        <v>6994379</v>
      </c>
      <c r="P616" s="2">
        <v>1.59</v>
      </c>
      <c r="Q616" s="3">
        <v>0</v>
      </c>
      <c r="R616" s="3">
        <v>0</v>
      </c>
      <c r="S616" s="3">
        <v>6884609</v>
      </c>
      <c r="T616" s="3">
        <v>6994379</v>
      </c>
      <c r="U616" s="3">
        <v>6884609</v>
      </c>
      <c r="V616" s="3">
        <v>6994379</v>
      </c>
      <c r="W616" s="3">
        <v>0</v>
      </c>
      <c r="X616" s="3">
        <v>0</v>
      </c>
      <c r="Y616" s="2">
        <v>620</v>
      </c>
      <c r="Z616" s="2">
        <v>650</v>
      </c>
      <c r="AA616" s="2">
        <v>4.84</v>
      </c>
      <c r="AB616" s="3">
        <v>4485008</v>
      </c>
      <c r="AC616" s="3">
        <v>5450000</v>
      </c>
      <c r="AD616" s="3">
        <v>727380</v>
      </c>
      <c r="AE616" s="3">
        <v>585397</v>
      </c>
      <c r="AF616" s="3">
        <v>817703</v>
      </c>
      <c r="AG616" s="3">
        <v>843611</v>
      </c>
      <c r="AH616" s="2">
        <v>4</v>
      </c>
      <c r="AI616" s="5">
        <v>4</v>
      </c>
    </row>
    <row r="617" spans="1:35" x14ac:dyDescent="0.3">
      <c r="A617" s="4" t="str">
        <f>"650801"</f>
        <v>650801</v>
      </c>
      <c r="B617" s="2" t="s">
        <v>613</v>
      </c>
      <c r="C617" s="3">
        <v>47340010</v>
      </c>
      <c r="D617" s="3">
        <v>48946132</v>
      </c>
      <c r="E617" s="2">
        <v>3.39</v>
      </c>
      <c r="F617" s="3">
        <v>23924392</v>
      </c>
      <c r="G617" s="3">
        <v>24857443</v>
      </c>
      <c r="H617" s="3"/>
      <c r="I617" s="3"/>
      <c r="J617" s="3"/>
      <c r="K617" s="3"/>
      <c r="L617" s="3"/>
      <c r="M617" s="3"/>
      <c r="N617" s="3">
        <v>23924392</v>
      </c>
      <c r="O617" s="3">
        <v>24857443</v>
      </c>
      <c r="P617" s="2">
        <v>3.9</v>
      </c>
      <c r="Q617" s="3">
        <v>366861</v>
      </c>
      <c r="R617" s="3">
        <v>365123</v>
      </c>
      <c r="S617" s="3">
        <v>23557531</v>
      </c>
      <c r="T617" s="3">
        <v>24543863</v>
      </c>
      <c r="U617" s="3">
        <v>23557531</v>
      </c>
      <c r="V617" s="3">
        <v>24492320</v>
      </c>
      <c r="W617" s="3">
        <v>0</v>
      </c>
      <c r="X617" s="3">
        <v>51543</v>
      </c>
      <c r="Y617" s="2">
        <v>2076</v>
      </c>
      <c r="Z617" s="2">
        <v>2048</v>
      </c>
      <c r="AA617" s="2">
        <v>-1.35</v>
      </c>
      <c r="AB617" s="3">
        <v>11976177</v>
      </c>
      <c r="AC617" s="3">
        <v>13052000</v>
      </c>
      <c r="AD617" s="3">
        <v>1005000</v>
      </c>
      <c r="AE617" s="3">
        <v>88107</v>
      </c>
      <c r="AF617" s="3">
        <v>1983600</v>
      </c>
      <c r="AG617" s="3">
        <v>1957845</v>
      </c>
      <c r="AH617" s="2">
        <v>4.1900000000000004</v>
      </c>
      <c r="AI617" s="5">
        <v>4</v>
      </c>
    </row>
    <row r="618" spans="1:35" x14ac:dyDescent="0.3">
      <c r="A618" s="4" t="str">
        <f>"650901"</f>
        <v>650901</v>
      </c>
      <c r="B618" s="2" t="s">
        <v>614</v>
      </c>
      <c r="C618" s="3">
        <v>42008000</v>
      </c>
      <c r="D618" s="3">
        <v>43521000</v>
      </c>
      <c r="E618" s="2">
        <v>3.6</v>
      </c>
      <c r="F618" s="3">
        <v>19760000</v>
      </c>
      <c r="G618" s="3">
        <v>20094000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19760000</v>
      </c>
      <c r="O618" s="3">
        <v>20094000</v>
      </c>
      <c r="P618" s="2">
        <v>1.69</v>
      </c>
      <c r="Q618" s="3">
        <v>0</v>
      </c>
      <c r="R618" s="3">
        <v>0</v>
      </c>
      <c r="S618" s="3">
        <v>19771936</v>
      </c>
      <c r="T618" s="3">
        <v>20164110</v>
      </c>
      <c r="U618" s="3">
        <v>19760000</v>
      </c>
      <c r="V618" s="3">
        <v>20094000</v>
      </c>
      <c r="W618" s="3">
        <v>11936</v>
      </c>
      <c r="X618" s="3">
        <v>70110</v>
      </c>
      <c r="Y618" s="2">
        <v>1795</v>
      </c>
      <c r="Z618" s="2">
        <v>1775</v>
      </c>
      <c r="AA618" s="2">
        <v>-1.1100000000000001</v>
      </c>
      <c r="AB618" s="3">
        <v>10502489</v>
      </c>
      <c r="AC618" s="3">
        <v>10739000</v>
      </c>
      <c r="AD618" s="3">
        <v>0</v>
      </c>
      <c r="AE618" s="3">
        <v>0</v>
      </c>
      <c r="AF618" s="3">
        <v>1596453</v>
      </c>
      <c r="AG618" s="3">
        <v>1740800</v>
      </c>
      <c r="AH618" s="2">
        <v>3.8</v>
      </c>
      <c r="AI618" s="5">
        <v>4</v>
      </c>
    </row>
    <row r="619" spans="1:35" x14ac:dyDescent="0.3">
      <c r="A619" s="4" t="str">
        <f>"650902"</f>
        <v>650902</v>
      </c>
      <c r="B619" s="2" t="s">
        <v>615</v>
      </c>
      <c r="C619" s="3">
        <v>24476817</v>
      </c>
      <c r="D619" s="3">
        <v>22880744</v>
      </c>
      <c r="E619" s="2">
        <v>-6.52</v>
      </c>
      <c r="F619" s="3">
        <v>10605534</v>
      </c>
      <c r="G619" s="3">
        <v>10788816</v>
      </c>
      <c r="H619" s="3"/>
      <c r="I619" s="3"/>
      <c r="J619" s="3"/>
      <c r="K619" s="3"/>
      <c r="L619" s="3"/>
      <c r="M619" s="3"/>
      <c r="N619" s="3">
        <v>10605534</v>
      </c>
      <c r="O619" s="3">
        <v>10788816</v>
      </c>
      <c r="P619" s="2">
        <v>1.73</v>
      </c>
      <c r="Q619" s="3">
        <v>0</v>
      </c>
      <c r="R619" s="3">
        <v>0</v>
      </c>
      <c r="S619" s="3">
        <v>10605534</v>
      </c>
      <c r="T619" s="3">
        <v>10788816</v>
      </c>
      <c r="U619" s="3">
        <v>10605534</v>
      </c>
      <c r="V619" s="3">
        <v>10788816</v>
      </c>
      <c r="W619" s="3">
        <v>0</v>
      </c>
      <c r="X619" s="3">
        <v>0</v>
      </c>
      <c r="Y619" s="2">
        <v>887</v>
      </c>
      <c r="Z619" s="2">
        <v>868</v>
      </c>
      <c r="AA619" s="2">
        <v>-2.14</v>
      </c>
      <c r="AB619" s="3">
        <v>1553823</v>
      </c>
      <c r="AC619" s="3">
        <v>1383824</v>
      </c>
      <c r="AD619" s="3">
        <v>750000</v>
      </c>
      <c r="AE619" s="3">
        <v>300000</v>
      </c>
      <c r="AF619" s="3">
        <v>979072</v>
      </c>
      <c r="AG619" s="3">
        <v>915230</v>
      </c>
      <c r="AH619" s="2">
        <v>4</v>
      </c>
      <c r="AI619" s="5">
        <v>4</v>
      </c>
    </row>
    <row r="620" spans="1:35" x14ac:dyDescent="0.3">
      <c r="A620" s="4" t="str">
        <f>"651201"</f>
        <v>651201</v>
      </c>
      <c r="B620" s="2" t="s">
        <v>616</v>
      </c>
      <c r="C620" s="3">
        <v>28066842</v>
      </c>
      <c r="D620" s="3">
        <v>28767811</v>
      </c>
      <c r="E620" s="2">
        <v>2.5</v>
      </c>
      <c r="F620" s="3">
        <v>9060314</v>
      </c>
      <c r="G620" s="3">
        <v>9104710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9060314</v>
      </c>
      <c r="O620" s="3">
        <v>9104710</v>
      </c>
      <c r="P620" s="2">
        <v>0.49</v>
      </c>
      <c r="Q620" s="3">
        <v>0</v>
      </c>
      <c r="R620" s="3">
        <v>0</v>
      </c>
      <c r="S620" s="3">
        <v>9376437</v>
      </c>
      <c r="T620" s="3">
        <v>9382449</v>
      </c>
      <c r="U620" s="3">
        <v>9060314</v>
      </c>
      <c r="V620" s="3">
        <v>9104710</v>
      </c>
      <c r="W620" s="3">
        <v>316123</v>
      </c>
      <c r="X620" s="3">
        <v>277739</v>
      </c>
      <c r="Y620" s="2">
        <v>1053</v>
      </c>
      <c r="Z620" s="2">
        <v>1053</v>
      </c>
      <c r="AA620" s="2">
        <v>0</v>
      </c>
      <c r="AB620" s="3">
        <v>5227525</v>
      </c>
      <c r="AC620" s="3">
        <v>4750000</v>
      </c>
      <c r="AD620" s="3">
        <v>639603</v>
      </c>
      <c r="AE620" s="3">
        <v>750000</v>
      </c>
      <c r="AF620" s="3">
        <v>122674</v>
      </c>
      <c r="AG620" s="3">
        <v>1150712</v>
      </c>
      <c r="AH620" s="2">
        <v>0.44</v>
      </c>
      <c r="AI620" s="5">
        <v>4</v>
      </c>
    </row>
    <row r="621" spans="1:35" x14ac:dyDescent="0.3">
      <c r="A621" s="4" t="str">
        <f>"651402"</f>
        <v>651402</v>
      </c>
      <c r="B621" s="2" t="s">
        <v>617</v>
      </c>
      <c r="C621" s="3">
        <v>24630729</v>
      </c>
      <c r="D621" s="3">
        <v>25285305</v>
      </c>
      <c r="E621" s="2">
        <v>2.66</v>
      </c>
      <c r="F621" s="3">
        <v>10728729</v>
      </c>
      <c r="G621" s="3">
        <v>11072047</v>
      </c>
      <c r="H621" s="3"/>
      <c r="I621" s="3"/>
      <c r="J621" s="3">
        <v>0</v>
      </c>
      <c r="K621" s="3">
        <v>0</v>
      </c>
      <c r="L621" s="3">
        <v>0</v>
      </c>
      <c r="M621" s="3">
        <v>0</v>
      </c>
      <c r="N621" s="3">
        <v>10728729</v>
      </c>
      <c r="O621" s="3">
        <v>11072047</v>
      </c>
      <c r="P621" s="2">
        <v>3.2</v>
      </c>
      <c r="Q621" s="3">
        <v>0</v>
      </c>
      <c r="R621" s="3">
        <v>0</v>
      </c>
      <c r="S621" s="3">
        <v>10728729</v>
      </c>
      <c r="T621" s="3">
        <v>11072047</v>
      </c>
      <c r="U621" s="3">
        <v>10728729</v>
      </c>
      <c r="V621" s="3">
        <v>11072047</v>
      </c>
      <c r="W621" s="3">
        <v>0</v>
      </c>
      <c r="X621" s="3">
        <v>0</v>
      </c>
      <c r="Y621" s="2">
        <v>984</v>
      </c>
      <c r="Z621" s="2">
        <v>970</v>
      </c>
      <c r="AA621" s="2">
        <v>-1.42</v>
      </c>
      <c r="AB621" s="3">
        <v>6815335</v>
      </c>
      <c r="AC621" s="3">
        <v>7574190</v>
      </c>
      <c r="AD621" s="3">
        <v>150000</v>
      </c>
      <c r="AE621" s="3">
        <v>387035</v>
      </c>
      <c r="AF621" s="3">
        <v>966401</v>
      </c>
      <c r="AG621" s="3">
        <v>1010000</v>
      </c>
      <c r="AH621" s="2">
        <v>3.92</v>
      </c>
      <c r="AI621" s="5">
        <v>3.99</v>
      </c>
    </row>
    <row r="622" spans="1:35" x14ac:dyDescent="0.3">
      <c r="A622" s="4" t="str">
        <f>"651501"</f>
        <v>651501</v>
      </c>
      <c r="B622" s="2" t="s">
        <v>618</v>
      </c>
      <c r="C622" s="3">
        <v>31749458</v>
      </c>
      <c r="D622" s="3">
        <v>32243946</v>
      </c>
      <c r="E622" s="2">
        <v>1.56</v>
      </c>
      <c r="F622" s="3">
        <v>9928934</v>
      </c>
      <c r="G622" s="3">
        <v>10117584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9928934</v>
      </c>
      <c r="O622" s="3">
        <v>10117584</v>
      </c>
      <c r="P622" s="2">
        <v>1.9</v>
      </c>
      <c r="Q622" s="3">
        <v>0</v>
      </c>
      <c r="R622" s="3">
        <v>0</v>
      </c>
      <c r="S622" s="3">
        <v>10147055</v>
      </c>
      <c r="T622" s="3">
        <v>10297458</v>
      </c>
      <c r="U622" s="3">
        <v>9928934</v>
      </c>
      <c r="V622" s="3">
        <v>10117584</v>
      </c>
      <c r="W622" s="3">
        <v>218121</v>
      </c>
      <c r="X622" s="3">
        <v>179874</v>
      </c>
      <c r="Y622" s="2">
        <v>1097</v>
      </c>
      <c r="Z622" s="2">
        <v>1070</v>
      </c>
      <c r="AA622" s="2">
        <v>-2.46</v>
      </c>
      <c r="AB622" s="3">
        <v>4152181</v>
      </c>
      <c r="AC622" s="3">
        <v>5506412</v>
      </c>
      <c r="AD622" s="3">
        <v>250000</v>
      </c>
      <c r="AE622" s="3">
        <v>0</v>
      </c>
      <c r="AF622" s="3">
        <v>1269978</v>
      </c>
      <c r="AG622" s="3">
        <v>1289758</v>
      </c>
      <c r="AH622" s="2">
        <v>4</v>
      </c>
      <c r="AI622" s="5">
        <v>4</v>
      </c>
    </row>
    <row r="623" spans="1:35" x14ac:dyDescent="0.3">
      <c r="A623" s="4" t="str">
        <f>"651503"</f>
        <v>651503</v>
      </c>
      <c r="B623" s="2" t="s">
        <v>619</v>
      </c>
      <c r="C623" s="3">
        <v>23098448</v>
      </c>
      <c r="D623" s="3">
        <v>23702538</v>
      </c>
      <c r="E623" s="2">
        <v>2.62</v>
      </c>
      <c r="F623" s="3">
        <v>4583064</v>
      </c>
      <c r="G623" s="3">
        <v>4675861</v>
      </c>
      <c r="H623" s="3"/>
      <c r="I623" s="3"/>
      <c r="J623" s="3"/>
      <c r="K623" s="3"/>
      <c r="L623" s="3"/>
      <c r="M623" s="3"/>
      <c r="N623" s="3">
        <v>4583064</v>
      </c>
      <c r="O623" s="3">
        <v>4675861</v>
      </c>
      <c r="P623" s="2">
        <v>2.02</v>
      </c>
      <c r="Q623" s="3">
        <v>0</v>
      </c>
      <c r="R623" s="3">
        <v>0</v>
      </c>
      <c r="S623" s="3">
        <v>4583064</v>
      </c>
      <c r="T623" s="3">
        <v>4675861</v>
      </c>
      <c r="U623" s="3">
        <v>4583064</v>
      </c>
      <c r="V623" s="3">
        <v>4675861</v>
      </c>
      <c r="W623" s="3">
        <v>0</v>
      </c>
      <c r="X623" s="3">
        <v>0</v>
      </c>
      <c r="Y623" s="2">
        <v>825</v>
      </c>
      <c r="Z623" s="2">
        <v>825</v>
      </c>
      <c r="AA623" s="2">
        <v>0</v>
      </c>
      <c r="AB623" s="3">
        <v>3299551</v>
      </c>
      <c r="AC623" s="3">
        <v>4745383</v>
      </c>
      <c r="AD623" s="3">
        <v>1799933</v>
      </c>
      <c r="AE623" s="3">
        <v>355619</v>
      </c>
      <c r="AF623" s="3">
        <v>923938</v>
      </c>
      <c r="AG623" s="3">
        <v>948102</v>
      </c>
      <c r="AH623" s="2">
        <v>4</v>
      </c>
      <c r="AI623" s="5">
        <v>4</v>
      </c>
    </row>
    <row r="624" spans="1:35" x14ac:dyDescent="0.3">
      <c r="A624" s="4" t="str">
        <f>"660101"</f>
        <v>660101</v>
      </c>
      <c r="B624" s="2" t="s">
        <v>620</v>
      </c>
      <c r="C624" s="3">
        <v>111472680</v>
      </c>
      <c r="D624" s="3">
        <v>113242880</v>
      </c>
      <c r="E624" s="2">
        <v>1.59</v>
      </c>
      <c r="F624" s="3">
        <v>97948497</v>
      </c>
      <c r="G624" s="3">
        <v>99700394</v>
      </c>
      <c r="H624" s="3"/>
      <c r="I624" s="3"/>
      <c r="J624" s="3"/>
      <c r="K624" s="3"/>
      <c r="L624" s="3"/>
      <c r="M624" s="3"/>
      <c r="N624" s="3">
        <v>97948497</v>
      </c>
      <c r="O624" s="3">
        <v>99700394</v>
      </c>
      <c r="P624" s="2">
        <v>1.79</v>
      </c>
      <c r="Q624" s="3">
        <v>1967747</v>
      </c>
      <c r="R624" s="3">
        <v>1966535</v>
      </c>
      <c r="S624" s="3">
        <v>98076535</v>
      </c>
      <c r="T624" s="3">
        <v>98360207</v>
      </c>
      <c r="U624" s="3">
        <v>95980750</v>
      </c>
      <c r="V624" s="3">
        <v>97733859</v>
      </c>
      <c r="W624" s="3">
        <v>2095785</v>
      </c>
      <c r="X624" s="3">
        <v>626348</v>
      </c>
      <c r="Y624" s="2">
        <v>2899</v>
      </c>
      <c r="Z624" s="2">
        <v>2904</v>
      </c>
      <c r="AA624" s="2">
        <v>0.17</v>
      </c>
      <c r="AB624" s="3">
        <v>11377913</v>
      </c>
      <c r="AC624" s="3">
        <v>12369122</v>
      </c>
      <c r="AD624" s="3">
        <v>5135919</v>
      </c>
      <c r="AE624" s="3">
        <v>4700000</v>
      </c>
      <c r="AF624" s="3">
        <v>5159967</v>
      </c>
      <c r="AG624" s="3">
        <v>4529715</v>
      </c>
      <c r="AH624" s="2">
        <v>4.63</v>
      </c>
      <c r="AI624" s="5">
        <v>4</v>
      </c>
    </row>
    <row r="625" spans="1:35" x14ac:dyDescent="0.3">
      <c r="A625" s="4" t="str">
        <f>"660102"</f>
        <v>660102</v>
      </c>
      <c r="B625" s="2" t="s">
        <v>621</v>
      </c>
      <c r="C625" s="3">
        <v>139737083</v>
      </c>
      <c r="D625" s="3">
        <v>144465256</v>
      </c>
      <c r="E625" s="2">
        <v>3.38</v>
      </c>
      <c r="F625" s="3">
        <v>128041992</v>
      </c>
      <c r="G625" s="3">
        <v>130922937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128041992</v>
      </c>
      <c r="O625" s="3">
        <v>130922937</v>
      </c>
      <c r="P625" s="2">
        <v>2.25</v>
      </c>
      <c r="Q625" s="3">
        <v>8435178</v>
      </c>
      <c r="R625" s="3">
        <v>9105822</v>
      </c>
      <c r="S625" s="3">
        <v>120156859</v>
      </c>
      <c r="T625" s="3">
        <v>122231568</v>
      </c>
      <c r="U625" s="3">
        <v>119606814</v>
      </c>
      <c r="V625" s="3">
        <v>121817115</v>
      </c>
      <c r="W625" s="3">
        <v>550045</v>
      </c>
      <c r="X625" s="3">
        <v>414453</v>
      </c>
      <c r="Y625" s="2">
        <v>3775</v>
      </c>
      <c r="Z625" s="2">
        <v>3724</v>
      </c>
      <c r="AA625" s="2">
        <v>-1.35</v>
      </c>
      <c r="AB625" s="3">
        <v>7729890</v>
      </c>
      <c r="AC625" s="3">
        <v>13177614</v>
      </c>
      <c r="AD625" s="3">
        <v>1373148</v>
      </c>
      <c r="AE625" s="3">
        <v>2999974</v>
      </c>
      <c r="AF625" s="3">
        <v>8592792</v>
      </c>
      <c r="AG625" s="3">
        <v>5778610</v>
      </c>
      <c r="AH625" s="2">
        <v>6.15</v>
      </c>
      <c r="AI625" s="5">
        <v>4</v>
      </c>
    </row>
    <row r="626" spans="1:35" x14ac:dyDescent="0.3">
      <c r="A626" s="4" t="str">
        <f>"660202"</f>
        <v>660202</v>
      </c>
      <c r="B626" s="2" t="s">
        <v>622</v>
      </c>
      <c r="C626" s="3">
        <v>49424525</v>
      </c>
      <c r="D626" s="3">
        <v>50775098</v>
      </c>
      <c r="E626" s="2">
        <v>2.73</v>
      </c>
      <c r="F626" s="3">
        <v>40844252</v>
      </c>
      <c r="G626" s="3">
        <v>41427807</v>
      </c>
      <c r="H626" s="3"/>
      <c r="I626" s="3"/>
      <c r="J626" s="3"/>
      <c r="K626" s="3"/>
      <c r="L626" s="3"/>
      <c r="M626" s="3"/>
      <c r="N626" s="3">
        <v>40844252</v>
      </c>
      <c r="O626" s="3">
        <v>41427807</v>
      </c>
      <c r="P626" s="2">
        <v>1.43</v>
      </c>
      <c r="Q626" s="3">
        <v>2703919</v>
      </c>
      <c r="R626" s="3">
        <v>2727385</v>
      </c>
      <c r="S626" s="3">
        <v>38640333</v>
      </c>
      <c r="T626" s="3">
        <v>38700422</v>
      </c>
      <c r="U626" s="3">
        <v>38140333</v>
      </c>
      <c r="V626" s="3">
        <v>38700422</v>
      </c>
      <c r="W626" s="3">
        <v>500000</v>
      </c>
      <c r="X626" s="3">
        <v>0</v>
      </c>
      <c r="Y626" s="2">
        <v>1582</v>
      </c>
      <c r="Z626" s="2">
        <v>1513</v>
      </c>
      <c r="AA626" s="2">
        <v>-4.3600000000000003</v>
      </c>
      <c r="AB626" s="3">
        <v>16246094</v>
      </c>
      <c r="AC626" s="3">
        <v>16913593</v>
      </c>
      <c r="AD626" s="3">
        <v>1888835</v>
      </c>
      <c r="AE626" s="3">
        <v>2331999</v>
      </c>
      <c r="AF626" s="3">
        <v>1976981</v>
      </c>
      <c r="AG626" s="3">
        <v>2031004</v>
      </c>
      <c r="AH626" s="2">
        <v>4</v>
      </c>
      <c r="AI626" s="5">
        <v>4</v>
      </c>
    </row>
    <row r="627" spans="1:35" x14ac:dyDescent="0.3">
      <c r="A627" s="4" t="str">
        <f>"660203"</f>
        <v>660203</v>
      </c>
      <c r="B627" s="2" t="s">
        <v>623</v>
      </c>
      <c r="C627" s="3">
        <v>82137880</v>
      </c>
      <c r="D627" s="3">
        <v>84300766</v>
      </c>
      <c r="E627" s="2">
        <v>2.63</v>
      </c>
      <c r="F627" s="3">
        <v>46348822</v>
      </c>
      <c r="G627" s="3">
        <v>48434519</v>
      </c>
      <c r="H627" s="3"/>
      <c r="I627" s="3"/>
      <c r="J627" s="3"/>
      <c r="K627" s="3"/>
      <c r="L627" s="3"/>
      <c r="M627" s="3"/>
      <c r="N627" s="3">
        <v>46348822</v>
      </c>
      <c r="O627" s="3">
        <v>48434519</v>
      </c>
      <c r="P627" s="2">
        <v>4.5</v>
      </c>
      <c r="Q627" s="3">
        <v>4250120</v>
      </c>
      <c r="R627" s="3">
        <v>4245582</v>
      </c>
      <c r="S627" s="3">
        <v>43827060</v>
      </c>
      <c r="T627" s="3">
        <v>48839048</v>
      </c>
      <c r="U627" s="3">
        <v>42098702</v>
      </c>
      <c r="V627" s="3">
        <v>44188937</v>
      </c>
      <c r="W627" s="3">
        <v>1728358</v>
      </c>
      <c r="X627" s="3">
        <v>4650111</v>
      </c>
      <c r="Y627" s="2">
        <v>2192</v>
      </c>
      <c r="Z627" s="2">
        <v>2221</v>
      </c>
      <c r="AA627" s="2">
        <v>1.32</v>
      </c>
      <c r="AB627" s="3">
        <v>2221543</v>
      </c>
      <c r="AC627" s="3">
        <v>3409756</v>
      </c>
      <c r="AD627" s="3">
        <v>3134034</v>
      </c>
      <c r="AE627" s="3">
        <v>2224894</v>
      </c>
      <c r="AF627" s="3">
        <v>7564821</v>
      </c>
      <c r="AG627" s="3">
        <v>10765384</v>
      </c>
      <c r="AH627" s="2">
        <v>9.2100000000000009</v>
      </c>
      <c r="AI627" s="5">
        <v>12.77</v>
      </c>
    </row>
    <row r="628" spans="1:35" x14ac:dyDescent="0.3">
      <c r="A628" s="4" t="str">
        <f>"660301"</f>
        <v>660301</v>
      </c>
      <c r="B628" s="2" t="s">
        <v>624</v>
      </c>
      <c r="C628" s="3">
        <v>88835000</v>
      </c>
      <c r="D628" s="3">
        <v>92332000</v>
      </c>
      <c r="E628" s="2">
        <v>3.94</v>
      </c>
      <c r="F628" s="3">
        <v>76380000</v>
      </c>
      <c r="G628" s="3">
        <v>77921000</v>
      </c>
      <c r="H628" s="3"/>
      <c r="I628" s="3"/>
      <c r="J628" s="3"/>
      <c r="K628" s="3"/>
      <c r="L628" s="3"/>
      <c r="M628" s="3"/>
      <c r="N628" s="3">
        <v>76380000</v>
      </c>
      <c r="O628" s="3">
        <v>77921000</v>
      </c>
      <c r="P628" s="2">
        <v>2.02</v>
      </c>
      <c r="Q628" s="3">
        <v>4640247</v>
      </c>
      <c r="R628" s="3">
        <v>4912983</v>
      </c>
      <c r="S628" s="3">
        <v>71739980</v>
      </c>
      <c r="T628" s="3">
        <v>73008749</v>
      </c>
      <c r="U628" s="3">
        <v>71739753</v>
      </c>
      <c r="V628" s="3">
        <v>73008017</v>
      </c>
      <c r="W628" s="3">
        <v>227</v>
      </c>
      <c r="X628" s="3">
        <v>732</v>
      </c>
      <c r="Y628" s="2">
        <v>3240</v>
      </c>
      <c r="Z628" s="2">
        <v>3163</v>
      </c>
      <c r="AA628" s="2">
        <v>-2.38</v>
      </c>
      <c r="AB628" s="3">
        <v>2168754</v>
      </c>
      <c r="AC628" s="3">
        <v>5506053</v>
      </c>
      <c r="AD628" s="3">
        <v>560569</v>
      </c>
      <c r="AE628" s="3">
        <v>800000</v>
      </c>
      <c r="AF628" s="3">
        <v>4963729</v>
      </c>
      <c r="AG628" s="3">
        <v>3693280</v>
      </c>
      <c r="AH628" s="2">
        <v>5.59</v>
      </c>
      <c r="AI628" s="5">
        <v>4</v>
      </c>
    </row>
    <row r="629" spans="1:35" x14ac:dyDescent="0.3">
      <c r="A629" s="4" t="str">
        <f>"660302"</f>
        <v>660302</v>
      </c>
      <c r="B629" s="2" t="s">
        <v>625</v>
      </c>
      <c r="C629" s="3">
        <v>36423200</v>
      </c>
      <c r="D629" s="3">
        <v>36926600</v>
      </c>
      <c r="E629" s="2">
        <v>1.38</v>
      </c>
      <c r="F629" s="3">
        <v>29088000</v>
      </c>
      <c r="G629" s="3">
        <v>29863702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85072</v>
      </c>
      <c r="N629" s="3">
        <v>29088000</v>
      </c>
      <c r="O629" s="3">
        <v>29778630</v>
      </c>
      <c r="P629" s="2">
        <v>2.37</v>
      </c>
      <c r="Q629" s="3">
        <v>822946</v>
      </c>
      <c r="R629" s="3">
        <v>1276208</v>
      </c>
      <c r="S629" s="3">
        <v>28180015</v>
      </c>
      <c r="T629" s="3">
        <v>28602423</v>
      </c>
      <c r="U629" s="3">
        <v>28265054</v>
      </c>
      <c r="V629" s="3">
        <v>28587494</v>
      </c>
      <c r="W629" s="3">
        <v>-85039</v>
      </c>
      <c r="X629" s="3">
        <v>14929</v>
      </c>
      <c r="Y629" s="2">
        <v>1127</v>
      </c>
      <c r="Z629" s="2">
        <v>1148</v>
      </c>
      <c r="AA629" s="2">
        <v>1.86</v>
      </c>
      <c r="AB629" s="3">
        <v>4697103</v>
      </c>
      <c r="AC629" s="3">
        <v>4820418</v>
      </c>
      <c r="AD629" s="3">
        <v>2163186</v>
      </c>
      <c r="AE629" s="3">
        <v>1965423</v>
      </c>
      <c r="AF629" s="3">
        <v>1456928</v>
      </c>
      <c r="AG629" s="3">
        <v>1477064</v>
      </c>
      <c r="AH629" s="2">
        <v>4</v>
      </c>
      <c r="AI629" s="5">
        <v>4</v>
      </c>
    </row>
    <row r="630" spans="1:35" x14ac:dyDescent="0.3">
      <c r="A630" s="4" t="str">
        <f>"660303"</f>
        <v>660303</v>
      </c>
      <c r="B630" s="2" t="s">
        <v>626</v>
      </c>
      <c r="C630" s="3">
        <v>50099483</v>
      </c>
      <c r="D630" s="3">
        <v>50618988</v>
      </c>
      <c r="E630" s="2">
        <v>1.04</v>
      </c>
      <c r="F630" s="3">
        <v>43849483</v>
      </c>
      <c r="G630" s="3">
        <v>44588988</v>
      </c>
      <c r="H630" s="3"/>
      <c r="I630" s="3"/>
      <c r="J630" s="3"/>
      <c r="K630" s="3"/>
      <c r="L630" s="3"/>
      <c r="M630" s="3"/>
      <c r="N630" s="3">
        <v>43849483</v>
      </c>
      <c r="O630" s="3">
        <v>44588988</v>
      </c>
      <c r="P630" s="2">
        <v>1.69</v>
      </c>
      <c r="Q630" s="3">
        <v>0</v>
      </c>
      <c r="R630" s="3">
        <v>0</v>
      </c>
      <c r="S630" s="3">
        <v>44733668</v>
      </c>
      <c r="T630" s="3">
        <v>44600119</v>
      </c>
      <c r="U630" s="3">
        <v>43849483</v>
      </c>
      <c r="V630" s="3">
        <v>44588988</v>
      </c>
      <c r="W630" s="3">
        <v>884185</v>
      </c>
      <c r="X630" s="3">
        <v>11131</v>
      </c>
      <c r="Y630" s="2">
        <v>1622</v>
      </c>
      <c r="Z630" s="2">
        <v>1604</v>
      </c>
      <c r="AA630" s="2">
        <v>-1.1100000000000001</v>
      </c>
      <c r="AB630" s="3">
        <v>5074881</v>
      </c>
      <c r="AC630" s="3">
        <v>5100000</v>
      </c>
      <c r="AD630" s="3">
        <v>1275806</v>
      </c>
      <c r="AE630" s="3">
        <v>800000</v>
      </c>
      <c r="AF630" s="3">
        <v>2003727</v>
      </c>
      <c r="AG630" s="3">
        <v>2003727</v>
      </c>
      <c r="AH630" s="2">
        <v>4</v>
      </c>
      <c r="AI630" s="5">
        <v>3.96</v>
      </c>
    </row>
    <row r="631" spans="1:35" x14ac:dyDescent="0.3">
      <c r="A631" s="4" t="str">
        <f>"660401"</f>
        <v>660401</v>
      </c>
      <c r="B631" s="2" t="s">
        <v>627</v>
      </c>
      <c r="C631" s="3">
        <v>81556266</v>
      </c>
      <c r="D631" s="3">
        <v>83837109</v>
      </c>
      <c r="E631" s="2">
        <v>2.8</v>
      </c>
      <c r="F631" s="3">
        <v>60583346</v>
      </c>
      <c r="G631" s="3">
        <v>61753256</v>
      </c>
      <c r="H631" s="3"/>
      <c r="I631" s="3"/>
      <c r="J631" s="3"/>
      <c r="K631" s="3"/>
      <c r="L631" s="3"/>
      <c r="M631" s="3"/>
      <c r="N631" s="3">
        <v>60583346</v>
      </c>
      <c r="O631" s="3">
        <v>61753256</v>
      </c>
      <c r="P631" s="2">
        <v>1.93</v>
      </c>
      <c r="Q631" s="3">
        <v>2755335</v>
      </c>
      <c r="R631" s="3">
        <v>2732840</v>
      </c>
      <c r="S631" s="3">
        <v>57828011</v>
      </c>
      <c r="T631" s="3">
        <v>59020416</v>
      </c>
      <c r="U631" s="3">
        <v>57828011</v>
      </c>
      <c r="V631" s="3">
        <v>59020416</v>
      </c>
      <c r="W631" s="3">
        <v>0</v>
      </c>
      <c r="X631" s="3">
        <v>0</v>
      </c>
      <c r="Y631" s="2">
        <v>2849</v>
      </c>
      <c r="Z631" s="2">
        <v>2840</v>
      </c>
      <c r="AA631" s="2">
        <v>-0.32</v>
      </c>
      <c r="AB631" s="3">
        <v>4822834</v>
      </c>
      <c r="AC631" s="3">
        <v>3590893</v>
      </c>
      <c r="AD631" s="3">
        <v>4708045</v>
      </c>
      <c r="AE631" s="3">
        <v>3972170</v>
      </c>
      <c r="AF631" s="3">
        <v>1870287</v>
      </c>
      <c r="AG631" s="3">
        <v>3353484</v>
      </c>
      <c r="AH631" s="2">
        <v>2.29</v>
      </c>
      <c r="AI631" s="5">
        <v>4</v>
      </c>
    </row>
    <row r="632" spans="1:35" x14ac:dyDescent="0.3">
      <c r="A632" s="4" t="str">
        <f>"660402"</f>
        <v>660402</v>
      </c>
      <c r="B632" s="2" t="s">
        <v>628</v>
      </c>
      <c r="C632" s="3">
        <v>64556500</v>
      </c>
      <c r="D632" s="3">
        <v>66361700</v>
      </c>
      <c r="E632" s="2">
        <v>2.8</v>
      </c>
      <c r="F632" s="3">
        <v>58528791</v>
      </c>
      <c r="G632" s="3">
        <v>59949970</v>
      </c>
      <c r="H632" s="3"/>
      <c r="I632" s="3"/>
      <c r="J632" s="3"/>
      <c r="K632" s="3"/>
      <c r="L632" s="3"/>
      <c r="M632" s="3"/>
      <c r="N632" s="3">
        <v>58528791</v>
      </c>
      <c r="O632" s="3">
        <v>59949970</v>
      </c>
      <c r="P632" s="2">
        <v>2.4300000000000002</v>
      </c>
      <c r="Q632" s="3">
        <v>2855149</v>
      </c>
      <c r="R632" s="3">
        <v>2892408</v>
      </c>
      <c r="S632" s="3">
        <v>55673642</v>
      </c>
      <c r="T632" s="3">
        <v>57057562</v>
      </c>
      <c r="U632" s="3">
        <v>55673642</v>
      </c>
      <c r="V632" s="3">
        <v>57057562</v>
      </c>
      <c r="W632" s="3">
        <v>0</v>
      </c>
      <c r="X632" s="3">
        <v>0</v>
      </c>
      <c r="Y632" s="2">
        <v>1781</v>
      </c>
      <c r="Z632" s="2">
        <v>1780</v>
      </c>
      <c r="AA632" s="2">
        <v>-0.06</v>
      </c>
      <c r="AB632" s="3">
        <v>3705816</v>
      </c>
      <c r="AC632" s="3">
        <v>3760000</v>
      </c>
      <c r="AD632" s="3">
        <v>785468</v>
      </c>
      <c r="AE632" s="3">
        <v>550000</v>
      </c>
      <c r="AF632" s="3">
        <v>2582259</v>
      </c>
      <c r="AG632" s="3">
        <v>2654468</v>
      </c>
      <c r="AH632" s="2">
        <v>4</v>
      </c>
      <c r="AI632" s="5">
        <v>4</v>
      </c>
    </row>
    <row r="633" spans="1:35" x14ac:dyDescent="0.3">
      <c r="A633" s="4" t="str">
        <f>"660403"</f>
        <v>660403</v>
      </c>
      <c r="B633" s="2" t="s">
        <v>629</v>
      </c>
      <c r="C633" s="3">
        <v>47065725</v>
      </c>
      <c r="D633" s="3">
        <v>49029234</v>
      </c>
      <c r="E633" s="2">
        <v>4.17</v>
      </c>
      <c r="F633" s="3">
        <v>39804331</v>
      </c>
      <c r="G633" s="3">
        <v>40943897</v>
      </c>
      <c r="H633" s="3"/>
      <c r="I633" s="3"/>
      <c r="J633" s="3"/>
      <c r="K633" s="3"/>
      <c r="L633" s="3"/>
      <c r="M633" s="3"/>
      <c r="N633" s="3">
        <v>39804331</v>
      </c>
      <c r="O633" s="3">
        <v>40943897</v>
      </c>
      <c r="P633" s="2">
        <v>2.86</v>
      </c>
      <c r="Q633" s="3">
        <v>1290705</v>
      </c>
      <c r="R633" s="3">
        <v>1565702</v>
      </c>
      <c r="S633" s="3">
        <v>38513626</v>
      </c>
      <c r="T633" s="3">
        <v>39378195</v>
      </c>
      <c r="U633" s="3">
        <v>38513626</v>
      </c>
      <c r="V633" s="3">
        <v>39378195</v>
      </c>
      <c r="W633" s="3">
        <v>0</v>
      </c>
      <c r="X633" s="3">
        <v>0</v>
      </c>
      <c r="Y633" s="2">
        <v>1493</v>
      </c>
      <c r="Z633" s="2">
        <v>1547</v>
      </c>
      <c r="AA633" s="2">
        <v>3.62</v>
      </c>
      <c r="AB633" s="3">
        <v>5321794</v>
      </c>
      <c r="AC633" s="3">
        <v>5237991</v>
      </c>
      <c r="AD633" s="3">
        <v>171240</v>
      </c>
      <c r="AE633" s="3">
        <v>300000</v>
      </c>
      <c r="AF633" s="3">
        <v>2009750</v>
      </c>
      <c r="AG633" s="3">
        <v>1944892</v>
      </c>
      <c r="AH633" s="2">
        <v>4.2699999999999996</v>
      </c>
      <c r="AI633" s="5">
        <v>3.97</v>
      </c>
    </row>
    <row r="634" spans="1:35" x14ac:dyDescent="0.3">
      <c r="A634" s="4" t="str">
        <f>"660404"</f>
        <v>660404</v>
      </c>
      <c r="B634" s="2" t="s">
        <v>630</v>
      </c>
      <c r="C634" s="3">
        <v>51660159</v>
      </c>
      <c r="D634" s="3">
        <v>52823911</v>
      </c>
      <c r="E634" s="2">
        <v>2.25</v>
      </c>
      <c r="F634" s="3">
        <v>43857084</v>
      </c>
      <c r="G634" s="3">
        <v>44555757</v>
      </c>
      <c r="H634" s="3"/>
      <c r="I634" s="3"/>
      <c r="J634" s="3"/>
      <c r="K634" s="3"/>
      <c r="L634" s="3"/>
      <c r="M634" s="3"/>
      <c r="N634" s="3">
        <v>43857084</v>
      </c>
      <c r="O634" s="3">
        <v>44555757</v>
      </c>
      <c r="P634" s="2">
        <v>1.59</v>
      </c>
      <c r="Q634" s="3">
        <v>429726</v>
      </c>
      <c r="R634" s="3">
        <v>430865</v>
      </c>
      <c r="S634" s="3">
        <v>43478816</v>
      </c>
      <c r="T634" s="3">
        <v>44124892</v>
      </c>
      <c r="U634" s="3">
        <v>43427358</v>
      </c>
      <c r="V634" s="3">
        <v>44124892</v>
      </c>
      <c r="W634" s="3">
        <v>51458</v>
      </c>
      <c r="X634" s="3">
        <v>0</v>
      </c>
      <c r="Y634" s="2">
        <v>1588</v>
      </c>
      <c r="Z634" s="2">
        <v>1657</v>
      </c>
      <c r="AA634" s="2">
        <v>4.3499999999999996</v>
      </c>
      <c r="AB634" s="3">
        <v>5376887</v>
      </c>
      <c r="AC634" s="3">
        <v>4490277</v>
      </c>
      <c r="AD634" s="3">
        <v>1450000</v>
      </c>
      <c r="AE634" s="3">
        <v>800000</v>
      </c>
      <c r="AF634" s="3">
        <v>2065000</v>
      </c>
      <c r="AG634" s="3">
        <v>2100000</v>
      </c>
      <c r="AH634" s="2">
        <v>4</v>
      </c>
      <c r="AI634" s="5">
        <v>3.98</v>
      </c>
    </row>
    <row r="635" spans="1:35" x14ac:dyDescent="0.3">
      <c r="A635" s="4" t="str">
        <f>"660405"</f>
        <v>660405</v>
      </c>
      <c r="B635" s="2" t="s">
        <v>631</v>
      </c>
      <c r="C635" s="3">
        <v>72970234</v>
      </c>
      <c r="D635" s="3">
        <v>74680461</v>
      </c>
      <c r="E635" s="2">
        <v>2.34</v>
      </c>
      <c r="F635" s="3">
        <v>58350000</v>
      </c>
      <c r="G635" s="3">
        <v>60000000</v>
      </c>
      <c r="H635" s="3"/>
      <c r="I635" s="3"/>
      <c r="J635" s="3"/>
      <c r="K635" s="3"/>
      <c r="L635" s="3"/>
      <c r="M635" s="3"/>
      <c r="N635" s="3">
        <v>58350000</v>
      </c>
      <c r="O635" s="3">
        <v>60000000</v>
      </c>
      <c r="P635" s="2">
        <v>2.83</v>
      </c>
      <c r="Q635" s="3">
        <v>2773727</v>
      </c>
      <c r="R635" s="3">
        <v>2900435</v>
      </c>
      <c r="S635" s="3">
        <v>56486378</v>
      </c>
      <c r="T635" s="3">
        <v>57376188</v>
      </c>
      <c r="U635" s="3">
        <v>55576273</v>
      </c>
      <c r="V635" s="3">
        <v>57099565</v>
      </c>
      <c r="W635" s="3">
        <v>910105</v>
      </c>
      <c r="X635" s="3">
        <v>276623</v>
      </c>
      <c r="Y635" s="2">
        <v>2353</v>
      </c>
      <c r="Z635" s="2">
        <v>2328</v>
      </c>
      <c r="AA635" s="2">
        <v>-1.06</v>
      </c>
      <c r="AB635" s="3">
        <v>12339084</v>
      </c>
      <c r="AC635" s="3">
        <v>13136367</v>
      </c>
      <c r="AD635" s="3">
        <v>5312999</v>
      </c>
      <c r="AE635" s="3">
        <v>2991303</v>
      </c>
      <c r="AF635" s="3">
        <v>2918809</v>
      </c>
      <c r="AG635" s="3">
        <v>2987218</v>
      </c>
      <c r="AH635" s="2">
        <v>4</v>
      </c>
      <c r="AI635" s="5">
        <v>4</v>
      </c>
    </row>
    <row r="636" spans="1:35" x14ac:dyDescent="0.3">
      <c r="A636" s="4" t="str">
        <f>"660406"</f>
        <v>660406</v>
      </c>
      <c r="B636" s="2" t="s">
        <v>632</v>
      </c>
      <c r="C636" s="3">
        <v>63677081</v>
      </c>
      <c r="D636" s="3">
        <v>65251389</v>
      </c>
      <c r="E636" s="2">
        <v>2.4700000000000002</v>
      </c>
      <c r="F636" s="3">
        <v>54978292</v>
      </c>
      <c r="G636" s="3">
        <v>55984120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54978292</v>
      </c>
      <c r="O636" s="3">
        <v>55984120</v>
      </c>
      <c r="P636" s="2">
        <v>1.83</v>
      </c>
      <c r="Q636" s="3">
        <v>2109967</v>
      </c>
      <c r="R636" s="3">
        <v>2170546</v>
      </c>
      <c r="S636" s="3">
        <v>52868325</v>
      </c>
      <c r="T636" s="3">
        <v>53813574</v>
      </c>
      <c r="U636" s="3">
        <v>52868325</v>
      </c>
      <c r="V636" s="3">
        <v>53813574</v>
      </c>
      <c r="W636" s="3">
        <v>0</v>
      </c>
      <c r="X636" s="3">
        <v>0</v>
      </c>
      <c r="Y636" s="2">
        <v>2032</v>
      </c>
      <c r="Z636" s="2">
        <v>2031</v>
      </c>
      <c r="AA636" s="2">
        <v>-0.05</v>
      </c>
      <c r="AB636" s="3">
        <v>8552631</v>
      </c>
      <c r="AC636" s="3">
        <v>8027727</v>
      </c>
      <c r="AD636" s="3">
        <v>3054562</v>
      </c>
      <c r="AE636" s="3">
        <v>1970000</v>
      </c>
      <c r="AF636" s="3">
        <v>2539036</v>
      </c>
      <c r="AG636" s="3">
        <v>2610056</v>
      </c>
      <c r="AH636" s="2">
        <v>3.99</v>
      </c>
      <c r="AI636" s="5">
        <v>4</v>
      </c>
    </row>
    <row r="637" spans="1:35" x14ac:dyDescent="0.3">
      <c r="A637" s="4" t="str">
        <f>"660407"</f>
        <v>660407</v>
      </c>
      <c r="B637" s="2" t="s">
        <v>633</v>
      </c>
      <c r="C637" s="3">
        <v>71159739</v>
      </c>
      <c r="D637" s="3">
        <v>77459519</v>
      </c>
      <c r="E637" s="2">
        <v>8.85</v>
      </c>
      <c r="F637" s="3">
        <v>61689027</v>
      </c>
      <c r="G637" s="3">
        <v>62453090</v>
      </c>
      <c r="H637" s="3"/>
      <c r="I637" s="3"/>
      <c r="J637" s="3"/>
      <c r="K637" s="3"/>
      <c r="L637" s="3"/>
      <c r="M637" s="3"/>
      <c r="N637" s="3">
        <v>61689027</v>
      </c>
      <c r="O637" s="3">
        <v>62453090</v>
      </c>
      <c r="P637" s="2">
        <v>1.24</v>
      </c>
      <c r="Q637" s="3">
        <v>405652</v>
      </c>
      <c r="R637" s="3">
        <v>37825</v>
      </c>
      <c r="S637" s="3">
        <v>63013986</v>
      </c>
      <c r="T637" s="3">
        <v>63526061</v>
      </c>
      <c r="U637" s="3">
        <v>61283375</v>
      </c>
      <c r="V637" s="3">
        <v>62415265</v>
      </c>
      <c r="W637" s="3">
        <v>1730611</v>
      </c>
      <c r="X637" s="3">
        <v>1110796</v>
      </c>
      <c r="Y637" s="2">
        <v>1724</v>
      </c>
      <c r="Z637" s="2">
        <v>1637</v>
      </c>
      <c r="AA637" s="2">
        <v>-5.05</v>
      </c>
      <c r="AB637" s="3">
        <v>13997453</v>
      </c>
      <c r="AC637" s="3">
        <v>15831075</v>
      </c>
      <c r="AD637" s="3">
        <v>2000000</v>
      </c>
      <c r="AE637" s="3">
        <v>2000000</v>
      </c>
      <c r="AF637" s="3">
        <v>2810984</v>
      </c>
      <c r="AG637" s="3">
        <v>2920007</v>
      </c>
      <c r="AH637" s="2">
        <v>3.95</v>
      </c>
      <c r="AI637" s="5">
        <v>3.77</v>
      </c>
    </row>
    <row r="638" spans="1:35" x14ac:dyDescent="0.3">
      <c r="A638" s="4" t="str">
        <f>"660409"</f>
        <v>660409</v>
      </c>
      <c r="B638" s="2" t="s">
        <v>634</v>
      </c>
      <c r="C638" s="3">
        <v>37085845</v>
      </c>
      <c r="D638" s="3">
        <v>38211938</v>
      </c>
      <c r="E638" s="2">
        <v>3.04</v>
      </c>
      <c r="F638" s="3">
        <v>32519191</v>
      </c>
      <c r="G638" s="3">
        <v>33285860</v>
      </c>
      <c r="H638" s="3"/>
      <c r="I638" s="3"/>
      <c r="J638" s="3"/>
      <c r="K638" s="3"/>
      <c r="L638" s="3"/>
      <c r="M638" s="3"/>
      <c r="N638" s="3">
        <v>32519191</v>
      </c>
      <c r="O638" s="3">
        <v>33285860</v>
      </c>
      <c r="P638" s="2">
        <v>2.36</v>
      </c>
      <c r="Q638" s="3">
        <v>343040</v>
      </c>
      <c r="R638" s="3">
        <v>549247</v>
      </c>
      <c r="S638" s="3">
        <v>32629547</v>
      </c>
      <c r="T638" s="3">
        <v>32940612</v>
      </c>
      <c r="U638" s="3">
        <v>32176151</v>
      </c>
      <c r="V638" s="3">
        <v>32736613</v>
      </c>
      <c r="W638" s="3">
        <v>453396</v>
      </c>
      <c r="X638" s="3">
        <v>203999</v>
      </c>
      <c r="Y638" s="2">
        <v>1073</v>
      </c>
      <c r="Z638" s="2">
        <v>1038</v>
      </c>
      <c r="AA638" s="2">
        <v>-3.26</v>
      </c>
      <c r="AB638" s="3">
        <v>23912410</v>
      </c>
      <c r="AC638" s="3">
        <v>28905153</v>
      </c>
      <c r="AD638" s="3">
        <v>500000</v>
      </c>
      <c r="AE638" s="3">
        <v>654548</v>
      </c>
      <c r="AF638" s="3">
        <v>1483430</v>
      </c>
      <c r="AG638" s="3">
        <v>1520478</v>
      </c>
      <c r="AH638" s="2">
        <v>4</v>
      </c>
      <c r="AI638" s="5">
        <v>3.98</v>
      </c>
    </row>
    <row r="639" spans="1:35" x14ac:dyDescent="0.3">
      <c r="A639" s="4" t="str">
        <f>"660501"</f>
        <v>660501</v>
      </c>
      <c r="B639" s="2" t="s">
        <v>635</v>
      </c>
      <c r="C639" s="3">
        <v>123428299</v>
      </c>
      <c r="D639" s="3">
        <v>125558025</v>
      </c>
      <c r="E639" s="2">
        <v>1.73</v>
      </c>
      <c r="F639" s="3">
        <v>110990190</v>
      </c>
      <c r="G639" s="3">
        <v>113090944</v>
      </c>
      <c r="H639" s="3"/>
      <c r="I639" s="3"/>
      <c r="J639" s="3"/>
      <c r="K639" s="3"/>
      <c r="L639" s="3"/>
      <c r="M639" s="3"/>
      <c r="N639" s="3">
        <v>110990190</v>
      </c>
      <c r="O639" s="3">
        <v>113090944</v>
      </c>
      <c r="P639" s="2">
        <v>1.89</v>
      </c>
      <c r="Q639" s="3">
        <v>3771689</v>
      </c>
      <c r="R639" s="3">
        <v>3888791</v>
      </c>
      <c r="S639" s="3">
        <v>107237601</v>
      </c>
      <c r="T639" s="3">
        <v>109202153</v>
      </c>
      <c r="U639" s="3">
        <v>107218501</v>
      </c>
      <c r="V639" s="3">
        <v>109202153</v>
      </c>
      <c r="W639" s="3">
        <v>19100</v>
      </c>
      <c r="X639" s="3">
        <v>0</v>
      </c>
      <c r="Y639" s="2">
        <v>3741</v>
      </c>
      <c r="Z639" s="2">
        <v>3595</v>
      </c>
      <c r="AA639" s="2">
        <v>-3.9</v>
      </c>
      <c r="AB639" s="3">
        <v>20916721</v>
      </c>
      <c r="AC639" s="3">
        <v>22058548</v>
      </c>
      <c r="AD639" s="3">
        <v>5521080</v>
      </c>
      <c r="AE639" s="3">
        <v>5354848</v>
      </c>
      <c r="AF639" s="3">
        <v>4937131</v>
      </c>
      <c r="AG639" s="3">
        <v>5022339</v>
      </c>
      <c r="AH639" s="2">
        <v>4</v>
      </c>
      <c r="AI639" s="5">
        <v>4</v>
      </c>
    </row>
    <row r="640" spans="1:35" x14ac:dyDescent="0.3">
      <c r="A640" s="4" t="str">
        <f>"660701"</f>
        <v>660701</v>
      </c>
      <c r="B640" s="2" t="s">
        <v>636</v>
      </c>
      <c r="C640" s="3">
        <v>142609792</v>
      </c>
      <c r="D640" s="3">
        <v>144941319</v>
      </c>
      <c r="E640" s="2">
        <v>1.63</v>
      </c>
      <c r="F640" s="3">
        <v>128749080</v>
      </c>
      <c r="G640" s="3">
        <v>131311044</v>
      </c>
      <c r="H640" s="3"/>
      <c r="I640" s="3"/>
      <c r="J640" s="3"/>
      <c r="K640" s="3"/>
      <c r="L640" s="3"/>
      <c r="M640" s="3"/>
      <c r="N640" s="3">
        <v>128749080</v>
      </c>
      <c r="O640" s="3">
        <v>131311044</v>
      </c>
      <c r="P640" s="2">
        <v>1.99</v>
      </c>
      <c r="Q640" s="3">
        <v>4810609</v>
      </c>
      <c r="R640" s="3">
        <v>4768769</v>
      </c>
      <c r="S640" s="3">
        <v>123938471</v>
      </c>
      <c r="T640" s="3">
        <v>125527492</v>
      </c>
      <c r="U640" s="3">
        <v>123938471</v>
      </c>
      <c r="V640" s="3">
        <v>126542275</v>
      </c>
      <c r="W640" s="3">
        <v>0</v>
      </c>
      <c r="X640" s="3">
        <v>-1014783</v>
      </c>
      <c r="Y640" s="2">
        <v>5408</v>
      </c>
      <c r="Z640" s="2">
        <v>5418</v>
      </c>
      <c r="AA640" s="2">
        <v>0.18</v>
      </c>
      <c r="AB640" s="3">
        <v>9194121</v>
      </c>
      <c r="AC640" s="3">
        <v>9851969</v>
      </c>
      <c r="AD640" s="3">
        <v>2065110</v>
      </c>
      <c r="AE640" s="3">
        <v>1000000</v>
      </c>
      <c r="AF640" s="3">
        <v>5548135</v>
      </c>
      <c r="AG640" s="3">
        <v>5792454</v>
      </c>
      <c r="AH640" s="2">
        <v>3.89</v>
      </c>
      <c r="AI640" s="5">
        <v>4</v>
      </c>
    </row>
    <row r="641" spans="1:35" x14ac:dyDescent="0.3">
      <c r="A641" s="4" t="str">
        <f>"660801"</f>
        <v>660801</v>
      </c>
      <c r="B641" s="2" t="s">
        <v>637</v>
      </c>
      <c r="C641" s="3">
        <v>65459575</v>
      </c>
      <c r="D641" s="3">
        <v>67161000</v>
      </c>
      <c r="E641" s="2">
        <v>2.6</v>
      </c>
      <c r="F641" s="3">
        <v>57236600</v>
      </c>
      <c r="G641" s="3">
        <v>58287140</v>
      </c>
      <c r="H641" s="3"/>
      <c r="I641" s="3"/>
      <c r="J641" s="3"/>
      <c r="K641" s="3"/>
      <c r="L641" s="3"/>
      <c r="M641" s="3"/>
      <c r="N641" s="3">
        <v>57236600</v>
      </c>
      <c r="O641" s="3">
        <v>58287140</v>
      </c>
      <c r="P641" s="2">
        <v>1.84</v>
      </c>
      <c r="Q641" s="3">
        <v>5483556</v>
      </c>
      <c r="R641" s="3">
        <v>5496673</v>
      </c>
      <c r="S641" s="3">
        <v>51753057</v>
      </c>
      <c r="T641" s="3">
        <v>52916915</v>
      </c>
      <c r="U641" s="3">
        <v>51753044</v>
      </c>
      <c r="V641" s="3">
        <v>52790467</v>
      </c>
      <c r="W641" s="3">
        <v>13</v>
      </c>
      <c r="X641" s="3">
        <v>126448</v>
      </c>
      <c r="Y641" s="2">
        <v>1901</v>
      </c>
      <c r="Z641" s="2">
        <v>1908</v>
      </c>
      <c r="AA641" s="2">
        <v>0.37</v>
      </c>
      <c r="AB641" s="3">
        <v>9210677</v>
      </c>
      <c r="AC641" s="3">
        <v>9722803</v>
      </c>
      <c r="AD641" s="3">
        <v>625000</v>
      </c>
      <c r="AE641" s="3">
        <v>450000</v>
      </c>
      <c r="AF641" s="3">
        <v>2605161</v>
      </c>
      <c r="AG641" s="3">
        <v>2686440</v>
      </c>
      <c r="AH641" s="2">
        <v>3.98</v>
      </c>
      <c r="AI641" s="5">
        <v>4</v>
      </c>
    </row>
    <row r="642" spans="1:35" x14ac:dyDescent="0.3">
      <c r="A642" s="4" t="str">
        <f>"660802"</f>
        <v>660802</v>
      </c>
      <c r="B642" s="2" t="s">
        <v>638</v>
      </c>
      <c r="C642" s="3">
        <v>31121632</v>
      </c>
      <c r="D642" s="3">
        <v>30274775</v>
      </c>
      <c r="E642" s="2">
        <v>-2.72</v>
      </c>
      <c r="F642" s="3">
        <v>25467407</v>
      </c>
      <c r="G642" s="3">
        <v>25560054</v>
      </c>
      <c r="H642" s="3"/>
      <c r="I642" s="3"/>
      <c r="J642" s="3"/>
      <c r="K642" s="3"/>
      <c r="L642" s="3"/>
      <c r="M642" s="3"/>
      <c r="N642" s="3">
        <v>25467407</v>
      </c>
      <c r="O642" s="3">
        <v>25560054</v>
      </c>
      <c r="P642" s="2">
        <v>0.36</v>
      </c>
      <c r="Q642" s="3">
        <v>1086362</v>
      </c>
      <c r="R642" s="3">
        <v>928871</v>
      </c>
      <c r="S642" s="3">
        <v>24526824</v>
      </c>
      <c r="T642" s="3">
        <v>24631183</v>
      </c>
      <c r="U642" s="3">
        <v>24381045</v>
      </c>
      <c r="V642" s="3">
        <v>24631183</v>
      </c>
      <c r="W642" s="3">
        <v>145779</v>
      </c>
      <c r="X642" s="3">
        <v>0</v>
      </c>
      <c r="Y642" s="2">
        <v>486</v>
      </c>
      <c r="Z642" s="2">
        <v>484</v>
      </c>
      <c r="AA642" s="2">
        <v>-0.41</v>
      </c>
      <c r="AB642" s="3">
        <v>21020817</v>
      </c>
      <c r="AC642" s="3">
        <v>24865816</v>
      </c>
      <c r="AD642" s="3">
        <v>0</v>
      </c>
      <c r="AE642" s="3">
        <v>0</v>
      </c>
      <c r="AF642" s="3">
        <v>3407710</v>
      </c>
      <c r="AG642" s="3">
        <v>1210000</v>
      </c>
      <c r="AH642" s="2">
        <v>10.95</v>
      </c>
      <c r="AI642" s="5">
        <v>4</v>
      </c>
    </row>
    <row r="643" spans="1:35" x14ac:dyDescent="0.3">
      <c r="A643" s="4" t="str">
        <f>"660805"</f>
        <v>660805</v>
      </c>
      <c r="B643" s="2" t="s">
        <v>639</v>
      </c>
      <c r="C643" s="3">
        <v>55590597</v>
      </c>
      <c r="D643" s="3">
        <v>55326945</v>
      </c>
      <c r="E643" s="2">
        <v>-0.47</v>
      </c>
      <c r="F643" s="3">
        <v>44421540</v>
      </c>
      <c r="G643" s="3">
        <v>44956027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44421540</v>
      </c>
      <c r="O643" s="3">
        <v>44956027</v>
      </c>
      <c r="P643" s="2">
        <v>1.2</v>
      </c>
      <c r="Q643" s="3">
        <v>2338552</v>
      </c>
      <c r="R643" s="3">
        <v>1950715</v>
      </c>
      <c r="S643" s="3">
        <v>42082988</v>
      </c>
      <c r="T643" s="3">
        <v>43180365</v>
      </c>
      <c r="U643" s="3">
        <v>42082988</v>
      </c>
      <c r="V643" s="3">
        <v>43005312</v>
      </c>
      <c r="W643" s="3">
        <v>0</v>
      </c>
      <c r="X643" s="3">
        <v>175053</v>
      </c>
      <c r="Y643" s="2">
        <v>1396</v>
      </c>
      <c r="Z643" s="2">
        <v>1405</v>
      </c>
      <c r="AA643" s="2">
        <v>0.64</v>
      </c>
      <c r="AB643" s="3">
        <v>6544397</v>
      </c>
      <c r="AC643" s="3">
        <v>6609841</v>
      </c>
      <c r="AD643" s="3">
        <v>650000</v>
      </c>
      <c r="AE643" s="3">
        <v>650000</v>
      </c>
      <c r="AF643" s="3">
        <v>2223624</v>
      </c>
      <c r="AG643" s="3">
        <v>2213078</v>
      </c>
      <c r="AH643" s="2">
        <v>4</v>
      </c>
      <c r="AI643" s="5">
        <v>4</v>
      </c>
    </row>
    <row r="644" spans="1:35" x14ac:dyDescent="0.3">
      <c r="A644" s="4" t="str">
        <f>"660809"</f>
        <v>660809</v>
      </c>
      <c r="B644" s="2" t="s">
        <v>640</v>
      </c>
      <c r="C644" s="3">
        <v>52752591</v>
      </c>
      <c r="D644" s="3">
        <v>53834774</v>
      </c>
      <c r="E644" s="2">
        <v>2.0499999999999998</v>
      </c>
      <c r="F644" s="3">
        <v>38352425</v>
      </c>
      <c r="G644" s="3">
        <v>38579724</v>
      </c>
      <c r="H644" s="3"/>
      <c r="I644" s="3"/>
      <c r="J644" s="3"/>
      <c r="K644" s="3"/>
      <c r="L644" s="3"/>
      <c r="M644" s="3"/>
      <c r="N644" s="3">
        <v>38352425</v>
      </c>
      <c r="O644" s="3">
        <v>38579724</v>
      </c>
      <c r="P644" s="2">
        <v>0.59</v>
      </c>
      <c r="Q644" s="3">
        <v>1840091</v>
      </c>
      <c r="R644" s="3">
        <v>1878361</v>
      </c>
      <c r="S644" s="3">
        <v>37655765</v>
      </c>
      <c r="T644" s="3">
        <v>37326265</v>
      </c>
      <c r="U644" s="3">
        <v>36512334</v>
      </c>
      <c r="V644" s="3">
        <v>36701363</v>
      </c>
      <c r="W644" s="3">
        <v>1143431</v>
      </c>
      <c r="X644" s="3">
        <v>624902</v>
      </c>
      <c r="Y644" s="2">
        <v>1639</v>
      </c>
      <c r="Z644" s="2">
        <v>1631</v>
      </c>
      <c r="AA644" s="2">
        <v>-0.49</v>
      </c>
      <c r="AB644" s="3">
        <v>4899262</v>
      </c>
      <c r="AC644" s="3">
        <v>5536487</v>
      </c>
      <c r="AD644" s="3">
        <v>912622</v>
      </c>
      <c r="AE644" s="3">
        <v>1111000</v>
      </c>
      <c r="AF644" s="3">
        <v>3010875</v>
      </c>
      <c r="AG644" s="3">
        <v>3156202</v>
      </c>
      <c r="AH644" s="2">
        <v>5.71</v>
      </c>
      <c r="AI644" s="5">
        <v>5.86</v>
      </c>
    </row>
    <row r="645" spans="1:35" x14ac:dyDescent="0.3">
      <c r="A645" s="4" t="str">
        <f>"660900"</f>
        <v>660900</v>
      </c>
      <c r="B645" s="2" t="s">
        <v>641</v>
      </c>
      <c r="C645" s="3">
        <v>259601834</v>
      </c>
      <c r="D645" s="3">
        <v>259601834</v>
      </c>
      <c r="E645" s="2">
        <v>0</v>
      </c>
      <c r="F645" s="3">
        <v>135270763</v>
      </c>
      <c r="G645" s="3">
        <v>135947117</v>
      </c>
      <c r="H645" s="3"/>
      <c r="I645" s="3"/>
      <c r="J645" s="3"/>
      <c r="K645" s="3"/>
      <c r="L645" s="3"/>
      <c r="M645" s="3"/>
      <c r="N645" s="3">
        <v>135270763</v>
      </c>
      <c r="O645" s="3">
        <v>135947117</v>
      </c>
      <c r="P645" s="2">
        <v>0.5</v>
      </c>
      <c r="Q645" s="3">
        <v>6369974</v>
      </c>
      <c r="R645" s="3">
        <v>8166683</v>
      </c>
      <c r="S645" s="3">
        <v>130476515</v>
      </c>
      <c r="T645" s="3">
        <v>130447954</v>
      </c>
      <c r="U645" s="3">
        <v>128900789</v>
      </c>
      <c r="V645" s="3">
        <v>127780434</v>
      </c>
      <c r="W645" s="3">
        <v>1575726</v>
      </c>
      <c r="X645" s="3">
        <v>2667520</v>
      </c>
      <c r="Y645" s="2">
        <v>7850</v>
      </c>
      <c r="Z645" s="2">
        <v>7400</v>
      </c>
      <c r="AA645" s="2">
        <v>-5.73</v>
      </c>
      <c r="AB645" s="3">
        <v>8620283</v>
      </c>
      <c r="AC645" s="3">
        <v>6902677</v>
      </c>
      <c r="AD645" s="3">
        <v>11550869</v>
      </c>
      <c r="AE645" s="3">
        <v>4775226</v>
      </c>
      <c r="AF645" s="3">
        <v>5488939</v>
      </c>
      <c r="AG645" s="3">
        <v>2431319</v>
      </c>
      <c r="AH645" s="2">
        <v>2.11</v>
      </c>
      <c r="AI645" s="5">
        <v>0.94</v>
      </c>
    </row>
    <row r="646" spans="1:35" x14ac:dyDescent="0.3">
      <c r="A646" s="4" t="str">
        <f>"661004"</f>
        <v>661004</v>
      </c>
      <c r="B646" s="2" t="s">
        <v>642</v>
      </c>
      <c r="C646" s="3">
        <v>128237168</v>
      </c>
      <c r="D646" s="3">
        <v>130460188</v>
      </c>
      <c r="E646" s="2">
        <v>1.73</v>
      </c>
      <c r="F646" s="3">
        <v>111663231</v>
      </c>
      <c r="G646" s="3">
        <v>113934076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111663231</v>
      </c>
      <c r="O646" s="3">
        <v>113934076</v>
      </c>
      <c r="P646" s="2">
        <v>2.0299999999999998</v>
      </c>
      <c r="Q646" s="3">
        <v>5504836</v>
      </c>
      <c r="R646" s="3">
        <v>5769105</v>
      </c>
      <c r="S646" s="3">
        <v>107840136</v>
      </c>
      <c r="T646" s="3">
        <v>108164971</v>
      </c>
      <c r="U646" s="3">
        <v>106158395</v>
      </c>
      <c r="V646" s="3">
        <v>108164971</v>
      </c>
      <c r="W646" s="3">
        <v>1681741</v>
      </c>
      <c r="X646" s="3">
        <v>0</v>
      </c>
      <c r="Y646" s="2">
        <v>3556</v>
      </c>
      <c r="Z646" s="2">
        <v>3556</v>
      </c>
      <c r="AA646" s="2">
        <v>0</v>
      </c>
      <c r="AB646" s="3">
        <v>11404594</v>
      </c>
      <c r="AC646" s="3">
        <v>11395000</v>
      </c>
      <c r="AD646" s="3">
        <v>5870595</v>
      </c>
      <c r="AE646" s="3">
        <v>6150000</v>
      </c>
      <c r="AF646" s="3">
        <v>5636662</v>
      </c>
      <c r="AG646" s="3">
        <v>5205360</v>
      </c>
      <c r="AH646" s="2">
        <v>4.4000000000000004</v>
      </c>
      <c r="AI646" s="5">
        <v>3.99</v>
      </c>
    </row>
    <row r="647" spans="1:35" x14ac:dyDescent="0.3">
      <c r="A647" s="4" t="str">
        <f>"661100"</f>
        <v>661100</v>
      </c>
      <c r="B647" s="2" t="s">
        <v>643</v>
      </c>
      <c r="C647" s="3">
        <v>283930535</v>
      </c>
      <c r="D647" s="3">
        <v>290659689</v>
      </c>
      <c r="E647" s="2">
        <v>2.37</v>
      </c>
      <c r="F647" s="3">
        <v>213591114</v>
      </c>
      <c r="G647" s="3">
        <v>218482351</v>
      </c>
      <c r="H647" s="3"/>
      <c r="I647" s="3"/>
      <c r="J647" s="3"/>
      <c r="K647" s="3"/>
      <c r="L647" s="3"/>
      <c r="M647" s="3"/>
      <c r="N647" s="3">
        <v>213591114</v>
      </c>
      <c r="O647" s="3">
        <v>218482351</v>
      </c>
      <c r="P647" s="2">
        <v>2.29</v>
      </c>
      <c r="Q647" s="3">
        <v>4760193</v>
      </c>
      <c r="R647" s="3">
        <v>8563034</v>
      </c>
      <c r="S647" s="3">
        <v>208830921</v>
      </c>
      <c r="T647" s="3">
        <v>214347514</v>
      </c>
      <c r="U647" s="3">
        <v>208830921</v>
      </c>
      <c r="V647" s="3">
        <v>209919317</v>
      </c>
      <c r="W647" s="3">
        <v>0</v>
      </c>
      <c r="X647" s="3">
        <v>4428197</v>
      </c>
      <c r="Y647" s="2">
        <v>10801</v>
      </c>
      <c r="Z647" s="2">
        <v>10370</v>
      </c>
      <c r="AA647" s="2">
        <v>-3.99</v>
      </c>
      <c r="AB647" s="3">
        <v>22751616</v>
      </c>
      <c r="AC647" s="3">
        <v>24200000</v>
      </c>
      <c r="AD647" s="3">
        <v>12832025</v>
      </c>
      <c r="AE647" s="3">
        <v>4643115</v>
      </c>
      <c r="AF647" s="3">
        <v>11704009</v>
      </c>
      <c r="AG647" s="3">
        <v>11626388</v>
      </c>
      <c r="AH647" s="2">
        <v>4.12</v>
      </c>
      <c r="AI647" s="5">
        <v>4</v>
      </c>
    </row>
    <row r="648" spans="1:35" x14ac:dyDescent="0.3">
      <c r="A648" s="4" t="str">
        <f>"661201"</f>
        <v>661201</v>
      </c>
      <c r="B648" s="2" t="s">
        <v>644</v>
      </c>
      <c r="C648" s="3">
        <v>94534535</v>
      </c>
      <c r="D648" s="3">
        <v>95243544</v>
      </c>
      <c r="E648" s="2">
        <v>0.75</v>
      </c>
      <c r="F648" s="3">
        <v>83653558</v>
      </c>
      <c r="G648" s="3">
        <v>84490094</v>
      </c>
      <c r="H648" s="3"/>
      <c r="I648" s="3"/>
      <c r="J648" s="3"/>
      <c r="K648" s="3"/>
      <c r="L648" s="3"/>
      <c r="M648" s="3"/>
      <c r="N648" s="3">
        <v>83653558</v>
      </c>
      <c r="O648" s="3">
        <v>84490094</v>
      </c>
      <c r="P648" s="2">
        <v>1</v>
      </c>
      <c r="Q648" s="3">
        <v>4144902</v>
      </c>
      <c r="R648" s="3">
        <v>4350530</v>
      </c>
      <c r="S648" s="3">
        <v>79954350</v>
      </c>
      <c r="T648" s="3">
        <v>81450770</v>
      </c>
      <c r="U648" s="3">
        <v>79508656</v>
      </c>
      <c r="V648" s="3">
        <v>80139564</v>
      </c>
      <c r="W648" s="3">
        <v>445694</v>
      </c>
      <c r="X648" s="3">
        <v>1311206</v>
      </c>
      <c r="Y648" s="2">
        <v>2263</v>
      </c>
      <c r="Z648" s="2">
        <v>2256</v>
      </c>
      <c r="AA648" s="2">
        <v>-0.31</v>
      </c>
      <c r="AB648" s="3">
        <v>19635023</v>
      </c>
      <c r="AC648" s="3">
        <v>17283142</v>
      </c>
      <c r="AD648" s="3">
        <v>3311132</v>
      </c>
      <c r="AE648" s="3">
        <v>2948679</v>
      </c>
      <c r="AF648" s="3">
        <v>3771928</v>
      </c>
      <c r="AG648" s="3">
        <v>3800217</v>
      </c>
      <c r="AH648" s="2">
        <v>3.99</v>
      </c>
      <c r="AI648" s="5">
        <v>3.99</v>
      </c>
    </row>
    <row r="649" spans="1:35" x14ac:dyDescent="0.3">
      <c r="A649" s="4" t="str">
        <f>"661301"</f>
        <v>661301</v>
      </c>
      <c r="B649" s="2" t="s">
        <v>645</v>
      </c>
      <c r="C649" s="3">
        <v>44967709</v>
      </c>
      <c r="D649" s="3">
        <v>45914756</v>
      </c>
      <c r="E649" s="2">
        <v>2.11</v>
      </c>
      <c r="F649" s="3">
        <v>39725981</v>
      </c>
      <c r="G649" s="3">
        <v>40227073</v>
      </c>
      <c r="H649" s="3"/>
      <c r="I649" s="3"/>
      <c r="J649" s="3"/>
      <c r="K649" s="3"/>
      <c r="L649" s="3" t="s">
        <v>98</v>
      </c>
      <c r="M649" s="3"/>
      <c r="N649" s="3">
        <v>39725981</v>
      </c>
      <c r="O649" s="3">
        <v>40227073</v>
      </c>
      <c r="P649" s="2">
        <v>1.26</v>
      </c>
      <c r="Q649" s="3">
        <v>1594397</v>
      </c>
      <c r="R649" s="3">
        <v>1586256</v>
      </c>
      <c r="S649" s="3">
        <v>38211194</v>
      </c>
      <c r="T649" s="3">
        <v>38640817</v>
      </c>
      <c r="U649" s="3">
        <v>38131584</v>
      </c>
      <c r="V649" s="3">
        <v>38640817</v>
      </c>
      <c r="W649" s="3">
        <v>79610</v>
      </c>
      <c r="X649" s="3">
        <v>0</v>
      </c>
      <c r="Y649" s="2">
        <v>1046</v>
      </c>
      <c r="Z649" s="2">
        <v>1015</v>
      </c>
      <c r="AA649" s="2">
        <v>-2.96</v>
      </c>
      <c r="AB649" s="3">
        <v>4319186</v>
      </c>
      <c r="AC649" s="3">
        <v>4371119</v>
      </c>
      <c r="AD649" s="3">
        <v>700000</v>
      </c>
      <c r="AE649" s="3">
        <v>825000</v>
      </c>
      <c r="AF649" s="3">
        <v>1768673</v>
      </c>
      <c r="AG649" s="3">
        <v>1836992</v>
      </c>
      <c r="AH649" s="2">
        <v>3.93</v>
      </c>
      <c r="AI649" s="5">
        <v>4</v>
      </c>
    </row>
    <row r="650" spans="1:35" x14ac:dyDescent="0.3">
      <c r="A650" s="4" t="str">
        <f>"661401"</f>
        <v>661401</v>
      </c>
      <c r="B650" s="2" t="s">
        <v>646</v>
      </c>
      <c r="C650" s="3">
        <v>137000249</v>
      </c>
      <c r="D650" s="3">
        <v>139817795</v>
      </c>
      <c r="E650" s="2">
        <v>2.06</v>
      </c>
      <c r="F650" s="3">
        <v>103302309</v>
      </c>
      <c r="G650" s="3">
        <v>103302309</v>
      </c>
      <c r="H650" s="3">
        <v>1221163</v>
      </c>
      <c r="I650" s="3">
        <v>1221163</v>
      </c>
      <c r="J650" s="3">
        <v>0</v>
      </c>
      <c r="K650" s="3">
        <v>0</v>
      </c>
      <c r="L650" s="3">
        <v>0</v>
      </c>
      <c r="M650" s="3">
        <v>0</v>
      </c>
      <c r="N650" s="3">
        <v>104523472</v>
      </c>
      <c r="O650" s="3">
        <v>104523472</v>
      </c>
      <c r="P650" s="2">
        <v>0</v>
      </c>
      <c r="Q650" s="3">
        <v>7318255</v>
      </c>
      <c r="R650" s="3">
        <v>7658678</v>
      </c>
      <c r="S650" s="3">
        <v>96738029</v>
      </c>
      <c r="T650" s="3">
        <v>96864794</v>
      </c>
      <c r="U650" s="3">
        <v>95984054</v>
      </c>
      <c r="V650" s="3">
        <v>95643631</v>
      </c>
      <c r="W650" s="3">
        <v>753975</v>
      </c>
      <c r="X650" s="3">
        <v>1221163</v>
      </c>
      <c r="Y650" s="2">
        <v>4806</v>
      </c>
      <c r="Z650" s="2">
        <v>4639</v>
      </c>
      <c r="AA650" s="2">
        <v>-3.47</v>
      </c>
      <c r="AB650" s="3">
        <v>39052855</v>
      </c>
      <c r="AC650" s="3">
        <v>40617983</v>
      </c>
      <c r="AD650" s="3">
        <v>7109299</v>
      </c>
      <c r="AE650" s="3">
        <v>4825768</v>
      </c>
      <c r="AF650" s="3">
        <v>8757431</v>
      </c>
      <c r="AG650" s="3">
        <v>10811301</v>
      </c>
      <c r="AH650" s="2">
        <v>6.39</v>
      </c>
      <c r="AI650" s="5">
        <v>7.73</v>
      </c>
    </row>
    <row r="651" spans="1:35" x14ac:dyDescent="0.3">
      <c r="A651" s="4" t="str">
        <f>"661402"</f>
        <v>661402</v>
      </c>
      <c r="B651" s="2" t="s">
        <v>647</v>
      </c>
      <c r="C651" s="3">
        <v>53381866</v>
      </c>
      <c r="D651" s="3">
        <v>53692283</v>
      </c>
      <c r="E651" s="2">
        <v>0.57999999999999996</v>
      </c>
      <c r="F651" s="3">
        <v>43055000</v>
      </c>
      <c r="G651" s="3">
        <v>43696931</v>
      </c>
      <c r="H651" s="3"/>
      <c r="I651" s="3"/>
      <c r="J651" s="3"/>
      <c r="K651" s="3"/>
      <c r="L651" s="3"/>
      <c r="M651" s="3"/>
      <c r="N651" s="3">
        <v>43055000</v>
      </c>
      <c r="O651" s="3">
        <v>43696931</v>
      </c>
      <c r="P651" s="2">
        <v>1.49</v>
      </c>
      <c r="Q651" s="3">
        <v>2964909</v>
      </c>
      <c r="R651" s="3">
        <v>2966734</v>
      </c>
      <c r="S651" s="3">
        <v>40091507</v>
      </c>
      <c r="T651" s="3">
        <v>42004057</v>
      </c>
      <c r="U651" s="3">
        <v>40090091</v>
      </c>
      <c r="V651" s="3">
        <v>40730197</v>
      </c>
      <c r="W651" s="3">
        <v>1416</v>
      </c>
      <c r="X651" s="3">
        <v>1273860</v>
      </c>
      <c r="Y651" s="2">
        <v>1350</v>
      </c>
      <c r="Z651" s="2">
        <v>1320</v>
      </c>
      <c r="AA651" s="2">
        <v>-2.2200000000000002</v>
      </c>
      <c r="AB651" s="3">
        <v>4699672</v>
      </c>
      <c r="AC651" s="3">
        <v>6021987</v>
      </c>
      <c r="AD651" s="3">
        <v>2148761</v>
      </c>
      <c r="AE651" s="3">
        <v>1202000</v>
      </c>
      <c r="AF651" s="3">
        <v>2288465</v>
      </c>
      <c r="AG651" s="3">
        <v>2147691</v>
      </c>
      <c r="AH651" s="2">
        <v>4.29</v>
      </c>
      <c r="AI651" s="5">
        <v>4</v>
      </c>
    </row>
    <row r="652" spans="1:35" x14ac:dyDescent="0.3">
      <c r="A652" s="4" t="str">
        <f>"661500"</f>
        <v>661500</v>
      </c>
      <c r="B652" s="2" t="s">
        <v>648</v>
      </c>
      <c r="C652" s="3">
        <v>98555278</v>
      </c>
      <c r="D652" s="3">
        <v>101368973</v>
      </c>
      <c r="E652" s="2">
        <v>2.85</v>
      </c>
      <c r="F652" s="3">
        <v>42327853</v>
      </c>
      <c r="G652" s="3">
        <v>42738279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42327853</v>
      </c>
      <c r="O652" s="3">
        <v>42738279</v>
      </c>
      <c r="P652" s="2">
        <v>0.97</v>
      </c>
      <c r="Q652" s="3">
        <v>2230590</v>
      </c>
      <c r="R652" s="3">
        <v>2014980</v>
      </c>
      <c r="S652" s="3">
        <v>40604480</v>
      </c>
      <c r="T652" s="3">
        <v>42738279</v>
      </c>
      <c r="U652" s="3">
        <v>40097263</v>
      </c>
      <c r="V652" s="3">
        <v>40723299</v>
      </c>
      <c r="W652" s="3">
        <v>507217</v>
      </c>
      <c r="X652" s="3">
        <v>2014980</v>
      </c>
      <c r="Y652" s="2">
        <v>3478</v>
      </c>
      <c r="Z652" s="2">
        <v>3496</v>
      </c>
      <c r="AA652" s="2">
        <v>0.52</v>
      </c>
      <c r="AB652" s="3">
        <v>17850991</v>
      </c>
      <c r="AC652" s="3">
        <v>18319258</v>
      </c>
      <c r="AD652" s="3">
        <v>2882879</v>
      </c>
      <c r="AE652" s="3">
        <v>4282879</v>
      </c>
      <c r="AF652" s="3">
        <v>3876285</v>
      </c>
      <c r="AG652" s="3">
        <v>3726285</v>
      </c>
      <c r="AH652" s="2">
        <v>3.93</v>
      </c>
      <c r="AI652" s="5">
        <v>3.68</v>
      </c>
    </row>
    <row r="653" spans="1:35" x14ac:dyDescent="0.3">
      <c r="A653" s="4" t="str">
        <f>"661601"</f>
        <v>661601</v>
      </c>
      <c r="B653" s="2" t="s">
        <v>649</v>
      </c>
      <c r="C653" s="3">
        <v>76700000</v>
      </c>
      <c r="D653" s="3">
        <v>80280000</v>
      </c>
      <c r="E653" s="2">
        <v>4.67</v>
      </c>
      <c r="F653" s="3">
        <v>65648182</v>
      </c>
      <c r="G653" s="3">
        <v>67271881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65648182</v>
      </c>
      <c r="O653" s="3">
        <v>67271881</v>
      </c>
      <c r="P653" s="2">
        <v>2.4700000000000002</v>
      </c>
      <c r="Q653" s="3">
        <v>2494256</v>
      </c>
      <c r="R653" s="3">
        <v>3002238</v>
      </c>
      <c r="S653" s="3">
        <v>63153926</v>
      </c>
      <c r="T653" s="3">
        <v>64269643</v>
      </c>
      <c r="U653" s="3">
        <v>63153926</v>
      </c>
      <c r="V653" s="3">
        <v>64269643</v>
      </c>
      <c r="W653" s="3">
        <v>0</v>
      </c>
      <c r="X653" s="3">
        <v>0</v>
      </c>
      <c r="Y653" s="2">
        <v>2807</v>
      </c>
      <c r="Z653" s="2">
        <v>2789</v>
      </c>
      <c r="AA653" s="2">
        <v>-0.64</v>
      </c>
      <c r="AB653" s="3">
        <v>13896366</v>
      </c>
      <c r="AC653" s="3">
        <v>15935325</v>
      </c>
      <c r="AD653" s="3">
        <v>1255000</v>
      </c>
      <c r="AE653" s="3">
        <v>450000</v>
      </c>
      <c r="AF653" s="3">
        <v>3067990</v>
      </c>
      <c r="AG653" s="3">
        <v>3211200</v>
      </c>
      <c r="AH653" s="2">
        <v>4</v>
      </c>
      <c r="AI653" s="5">
        <v>4</v>
      </c>
    </row>
    <row r="654" spans="1:35" x14ac:dyDescent="0.3">
      <c r="A654" s="4" t="str">
        <f>"661800"</f>
        <v>661800</v>
      </c>
      <c r="B654" s="2" t="s">
        <v>650</v>
      </c>
      <c r="C654" s="3">
        <v>92391461</v>
      </c>
      <c r="D654" s="3">
        <v>94237421</v>
      </c>
      <c r="E654" s="2">
        <v>2</v>
      </c>
      <c r="F654" s="3">
        <v>84048338</v>
      </c>
      <c r="G654" s="3">
        <v>86350947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84048338</v>
      </c>
      <c r="O654" s="3">
        <v>86350947</v>
      </c>
      <c r="P654" s="2">
        <v>2.74</v>
      </c>
      <c r="Q654" s="3">
        <v>3534862</v>
      </c>
      <c r="R654" s="3">
        <v>3895141</v>
      </c>
      <c r="S654" s="3">
        <v>80514872</v>
      </c>
      <c r="T654" s="3">
        <v>82455806</v>
      </c>
      <c r="U654" s="3">
        <v>80513476</v>
      </c>
      <c r="V654" s="3">
        <v>82455806</v>
      </c>
      <c r="W654" s="3">
        <v>1396</v>
      </c>
      <c r="X654" s="3">
        <v>0</v>
      </c>
      <c r="Y654" s="2">
        <v>3107</v>
      </c>
      <c r="Z654" s="2">
        <v>3010</v>
      </c>
      <c r="AA654" s="2">
        <v>-3.12</v>
      </c>
      <c r="AB654" s="3">
        <v>11574498</v>
      </c>
      <c r="AC654" s="3">
        <v>11941541</v>
      </c>
      <c r="AD654" s="3">
        <v>2872123</v>
      </c>
      <c r="AE654" s="3">
        <v>2750000</v>
      </c>
      <c r="AF654" s="3">
        <v>3588135</v>
      </c>
      <c r="AG654" s="3">
        <v>3769497</v>
      </c>
      <c r="AH654" s="2">
        <v>3.88</v>
      </c>
      <c r="AI654" s="5">
        <v>4</v>
      </c>
    </row>
    <row r="655" spans="1:35" x14ac:dyDescent="0.3">
      <c r="A655" s="4" t="str">
        <f>"661901"</f>
        <v>661901</v>
      </c>
      <c r="B655" s="2" t="s">
        <v>651</v>
      </c>
      <c r="C655" s="3">
        <v>44545814</v>
      </c>
      <c r="D655" s="3">
        <v>46069994</v>
      </c>
      <c r="E655" s="2">
        <v>3.42</v>
      </c>
      <c r="F655" s="3">
        <v>39999300</v>
      </c>
      <c r="G655" s="3">
        <v>40866385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39999300</v>
      </c>
      <c r="O655" s="3">
        <v>40866385</v>
      </c>
      <c r="P655" s="2">
        <v>2.17</v>
      </c>
      <c r="Q655" s="3">
        <v>2163984</v>
      </c>
      <c r="R655" s="3">
        <v>2468516</v>
      </c>
      <c r="S655" s="3">
        <v>37835316</v>
      </c>
      <c r="T655" s="3">
        <v>38397869</v>
      </c>
      <c r="U655" s="3">
        <v>37835316</v>
      </c>
      <c r="V655" s="3">
        <v>38397869</v>
      </c>
      <c r="W655" s="3">
        <v>0</v>
      </c>
      <c r="X655" s="3">
        <v>0</v>
      </c>
      <c r="Y655" s="2">
        <v>1580</v>
      </c>
      <c r="Z655" s="2">
        <v>1512</v>
      </c>
      <c r="AA655" s="2">
        <v>-4.3</v>
      </c>
      <c r="AB655" s="3">
        <v>7623079</v>
      </c>
      <c r="AC655" s="3">
        <v>8595617</v>
      </c>
      <c r="AD655" s="3">
        <v>1761000</v>
      </c>
      <c r="AE655" s="3">
        <v>1615000</v>
      </c>
      <c r="AF655" s="3">
        <v>1781833</v>
      </c>
      <c r="AG655" s="3">
        <v>1842800</v>
      </c>
      <c r="AH655" s="2">
        <v>4</v>
      </c>
      <c r="AI655" s="5">
        <v>4</v>
      </c>
    </row>
    <row r="656" spans="1:35" x14ac:dyDescent="0.3">
      <c r="A656" s="4" t="str">
        <f>"661904"</f>
        <v>661904</v>
      </c>
      <c r="B656" s="2" t="s">
        <v>652</v>
      </c>
      <c r="C656" s="3">
        <v>109405243</v>
      </c>
      <c r="D656" s="3">
        <v>116509250</v>
      </c>
      <c r="E656" s="2">
        <v>6.49</v>
      </c>
      <c r="F656" s="3">
        <v>68383322</v>
      </c>
      <c r="G656" s="3">
        <v>69778540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68383322</v>
      </c>
      <c r="O656" s="3">
        <v>69778540</v>
      </c>
      <c r="P656" s="2">
        <v>2.04</v>
      </c>
      <c r="Q656" s="3">
        <v>2469731</v>
      </c>
      <c r="R656" s="3">
        <v>1970046</v>
      </c>
      <c r="S656" s="3">
        <v>65913591</v>
      </c>
      <c r="T656" s="3">
        <v>67808494</v>
      </c>
      <c r="U656" s="3">
        <v>65913591</v>
      </c>
      <c r="V656" s="3">
        <v>67808494</v>
      </c>
      <c r="W656" s="3">
        <v>0</v>
      </c>
      <c r="X656" s="3">
        <v>0</v>
      </c>
      <c r="Y656" s="2">
        <v>4720</v>
      </c>
      <c r="Z656" s="2">
        <v>4703</v>
      </c>
      <c r="AA656" s="2">
        <v>-0.36</v>
      </c>
      <c r="AB656" s="3">
        <v>6083629</v>
      </c>
      <c r="AC656" s="3">
        <v>6983629</v>
      </c>
      <c r="AD656" s="3">
        <v>2087011</v>
      </c>
      <c r="AE656" s="3">
        <v>208711</v>
      </c>
      <c r="AF656" s="3">
        <v>5501226</v>
      </c>
      <c r="AG656" s="3">
        <v>4401226</v>
      </c>
      <c r="AH656" s="2">
        <v>5.03</v>
      </c>
      <c r="AI656" s="5">
        <v>3.78</v>
      </c>
    </row>
    <row r="657" spans="1:35" x14ac:dyDescent="0.3">
      <c r="A657" s="4" t="str">
        <f>"661905"</f>
        <v>661905</v>
      </c>
      <c r="B657" s="2" t="s">
        <v>653</v>
      </c>
      <c r="C657" s="3">
        <v>50456017</v>
      </c>
      <c r="D657" s="3">
        <v>51169419</v>
      </c>
      <c r="E657" s="2">
        <v>1.41</v>
      </c>
      <c r="F657" s="3">
        <v>44042253</v>
      </c>
      <c r="G657" s="3">
        <v>44042253</v>
      </c>
      <c r="H657" s="3"/>
      <c r="I657" s="3"/>
      <c r="J657" s="3"/>
      <c r="K657" s="3"/>
      <c r="L657" s="3"/>
      <c r="M657" s="3"/>
      <c r="N657" s="3">
        <v>44042253</v>
      </c>
      <c r="O657" s="3">
        <v>44042253</v>
      </c>
      <c r="P657" s="2">
        <v>0</v>
      </c>
      <c r="Q657" s="3">
        <v>4276962</v>
      </c>
      <c r="R657" s="3">
        <v>3693657</v>
      </c>
      <c r="S657" s="3">
        <v>39824756</v>
      </c>
      <c r="T657" s="3">
        <v>40696292</v>
      </c>
      <c r="U657" s="3">
        <v>39765291</v>
      </c>
      <c r="V657" s="3">
        <v>40348596</v>
      </c>
      <c r="W657" s="3">
        <v>59465</v>
      </c>
      <c r="X657" s="3">
        <v>347696</v>
      </c>
      <c r="Y657" s="2">
        <v>1351</v>
      </c>
      <c r="Z657" s="2">
        <v>1323</v>
      </c>
      <c r="AA657" s="2">
        <v>-2.0699999999999998</v>
      </c>
      <c r="AB657" s="3">
        <v>1094680</v>
      </c>
      <c r="AC657" s="3">
        <v>1031293</v>
      </c>
      <c r="AD657" s="3">
        <v>1550000</v>
      </c>
      <c r="AE657" s="3">
        <v>2604649</v>
      </c>
      <c r="AF657" s="3">
        <v>2972892</v>
      </c>
      <c r="AG657" s="3">
        <v>2046776</v>
      </c>
      <c r="AH657" s="2">
        <v>5.89</v>
      </c>
      <c r="AI657" s="5">
        <v>4</v>
      </c>
    </row>
    <row r="658" spans="1:35" x14ac:dyDescent="0.3">
      <c r="A658" s="4" t="str">
        <f>"662001"</f>
        <v>662001</v>
      </c>
      <c r="B658" s="2" t="s">
        <v>654</v>
      </c>
      <c r="C658" s="3">
        <v>162696316</v>
      </c>
      <c r="D658" s="3">
        <v>166862755</v>
      </c>
      <c r="E658" s="2">
        <v>2.56</v>
      </c>
      <c r="F658" s="3">
        <v>151128318</v>
      </c>
      <c r="G658" s="3">
        <v>154374399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151128318</v>
      </c>
      <c r="O658" s="3">
        <v>154374399</v>
      </c>
      <c r="P658" s="2">
        <v>2.15</v>
      </c>
      <c r="Q658" s="3">
        <v>8071338</v>
      </c>
      <c r="R658" s="3">
        <v>8074679</v>
      </c>
      <c r="S658" s="3">
        <v>144302144</v>
      </c>
      <c r="T658" s="3">
        <v>146318785</v>
      </c>
      <c r="U658" s="3">
        <v>143056980</v>
      </c>
      <c r="V658" s="3">
        <v>146299720</v>
      </c>
      <c r="W658" s="3">
        <v>1245164</v>
      </c>
      <c r="X658" s="3">
        <v>19065</v>
      </c>
      <c r="Y658" s="2">
        <v>4743</v>
      </c>
      <c r="Z658" s="2">
        <v>4717</v>
      </c>
      <c r="AA658" s="2">
        <v>-0.55000000000000004</v>
      </c>
      <c r="AB658" s="3">
        <v>17949394</v>
      </c>
      <c r="AC658" s="3">
        <v>16144043</v>
      </c>
      <c r="AD658" s="3">
        <v>1750000</v>
      </c>
      <c r="AE658" s="3">
        <v>2225000</v>
      </c>
      <c r="AF658" s="3">
        <v>6965344</v>
      </c>
      <c r="AG658" s="3">
        <v>4666306</v>
      </c>
      <c r="AH658" s="2">
        <v>4.28</v>
      </c>
      <c r="AI658" s="5">
        <v>2.8</v>
      </c>
    </row>
    <row r="659" spans="1:35" x14ac:dyDescent="0.3">
      <c r="A659" s="4" t="str">
        <f>"662101"</f>
        <v>662101</v>
      </c>
      <c r="B659" s="2" t="s">
        <v>655</v>
      </c>
      <c r="C659" s="3">
        <v>94658822</v>
      </c>
      <c r="D659" s="3">
        <v>97483143</v>
      </c>
      <c r="E659" s="2">
        <v>2.98</v>
      </c>
      <c r="F659" s="3">
        <v>81123005</v>
      </c>
      <c r="G659" s="3">
        <v>82699208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81123005</v>
      </c>
      <c r="O659" s="3">
        <v>82699208</v>
      </c>
      <c r="P659" s="2">
        <v>1.94</v>
      </c>
      <c r="Q659" s="3">
        <v>2826390</v>
      </c>
      <c r="R659" s="3">
        <v>3096418</v>
      </c>
      <c r="S659" s="3">
        <v>78698843</v>
      </c>
      <c r="T659" s="3">
        <v>79602790</v>
      </c>
      <c r="U659" s="3">
        <v>78296615</v>
      </c>
      <c r="V659" s="3">
        <v>79602790</v>
      </c>
      <c r="W659" s="3">
        <v>402228</v>
      </c>
      <c r="X659" s="3">
        <v>0</v>
      </c>
      <c r="Y659" s="2">
        <v>2782</v>
      </c>
      <c r="Z659" s="2">
        <v>2695</v>
      </c>
      <c r="AA659" s="2">
        <v>-3.13</v>
      </c>
      <c r="AB659" s="3">
        <v>9667071</v>
      </c>
      <c r="AC659" s="3">
        <v>8767788</v>
      </c>
      <c r="AD659" s="3">
        <v>400000</v>
      </c>
      <c r="AE659" s="3">
        <v>0</v>
      </c>
      <c r="AF659" s="3">
        <v>3788143</v>
      </c>
      <c r="AG659" s="3">
        <v>3899326</v>
      </c>
      <c r="AH659" s="2">
        <v>4</v>
      </c>
      <c r="AI659" s="5">
        <v>4</v>
      </c>
    </row>
    <row r="660" spans="1:35" x14ac:dyDescent="0.3">
      <c r="A660" s="4" t="str">
        <f>"662200"</f>
        <v>662200</v>
      </c>
      <c r="B660" s="2" t="s">
        <v>656</v>
      </c>
      <c r="C660" s="3">
        <v>233244050</v>
      </c>
      <c r="D660" s="3">
        <v>229627400</v>
      </c>
      <c r="E660" s="2">
        <v>-1.55</v>
      </c>
      <c r="F660" s="3">
        <v>194838558</v>
      </c>
      <c r="G660" s="3">
        <v>197235072</v>
      </c>
      <c r="H660" s="3"/>
      <c r="I660" s="3"/>
      <c r="J660" s="3"/>
      <c r="K660" s="3"/>
      <c r="L660" s="3"/>
      <c r="M660" s="3"/>
      <c r="N660" s="3">
        <v>194838558</v>
      </c>
      <c r="O660" s="3">
        <v>197235072</v>
      </c>
      <c r="P660" s="2">
        <v>1.23</v>
      </c>
      <c r="Q660" s="3">
        <v>4033627</v>
      </c>
      <c r="R660" s="3">
        <v>4438920</v>
      </c>
      <c r="S660" s="3">
        <v>190804931</v>
      </c>
      <c r="T660" s="3">
        <v>195846135</v>
      </c>
      <c r="U660" s="3">
        <v>190804931</v>
      </c>
      <c r="V660" s="3">
        <v>192796152</v>
      </c>
      <c r="W660" s="3">
        <v>0</v>
      </c>
      <c r="X660" s="3">
        <v>3049983</v>
      </c>
      <c r="Y660" s="2">
        <v>7056</v>
      </c>
      <c r="Z660" s="2">
        <v>7084</v>
      </c>
      <c r="AA660" s="2">
        <v>0.4</v>
      </c>
      <c r="AB660" s="3">
        <v>79832487</v>
      </c>
      <c r="AC660" s="3">
        <v>86286714</v>
      </c>
      <c r="AD660" s="3">
        <v>17196412</v>
      </c>
      <c r="AE660" s="3">
        <v>600000</v>
      </c>
      <c r="AF660" s="3">
        <v>9326762</v>
      </c>
      <c r="AG660" s="3">
        <v>9185096</v>
      </c>
      <c r="AH660" s="2">
        <v>4</v>
      </c>
      <c r="AI660" s="5">
        <v>4</v>
      </c>
    </row>
    <row r="661" spans="1:35" x14ac:dyDescent="0.3">
      <c r="A661" s="4" t="str">
        <f>"662401"</f>
        <v>662401</v>
      </c>
      <c r="B661" s="2" t="s">
        <v>657</v>
      </c>
      <c r="C661" s="3">
        <v>164797022</v>
      </c>
      <c r="D661" s="3">
        <v>168255026</v>
      </c>
      <c r="E661" s="2">
        <v>2.1</v>
      </c>
      <c r="F661" s="3">
        <v>116683323</v>
      </c>
      <c r="G661" s="3">
        <v>116683323</v>
      </c>
      <c r="H661" s="3"/>
      <c r="I661" s="3"/>
      <c r="J661" s="3"/>
      <c r="K661" s="3"/>
      <c r="L661" s="3"/>
      <c r="M661" s="3"/>
      <c r="N661" s="3">
        <v>116683323</v>
      </c>
      <c r="O661" s="3">
        <v>116683323</v>
      </c>
      <c r="P661" s="2">
        <v>0</v>
      </c>
      <c r="Q661" s="3">
        <v>2091053</v>
      </c>
      <c r="R661" s="3">
        <v>0</v>
      </c>
      <c r="S661" s="3">
        <v>118091712</v>
      </c>
      <c r="T661" s="3">
        <v>117945946</v>
      </c>
      <c r="U661" s="3">
        <v>114592270</v>
      </c>
      <c r="V661" s="3">
        <v>116683323</v>
      </c>
      <c r="W661" s="3">
        <v>3499442</v>
      </c>
      <c r="X661" s="3">
        <v>1262623</v>
      </c>
      <c r="Y661" s="2">
        <v>5624</v>
      </c>
      <c r="Z661" s="2">
        <v>5532</v>
      </c>
      <c r="AA661" s="2">
        <v>-1.64</v>
      </c>
      <c r="AB661" s="3">
        <v>36333506</v>
      </c>
      <c r="AC661" s="3">
        <v>40817984</v>
      </c>
      <c r="AD661" s="3">
        <v>5561973</v>
      </c>
      <c r="AE661" s="3">
        <v>5539175</v>
      </c>
      <c r="AF661" s="3">
        <v>6591881</v>
      </c>
      <c r="AG661" s="3">
        <v>6730201</v>
      </c>
      <c r="AH661" s="2">
        <v>4</v>
      </c>
      <c r="AI661" s="5">
        <v>4</v>
      </c>
    </row>
    <row r="662" spans="1:35" x14ac:dyDescent="0.3">
      <c r="A662" s="4" t="str">
        <f>"662402"</f>
        <v>662402</v>
      </c>
      <c r="B662" s="2" t="s">
        <v>658</v>
      </c>
      <c r="C662" s="3">
        <v>99700000</v>
      </c>
      <c r="D662" s="3">
        <v>101906000</v>
      </c>
      <c r="E662" s="2">
        <v>2.21</v>
      </c>
      <c r="F662" s="3">
        <v>79906523</v>
      </c>
      <c r="G662" s="3">
        <v>80866263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79906523</v>
      </c>
      <c r="O662" s="3">
        <v>80866263</v>
      </c>
      <c r="P662" s="2">
        <v>1.2</v>
      </c>
      <c r="Q662" s="3">
        <v>1700171</v>
      </c>
      <c r="R662" s="3">
        <v>1613025</v>
      </c>
      <c r="S662" s="3">
        <v>78803638</v>
      </c>
      <c r="T662" s="3">
        <v>80195585</v>
      </c>
      <c r="U662" s="3">
        <v>78206352</v>
      </c>
      <c r="V662" s="3">
        <v>79253238</v>
      </c>
      <c r="W662" s="3">
        <v>597286</v>
      </c>
      <c r="X662" s="3">
        <v>942347</v>
      </c>
      <c r="Y662" s="2">
        <v>3377</v>
      </c>
      <c r="Z662" s="2">
        <v>3363</v>
      </c>
      <c r="AA662" s="2">
        <v>-0.41</v>
      </c>
      <c r="AB662" s="3">
        <v>15214105</v>
      </c>
      <c r="AC662" s="3">
        <v>15940110</v>
      </c>
      <c r="AD662" s="3">
        <v>2522450</v>
      </c>
      <c r="AE662" s="3">
        <v>557000</v>
      </c>
      <c r="AF662" s="3">
        <v>3988000</v>
      </c>
      <c r="AG662" s="3">
        <v>4075000</v>
      </c>
      <c r="AH662" s="2">
        <v>4</v>
      </c>
      <c r="AI662" s="5">
        <v>4</v>
      </c>
    </row>
    <row r="663" spans="1:35" x14ac:dyDescent="0.3">
      <c r="A663" s="4" t="str">
        <f>"670201"</f>
        <v>670201</v>
      </c>
      <c r="B663" s="2" t="s">
        <v>659</v>
      </c>
      <c r="C663" s="3">
        <v>29759054</v>
      </c>
      <c r="D663" s="3">
        <v>31260736</v>
      </c>
      <c r="E663" s="2">
        <v>5.05</v>
      </c>
      <c r="F663" s="3">
        <v>10446060</v>
      </c>
      <c r="G663" s="3">
        <v>10653937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10446060</v>
      </c>
      <c r="O663" s="3">
        <v>10653937</v>
      </c>
      <c r="P663" s="2">
        <v>1.99</v>
      </c>
      <c r="Q663" s="3">
        <v>0</v>
      </c>
      <c r="R663" s="3">
        <v>0</v>
      </c>
      <c r="S663" s="3">
        <v>10639630</v>
      </c>
      <c r="T663" s="3">
        <v>10811016</v>
      </c>
      <c r="U663" s="3">
        <v>10446060</v>
      </c>
      <c r="V663" s="3">
        <v>10653937</v>
      </c>
      <c r="W663" s="3">
        <v>193570</v>
      </c>
      <c r="X663" s="3">
        <v>157079</v>
      </c>
      <c r="Y663" s="2">
        <v>1191</v>
      </c>
      <c r="Z663" s="2">
        <v>1181</v>
      </c>
      <c r="AA663" s="2">
        <v>-0.84</v>
      </c>
      <c r="AB663" s="3">
        <v>8052036</v>
      </c>
      <c r="AC663" s="3">
        <v>7158394</v>
      </c>
      <c r="AD663" s="3">
        <v>1392163</v>
      </c>
      <c r="AE663" s="3">
        <v>1263679</v>
      </c>
      <c r="AF663" s="3">
        <v>1187988</v>
      </c>
      <c r="AG663" s="3">
        <v>1250429</v>
      </c>
      <c r="AH663" s="2">
        <v>3.99</v>
      </c>
      <c r="AI663" s="5">
        <v>4</v>
      </c>
    </row>
    <row r="664" spans="1:35" x14ac:dyDescent="0.3">
      <c r="A664" s="4" t="str">
        <f>"670401"</f>
        <v>670401</v>
      </c>
      <c r="B664" s="2" t="s">
        <v>660</v>
      </c>
      <c r="C664" s="3">
        <v>21013669</v>
      </c>
      <c r="D664" s="3">
        <v>21715217</v>
      </c>
      <c r="E664" s="2">
        <v>3.34</v>
      </c>
      <c r="F664" s="3">
        <v>4583021</v>
      </c>
      <c r="G664" s="3">
        <v>4583021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4583021</v>
      </c>
      <c r="O664" s="3">
        <v>4583021</v>
      </c>
      <c r="P664" s="2">
        <v>0</v>
      </c>
      <c r="Q664" s="3">
        <v>0</v>
      </c>
      <c r="R664" s="3">
        <v>0</v>
      </c>
      <c r="S664" s="3">
        <v>4766260</v>
      </c>
      <c r="T664" s="3">
        <v>4744474</v>
      </c>
      <c r="U664" s="3">
        <v>4583021</v>
      </c>
      <c r="V664" s="3">
        <v>4583021</v>
      </c>
      <c r="W664" s="3">
        <v>183239</v>
      </c>
      <c r="X664" s="3">
        <v>161453</v>
      </c>
      <c r="Y664" s="2">
        <v>844</v>
      </c>
      <c r="Z664" s="2">
        <v>853</v>
      </c>
      <c r="AA664" s="2">
        <v>1.07</v>
      </c>
      <c r="AB664" s="3">
        <v>8664114</v>
      </c>
      <c r="AC664" s="3">
        <v>5473531</v>
      </c>
      <c r="AD664" s="3">
        <v>927244</v>
      </c>
      <c r="AE664" s="3">
        <v>300000</v>
      </c>
      <c r="AF664" s="3">
        <v>840547</v>
      </c>
      <c r="AG664" s="3">
        <v>868609</v>
      </c>
      <c r="AH664" s="2">
        <v>4</v>
      </c>
      <c r="AI664" s="5">
        <v>4</v>
      </c>
    </row>
    <row r="665" spans="1:35" x14ac:dyDescent="0.3">
      <c r="A665" s="4" t="str">
        <f>"671002"</f>
        <v>671002</v>
      </c>
      <c r="B665" s="2" t="s">
        <v>661</v>
      </c>
      <c r="C665" s="3">
        <v>5740773</v>
      </c>
      <c r="D665" s="3">
        <v>5832070</v>
      </c>
      <c r="E665" s="2">
        <v>1.59</v>
      </c>
      <c r="F665" s="3">
        <v>2018690</v>
      </c>
      <c r="G665" s="3">
        <v>2086499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2018690</v>
      </c>
      <c r="O665" s="3">
        <v>2086499</v>
      </c>
      <c r="P665" s="2">
        <v>3.36</v>
      </c>
      <c r="Q665" s="3">
        <v>0</v>
      </c>
      <c r="R665" s="3">
        <v>0</v>
      </c>
      <c r="S665" s="3">
        <v>2070446</v>
      </c>
      <c r="T665" s="3">
        <v>2086499</v>
      </c>
      <c r="U665" s="3">
        <v>2018690</v>
      </c>
      <c r="V665" s="3">
        <v>2086499</v>
      </c>
      <c r="W665" s="3">
        <v>51756</v>
      </c>
      <c r="X665" s="3">
        <v>0</v>
      </c>
      <c r="Y665" s="2">
        <v>128</v>
      </c>
      <c r="Z665" s="2">
        <v>123</v>
      </c>
      <c r="AA665" s="2">
        <v>-3.91</v>
      </c>
      <c r="AB665" s="3">
        <v>1930978</v>
      </c>
      <c r="AC665" s="3">
        <v>2039516</v>
      </c>
      <c r="AD665" s="3">
        <v>488187</v>
      </c>
      <c r="AE665" s="3">
        <v>415000</v>
      </c>
      <c r="AF665" s="3">
        <v>686288</v>
      </c>
      <c r="AG665" s="3">
        <v>233283</v>
      </c>
      <c r="AH665" s="2">
        <v>11.95</v>
      </c>
      <c r="AI665" s="5">
        <v>4</v>
      </c>
    </row>
    <row r="666" spans="1:35" x14ac:dyDescent="0.3">
      <c r="A666" s="4" t="str">
        <f>"671201"</f>
        <v>671201</v>
      </c>
      <c r="B666" s="2" t="s">
        <v>662</v>
      </c>
      <c r="C666" s="3">
        <v>18749625</v>
      </c>
      <c r="D666" s="3">
        <v>18958735</v>
      </c>
      <c r="E666" s="2">
        <v>1.1200000000000001</v>
      </c>
      <c r="F666" s="3">
        <v>6213776</v>
      </c>
      <c r="G666" s="3">
        <v>6306982</v>
      </c>
      <c r="H666" s="3"/>
      <c r="I666" s="3"/>
      <c r="J666" s="3"/>
      <c r="K666" s="3"/>
      <c r="L666" s="3"/>
      <c r="M666" s="3"/>
      <c r="N666" s="3">
        <v>6213776</v>
      </c>
      <c r="O666" s="3">
        <v>6306982</v>
      </c>
      <c r="P666" s="2">
        <v>1.5</v>
      </c>
      <c r="Q666" s="3">
        <v>204286</v>
      </c>
      <c r="R666" s="3">
        <v>197514</v>
      </c>
      <c r="S666" s="3">
        <v>6322381</v>
      </c>
      <c r="T666" s="3">
        <v>6173595</v>
      </c>
      <c r="U666" s="3">
        <v>6009490</v>
      </c>
      <c r="V666" s="3">
        <v>6109468</v>
      </c>
      <c r="W666" s="3">
        <v>312891</v>
      </c>
      <c r="X666" s="3">
        <v>64127</v>
      </c>
      <c r="Y666" s="2">
        <v>820</v>
      </c>
      <c r="Z666" s="2">
        <v>825</v>
      </c>
      <c r="AA666" s="2">
        <v>0.61</v>
      </c>
      <c r="AB666" s="3">
        <v>8773114</v>
      </c>
      <c r="AC666" s="3">
        <v>8542318</v>
      </c>
      <c r="AD666" s="3">
        <v>356113</v>
      </c>
      <c r="AE666" s="3">
        <v>356113</v>
      </c>
      <c r="AF666" s="3">
        <v>749985</v>
      </c>
      <c r="AG666" s="3">
        <v>758349</v>
      </c>
      <c r="AH666" s="2">
        <v>4</v>
      </c>
      <c r="AI666" s="5">
        <v>4</v>
      </c>
    </row>
    <row r="667" spans="1:35" x14ac:dyDescent="0.3">
      <c r="A667" s="4" t="str">
        <f>"671501"</f>
        <v>671501</v>
      </c>
      <c r="B667" s="2" t="s">
        <v>663</v>
      </c>
      <c r="C667" s="3">
        <v>21014000</v>
      </c>
      <c r="D667" s="3">
        <v>21747000</v>
      </c>
      <c r="E667" s="2">
        <v>3.49</v>
      </c>
      <c r="F667" s="3">
        <v>7316164</v>
      </c>
      <c r="G667" s="3">
        <v>7384204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7316164</v>
      </c>
      <c r="O667" s="3">
        <v>7384204</v>
      </c>
      <c r="P667" s="2">
        <v>0.93</v>
      </c>
      <c r="Q667" s="3">
        <v>0</v>
      </c>
      <c r="R667" s="3">
        <v>0</v>
      </c>
      <c r="S667" s="3">
        <v>7486314</v>
      </c>
      <c r="T667" s="3">
        <v>7559431</v>
      </c>
      <c r="U667" s="3">
        <v>7316164</v>
      </c>
      <c r="V667" s="3">
        <v>7384204</v>
      </c>
      <c r="W667" s="3">
        <v>170150</v>
      </c>
      <c r="X667" s="3">
        <v>175227</v>
      </c>
      <c r="Y667" s="2">
        <v>869</v>
      </c>
      <c r="Z667" s="2">
        <v>858</v>
      </c>
      <c r="AA667" s="2">
        <v>-1.27</v>
      </c>
      <c r="AB667" s="3">
        <v>7348350</v>
      </c>
      <c r="AC667" s="3">
        <v>7954512</v>
      </c>
      <c r="AD667" s="3">
        <v>1064398</v>
      </c>
      <c r="AE667" s="3">
        <v>604942</v>
      </c>
      <c r="AF667" s="3">
        <v>834752</v>
      </c>
      <c r="AG667" s="3">
        <v>869080</v>
      </c>
      <c r="AH667" s="2">
        <v>3.97</v>
      </c>
      <c r="AI667" s="5">
        <v>4</v>
      </c>
    </row>
    <row r="668" spans="1:35" x14ac:dyDescent="0.3">
      <c r="A668" s="4" t="str">
        <f>"680601"</f>
        <v>680601</v>
      </c>
      <c r="B668" s="2" t="s">
        <v>664</v>
      </c>
      <c r="C668" s="3">
        <v>37200125</v>
      </c>
      <c r="D668" s="3">
        <v>38314584</v>
      </c>
      <c r="E668" s="2">
        <v>3</v>
      </c>
      <c r="F668" s="3">
        <v>19349923</v>
      </c>
      <c r="G668" s="3">
        <v>19647159</v>
      </c>
      <c r="H668" s="3"/>
      <c r="I668" s="3"/>
      <c r="J668" s="3"/>
      <c r="K668" s="3"/>
      <c r="L668" s="3"/>
      <c r="M668" s="3"/>
      <c r="N668" s="3">
        <v>19349923</v>
      </c>
      <c r="O668" s="3">
        <v>19647159</v>
      </c>
      <c r="P668" s="2">
        <v>1.54</v>
      </c>
      <c r="Q668" s="3">
        <v>2050327</v>
      </c>
      <c r="R668" s="3">
        <v>2451182</v>
      </c>
      <c r="S668" s="3">
        <v>17301540</v>
      </c>
      <c r="T668" s="3">
        <v>17587029</v>
      </c>
      <c r="U668" s="3">
        <v>17299596</v>
      </c>
      <c r="V668" s="3">
        <v>17195977</v>
      </c>
      <c r="W668" s="3">
        <v>1944</v>
      </c>
      <c r="X668" s="3">
        <v>391052</v>
      </c>
      <c r="Y668" s="2">
        <v>1345</v>
      </c>
      <c r="Z668" s="2">
        <v>1309</v>
      </c>
      <c r="AA668" s="2">
        <v>-2.68</v>
      </c>
      <c r="AB668" s="3">
        <v>9791193</v>
      </c>
      <c r="AC668" s="3">
        <v>10791193</v>
      </c>
      <c r="AD668" s="3">
        <v>414727</v>
      </c>
      <c r="AE668" s="3">
        <v>325430</v>
      </c>
      <c r="AF668" s="3">
        <v>1488005</v>
      </c>
      <c r="AG668" s="3">
        <v>1532583</v>
      </c>
      <c r="AH668" s="2">
        <v>4</v>
      </c>
      <c r="AI668" s="5">
        <v>4</v>
      </c>
    </row>
    <row r="669" spans="1:35" x14ac:dyDescent="0.3">
      <c r="A669" s="15" t="str">
        <f>"680801"</f>
        <v>680801</v>
      </c>
      <c r="B669" s="16" t="s">
        <v>665</v>
      </c>
      <c r="C669" s="17">
        <v>19382128</v>
      </c>
      <c r="D669" s="17">
        <v>19961102</v>
      </c>
      <c r="E669" s="16">
        <v>2.99</v>
      </c>
      <c r="F669" s="17">
        <v>5603880</v>
      </c>
      <c r="G669" s="17">
        <v>5743977</v>
      </c>
      <c r="H669" s="17">
        <v>0</v>
      </c>
      <c r="I669" s="17">
        <v>0</v>
      </c>
      <c r="J669" s="17">
        <v>0</v>
      </c>
      <c r="K669" s="17">
        <v>0</v>
      </c>
      <c r="L669" s="17">
        <v>0</v>
      </c>
      <c r="M669" s="17">
        <v>0</v>
      </c>
      <c r="N669" s="17">
        <v>5603880</v>
      </c>
      <c r="O669" s="17">
        <v>5743977</v>
      </c>
      <c r="P669" s="16">
        <v>2.5</v>
      </c>
      <c r="Q669" s="17">
        <v>99909</v>
      </c>
      <c r="R669" s="17">
        <v>127718</v>
      </c>
      <c r="S669" s="17">
        <v>5503971</v>
      </c>
      <c r="T669" s="17">
        <v>5616259</v>
      </c>
      <c r="U669" s="17">
        <v>5503971</v>
      </c>
      <c r="V669" s="17">
        <v>5616259</v>
      </c>
      <c r="W669" s="17">
        <v>0</v>
      </c>
      <c r="X669" s="17">
        <v>0</v>
      </c>
      <c r="Y669" s="16">
        <v>644</v>
      </c>
      <c r="Z669" s="16">
        <v>585</v>
      </c>
      <c r="AA669" s="16">
        <v>-9.16</v>
      </c>
      <c r="AB669" s="17">
        <v>10180117</v>
      </c>
      <c r="AC669" s="17">
        <v>12982124</v>
      </c>
      <c r="AD669" s="17">
        <v>250000</v>
      </c>
      <c r="AE669" s="17">
        <v>250000</v>
      </c>
      <c r="AF669" s="17">
        <v>798500</v>
      </c>
      <c r="AG669" s="17">
        <v>820000</v>
      </c>
      <c r="AH669" s="16">
        <v>4.12</v>
      </c>
      <c r="AI669" s="18">
        <v>4.1100000000000003</v>
      </c>
    </row>
    <row r="670" spans="1:35" x14ac:dyDescent="0.3">
      <c r="A670" s="15"/>
      <c r="B670" s="16"/>
      <c r="C670" s="17"/>
      <c r="D670" s="17"/>
      <c r="E670" s="16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6"/>
      <c r="Q670" s="17"/>
      <c r="R670" s="17"/>
      <c r="S670" s="17"/>
      <c r="T670" s="17"/>
      <c r="U670" s="17"/>
      <c r="V670" s="17"/>
      <c r="W670" s="17"/>
      <c r="X670" s="17"/>
      <c r="Y670" s="16"/>
      <c r="Z670" s="16"/>
      <c r="AA670" s="16"/>
      <c r="AB670" s="17"/>
      <c r="AC670" s="17"/>
      <c r="AD670" s="17"/>
      <c r="AE670" s="17"/>
      <c r="AF670" s="17"/>
      <c r="AG670" s="17"/>
      <c r="AH670" s="16"/>
      <c r="AI670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PTRC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Elliott</cp:lastModifiedBy>
  <dcterms:created xsi:type="dcterms:W3CDTF">2021-05-06T16:36:18Z</dcterms:created>
  <dcterms:modified xsi:type="dcterms:W3CDTF">2021-05-14T20:42:23Z</dcterms:modified>
</cp:coreProperties>
</file>