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dora" sheetId="1" r:id="rId4"/>
    <sheet state="visible" name="Listado" sheetId="2" r:id="rId5"/>
  </sheets>
  <definedNames/>
  <calcPr/>
  <extLst>
    <ext uri="GoogleSheetsCustomDataVersion2">
      <go:sheetsCustomData xmlns:go="http://customooxmlschemas.google.com/" r:id="rId6" roundtripDataChecksum="VRG6pnGMhNiTp2S5y+Lo/OTBQsvfKhQlYBlJunnhX0o="/>
    </ext>
  </extLst>
</workbook>
</file>

<file path=xl/sharedStrings.xml><?xml version="1.0" encoding="utf-8"?>
<sst xmlns="http://schemas.openxmlformats.org/spreadsheetml/2006/main" count="44" uniqueCount="34">
  <si>
    <t>w</t>
  </si>
  <si>
    <t>CALCULADORA GENESIS  COMMUNITY V3</t>
  </si>
  <si>
    <t>PLANTILLA TUNEOS</t>
  </si>
  <si>
    <t>MODELO</t>
  </si>
  <si>
    <t>CATEGORÍA</t>
  </si>
  <si>
    <t>PRESUPUESTO</t>
  </si>
  <si>
    <t>shinobi</t>
  </si>
  <si>
    <t>MOTOR</t>
  </si>
  <si>
    <t>&lt;-- NOMBRE IC</t>
  </si>
  <si>
    <t>PERFORMANCE</t>
  </si>
  <si>
    <t>FULL TUNNING</t>
  </si>
  <si>
    <t>CUSTOM</t>
  </si>
  <si>
    <t>COSMETIC</t>
  </si>
  <si>
    <t>PINTURA CAMALEÓNICA</t>
  </si>
  <si>
    <t>MECÁNICA</t>
  </si>
  <si>
    <t>PRECIO TOTAL</t>
  </si>
  <si>
    <t>PIEZAS</t>
  </si>
  <si>
    <t>FULL</t>
  </si>
  <si>
    <t>PLANTILLA REPARACIONES</t>
  </si>
  <si>
    <t>DESCUENTO (%)</t>
  </si>
  <si>
    <t>PORCENTAJE</t>
  </si>
  <si>
    <t>NEGOCIOS</t>
  </si>
  <si>
    <t>N/A</t>
  </si>
  <si>
    <t>REPARACIÓN</t>
  </si>
  <si>
    <t xml:space="preserve"> Partes del chasis </t>
  </si>
  <si>
    <t>Partes esenciales</t>
  </si>
  <si>
    <t>Partes de servicio</t>
  </si>
  <si>
    <t>NOMBRE DEL MECÁNICO</t>
  </si>
  <si>
    <t>Matrícula</t>
  </si>
  <si>
    <t>Modelo</t>
  </si>
  <si>
    <t>Nombre</t>
  </si>
  <si>
    <t>Precio</t>
  </si>
  <si>
    <t>Categoría</t>
  </si>
  <si>
    <t>FOTOS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</si>
</sst>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25">
    <font>
      <sz val="10.0"/>
      <color rgb="FF000000"/>
      <name val="Arial"/>
      <scheme val="minor"/>
    </font>
    <font>
      <color theme="1"/>
      <name val="Arial"/>
    </font>
    <font>
      <color theme="1"/>
      <name val="Oswald"/>
    </font>
    <font>
      <b/>
      <sz val="17.0"/>
      <color rgb="FFFFFFFF"/>
      <name val="Oswald"/>
    </font>
    <font/>
    <font>
      <sz val="14.0"/>
      <color rgb="FFFFFFFF"/>
      <name val="Oswald"/>
    </font>
    <font>
      <sz val="16.0"/>
      <color rgb="FFFFFFFF"/>
      <name val="Oswald"/>
    </font>
    <font>
      <color rgb="FFFFFFFF"/>
      <name val="Oswald"/>
    </font>
    <font>
      <b/>
      <sz val="12.0"/>
      <color rgb="FFFFFFFF"/>
      <name val="Oswald"/>
    </font>
    <font>
      <sz val="14.0"/>
      <color theme="1"/>
      <name val="Oswald"/>
    </font>
    <font>
      <sz val="14.0"/>
      <color theme="1"/>
      <name val="Arial"/>
    </font>
    <font>
      <sz val="18.0"/>
      <color rgb="FFFFFFFF"/>
      <name val="Oswald"/>
    </font>
    <font>
      <sz val="17.0"/>
      <color rgb="FFFFFFFF"/>
      <name val="Oswald"/>
    </font>
    <font>
      <b/>
      <sz val="18.0"/>
      <color rgb="FFFFFFFF"/>
      <name val="Oswald"/>
    </font>
    <font>
      <sz val="15.0"/>
      <color rgb="FFFFFFFF"/>
      <name val="Oswald"/>
    </font>
    <font>
      <b/>
      <sz val="19.0"/>
      <color rgb="FFFFFFFF"/>
      <name val="Oswald"/>
    </font>
    <font>
      <b/>
      <sz val="26.0"/>
      <color rgb="FFFFFFFF"/>
      <name val="Oswald"/>
    </font>
    <font>
      <b/>
      <sz val="20.0"/>
      <color rgb="FFFFFFFF"/>
      <name val="Oswald"/>
    </font>
    <font>
      <sz val="13.0"/>
      <color rgb="FFFFFFFF"/>
      <name val="Oswald"/>
    </font>
    <font>
      <color rgb="FFFFFFFF"/>
      <name val="Arial"/>
    </font>
    <font>
      <b/>
      <sz val="20.0"/>
      <color theme="1"/>
      <name val="Calibri"/>
    </font>
    <font>
      <b/>
      <sz val="12.0"/>
      <color rgb="FF000000"/>
      <name val="Arial"/>
    </font>
    <font>
      <b/>
      <u/>
      <sz val="12.0"/>
      <color rgb="FF000000"/>
    </font>
    <font>
      <b/>
      <u/>
      <sz val="12.0"/>
      <color rgb="FF000000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</fills>
  <borders count="17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0" fillId="0" fontId="5" numFmtId="0" xfId="0" applyAlignment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/>
    </xf>
    <xf borderId="0" fillId="0" fontId="7" numFmtId="0" xfId="0" applyFont="1"/>
    <xf borderId="4" fillId="3" fontId="8" numFmtId="0" xfId="0" applyAlignment="1" applyBorder="1" applyFill="1" applyFont="1">
      <alignment vertical="bottom"/>
    </xf>
    <xf borderId="0" fillId="3" fontId="8" numFmtId="0" xfId="0" applyAlignment="1" applyFont="1">
      <alignment vertical="bottom"/>
    </xf>
    <xf borderId="5" fillId="3" fontId="8" numFmtId="0" xfId="0" applyAlignment="1" applyBorder="1" applyFont="1">
      <alignment vertical="bottom"/>
    </xf>
    <xf borderId="0" fillId="0" fontId="9" numFmtId="0" xfId="0" applyAlignment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center" wrapText="0"/>
    </xf>
    <xf borderId="0" fillId="0" fontId="9" numFmtId="0" xfId="0" applyAlignment="1" applyFont="1">
      <alignment horizontal="center" shrinkToFit="0" vertical="center" wrapText="0"/>
    </xf>
    <xf borderId="0" fillId="0" fontId="10" numFmtId="0" xfId="0" applyAlignment="1" applyFont="1">
      <alignment horizontal="center" vertical="top"/>
    </xf>
    <xf borderId="1" fillId="3" fontId="11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shrinkToFit="0" vertical="center" wrapText="0"/>
    </xf>
    <xf borderId="1" fillId="3" fontId="5" numFmtId="0" xfId="0" applyAlignment="1" applyBorder="1" applyFont="1">
      <alignment horizontal="center"/>
    </xf>
    <xf borderId="6" fillId="4" fontId="5" numFmtId="164" xfId="0" applyAlignment="1" applyBorder="1" applyFill="1" applyFont="1" applyNumberFormat="1">
      <alignment horizontal="center" shrinkToFit="0" vertical="center" wrapText="0"/>
    </xf>
    <xf borderId="1" fillId="3" fontId="5" numFmtId="164" xfId="0" applyAlignment="1" applyBorder="1" applyFont="1" applyNumberFormat="1">
      <alignment horizontal="center" shrinkToFit="0" vertical="center" wrapText="0"/>
    </xf>
    <xf borderId="1" fillId="3" fontId="5" numFmtId="0" xfId="0" applyAlignment="1" applyBorder="1" applyFont="1">
      <alignment horizontal="center" shrinkToFit="0" vertical="center" wrapText="0"/>
    </xf>
    <xf borderId="6" fillId="3" fontId="5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horizontal="center" readingOrder="0" shrinkToFit="0" vertical="center" wrapText="0"/>
    </xf>
    <xf borderId="1" fillId="4" fontId="13" numFmtId="164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horizontal="center" shrinkToFit="0" vertical="center" wrapText="0"/>
    </xf>
    <xf borderId="7" fillId="4" fontId="5" numFmtId="164" xfId="0" applyAlignment="1" applyBorder="1" applyFont="1" applyNumberFormat="1">
      <alignment horizontal="center" shrinkToFit="0" vertical="center" wrapText="0"/>
    </xf>
    <xf borderId="8" fillId="3" fontId="8" numFmtId="0" xfId="0" applyAlignment="1" applyBorder="1" applyFont="1">
      <alignment vertical="bottom"/>
    </xf>
    <xf borderId="9" fillId="3" fontId="8" numFmtId="0" xfId="0" applyAlignment="1" applyBorder="1" applyFont="1">
      <alignment vertical="bottom"/>
    </xf>
    <xf borderId="10" fillId="3" fontId="8" numFmtId="0" xfId="0" applyAlignment="1" applyBorder="1" applyFont="1">
      <alignment vertical="bottom"/>
    </xf>
    <xf borderId="6" fillId="5" fontId="5" numFmtId="0" xfId="0" applyAlignment="1" applyBorder="1" applyFill="1" applyFont="1">
      <alignment horizontal="center" vertical="center"/>
    </xf>
    <xf borderId="0" fillId="0" fontId="14" numFmtId="0" xfId="0" applyAlignment="1" applyFont="1">
      <alignment horizontal="center"/>
    </xf>
    <xf borderId="1" fillId="2" fontId="15" numFmtId="0" xfId="0" applyAlignment="1" applyBorder="1" applyFont="1">
      <alignment horizontal="center" shrinkToFit="0" vertical="center" wrapText="0"/>
    </xf>
    <xf borderId="6" fillId="3" fontId="16" numFmtId="164" xfId="0" applyAlignment="1" applyBorder="1" applyFont="1" applyNumberFormat="1">
      <alignment horizontal="center"/>
    </xf>
    <xf borderId="1" fillId="2" fontId="14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6" fillId="3" fontId="5" numFmtId="0" xfId="0" applyAlignment="1" applyBorder="1" applyFont="1">
      <alignment horizontal="center"/>
    </xf>
    <xf borderId="0" fillId="0" fontId="2" numFmtId="0" xfId="0" applyAlignment="1" applyFont="1">
      <alignment horizontal="center" shrinkToFit="0" vertical="center" wrapText="0"/>
    </xf>
    <xf borderId="11" fillId="2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" fillId="2" fontId="14" numFmtId="0" xfId="0" applyAlignment="1" applyBorder="1" applyFont="1">
      <alignment horizontal="center" vertical="bottom"/>
    </xf>
    <xf borderId="1" fillId="2" fontId="5" numFmtId="0" xfId="0" applyAlignment="1" applyBorder="1" applyFont="1">
      <alignment horizontal="center" shrinkToFit="0" vertical="center" wrapText="0"/>
    </xf>
    <xf borderId="14" fillId="3" fontId="8" numFmtId="0" xfId="0" applyBorder="1" applyFont="1"/>
    <xf borderId="15" fillId="3" fontId="8" numFmtId="0" xfId="0" applyBorder="1" applyFont="1"/>
    <xf borderId="16" fillId="3" fontId="8" numFmtId="0" xfId="0" applyBorder="1" applyFont="1"/>
    <xf borderId="6" fillId="3" fontId="5" numFmtId="0" xfId="0" applyAlignment="1" applyBorder="1" applyFont="1">
      <alignment horizontal="center" vertical="bottom"/>
    </xf>
    <xf borderId="6" fillId="4" fontId="5" numFmtId="0" xfId="0" applyAlignment="1" applyBorder="1" applyFont="1">
      <alignment horizontal="center" readingOrder="0" vertical="bottom"/>
    </xf>
    <xf borderId="0" fillId="0" fontId="1" numFmtId="0" xfId="0" applyAlignment="1" applyFont="1">
      <alignment vertical="bottom"/>
    </xf>
    <xf borderId="1" fillId="4" fontId="5" numFmtId="0" xfId="0" applyAlignment="1" applyBorder="1" applyFont="1">
      <alignment horizontal="center" readingOrder="0" shrinkToFit="0" vertical="center" wrapText="0"/>
    </xf>
    <xf borderId="4" fillId="3" fontId="8" numFmtId="0" xfId="0" applyBorder="1" applyFont="1"/>
    <xf borderId="0" fillId="3" fontId="8" numFmtId="0" xfId="0" applyFont="1"/>
    <xf borderId="5" fillId="3" fontId="8" numFmtId="0" xfId="0" applyBorder="1" applyFont="1"/>
    <xf borderId="0" fillId="0" fontId="17" numFmtId="164" xfId="0" applyAlignment="1" applyFont="1" applyNumberFormat="1">
      <alignment horizontal="center"/>
    </xf>
    <xf borderId="1" fillId="4" fontId="5" numFmtId="0" xfId="0" applyAlignment="1" applyBorder="1" applyFont="1">
      <alignment horizontal="center" shrinkToFit="0" vertical="center" wrapText="0"/>
    </xf>
    <xf borderId="0" fillId="0" fontId="7" numFmtId="0" xfId="0" applyAlignment="1" applyFont="1">
      <alignment vertical="top"/>
    </xf>
    <xf borderId="8" fillId="3" fontId="8" numFmtId="0" xfId="0" applyBorder="1" applyFont="1"/>
    <xf borderId="9" fillId="3" fontId="8" numFmtId="0" xfId="0" applyBorder="1" applyFont="1"/>
    <xf borderId="10" fillId="3" fontId="8" numFmtId="0" xfId="0" applyBorder="1" applyFont="1"/>
    <xf borderId="6" fillId="2" fontId="18" numFmtId="0" xfId="0" applyAlignment="1" applyBorder="1" applyFont="1">
      <alignment horizontal="center" shrinkToFit="0" vertical="center" wrapText="0"/>
    </xf>
    <xf borderId="0" fillId="0" fontId="18" numFmtId="0" xfId="0" applyAlignment="1" applyFont="1">
      <alignment horizontal="center" shrinkToFit="0" vertical="center" wrapText="0"/>
    </xf>
    <xf borderId="6" fillId="3" fontId="18" numFmtId="0" xfId="0" applyAlignment="1" applyBorder="1" applyFont="1">
      <alignment horizontal="center" shrinkToFit="0" vertical="center" wrapText="0"/>
    </xf>
    <xf borderId="6" fillId="4" fontId="5" numFmtId="0" xfId="0" applyAlignment="1" applyBorder="1" applyFont="1">
      <alignment horizontal="right" readingOrder="0" shrinkToFit="0" vertical="center" wrapText="0"/>
    </xf>
    <xf borderId="14" fillId="4" fontId="5" numFmtId="164" xfId="0" applyAlignment="1" applyBorder="1" applyFont="1" applyNumberFormat="1">
      <alignment horizontal="center" shrinkToFit="0" vertical="center" wrapText="0"/>
    </xf>
    <xf borderId="0" fillId="0" fontId="5" numFmtId="164" xfId="0" applyAlignment="1" applyFont="1" applyNumberFormat="1">
      <alignment horizontal="center" shrinkToFit="0" vertical="center" wrapText="0"/>
    </xf>
    <xf borderId="0" fillId="0" fontId="19" numFmtId="0" xfId="0" applyFont="1"/>
    <xf borderId="7" fillId="6" fontId="20" numFmtId="0" xfId="0" applyAlignment="1" applyBorder="1" applyFill="1" applyFont="1">
      <alignment horizontal="center" vertical="top"/>
    </xf>
    <xf borderId="6" fillId="7" fontId="21" numFmtId="0" xfId="0" applyBorder="1" applyFill="1" applyFont="1"/>
    <xf borderId="6" fillId="7" fontId="21" numFmtId="0" xfId="0" applyAlignment="1" applyBorder="1" applyFont="1">
      <alignment horizontal="center"/>
    </xf>
    <xf borderId="6" fillId="7" fontId="22" numFmtId="0" xfId="0" applyAlignment="1" applyBorder="1" applyFont="1">
      <alignment horizontal="center"/>
    </xf>
    <xf borderId="6" fillId="7" fontId="23" numFmtId="0" xfId="0" applyAlignment="1" applyBorder="1" applyFont="1">
      <alignment horizontal="center"/>
    </xf>
    <xf borderId="0" fillId="0" fontId="2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800100</xdr:colOff>
      <xdr:row>17</xdr:row>
      <xdr:rowOff>161925</xdr:rowOff>
    </xdr:from>
    <xdr:ext cx="3733800" cy="3076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fivem.net/vehicles/zion3.webp" TargetMode="External"/><Relationship Id="rId194" Type="http://schemas.openxmlformats.org/officeDocument/2006/relationships/hyperlink" Target="https://docs.fivem.net/vehicles/journey.webp" TargetMode="External"/><Relationship Id="rId193" Type="http://schemas.openxmlformats.org/officeDocument/2006/relationships/hyperlink" Target="https://docs.fivem.net/vehicles/gburrito2.webp" TargetMode="External"/><Relationship Id="rId192" Type="http://schemas.openxmlformats.org/officeDocument/2006/relationships/hyperlink" Target="https://docs.fivem.net/vehicles/bobcatxl.webp" TargetMode="External"/><Relationship Id="rId191" Type="http://schemas.openxmlformats.org/officeDocument/2006/relationships/hyperlink" Target="https://docs.fivem.net/vehicles/bison.webp" TargetMode="External"/><Relationship Id="rId187" Type="http://schemas.openxmlformats.org/officeDocument/2006/relationships/hyperlink" Target="https://docs.fivem.net/vehicles/turismo2.webp" TargetMode="External"/><Relationship Id="rId186" Type="http://schemas.openxmlformats.org/officeDocument/2006/relationships/hyperlink" Target="https://docs.fivem.net/vehicles/tornado5.webp" TargetMode="External"/><Relationship Id="rId185" Type="http://schemas.openxmlformats.org/officeDocument/2006/relationships/hyperlink" Target="https://docs.fivem.net/vehicles/tornado2.webp" TargetMode="External"/><Relationship Id="rId184" Type="http://schemas.openxmlformats.org/officeDocument/2006/relationships/hyperlink" Target="https://docs.fivem.net/vehicles/tornado.webp" TargetMode="External"/><Relationship Id="rId189" Type="http://schemas.openxmlformats.org/officeDocument/2006/relationships/hyperlink" Target="https://docs.fivem.net/vehicles/z190.webp" TargetMode="External"/><Relationship Id="rId188" Type="http://schemas.openxmlformats.org/officeDocument/2006/relationships/hyperlink" Target="https://docs.fivem.net/vehicles/viseris.webp" TargetMode="External"/><Relationship Id="rId183" Type="http://schemas.openxmlformats.org/officeDocument/2006/relationships/hyperlink" Target="https://docs.fivem.net/vehicles/torero.webp" TargetMode="External"/><Relationship Id="rId182" Type="http://schemas.openxmlformats.org/officeDocument/2006/relationships/hyperlink" Target="https://docs.fivem.net/vehicles/swinger.webp" TargetMode="External"/><Relationship Id="rId181" Type="http://schemas.openxmlformats.org/officeDocument/2006/relationships/hyperlink" Target="https://docs.fivem.net/vehicles/stingergt.webp" TargetMode="External"/><Relationship Id="rId180" Type="http://schemas.openxmlformats.org/officeDocument/2006/relationships/hyperlink" Target="https://docs.fivem.net/vehicles/stinger.webp" TargetMode="External"/><Relationship Id="rId176" Type="http://schemas.openxmlformats.org/officeDocument/2006/relationships/hyperlink" Target="https://docs.fivem.net/vehicles/rapidgt3.webp" TargetMode="External"/><Relationship Id="rId297" Type="http://schemas.openxmlformats.org/officeDocument/2006/relationships/hyperlink" Target="https://docs.fivem.net/vehicles/impaler6.webp" TargetMode="External"/><Relationship Id="rId175" Type="http://schemas.openxmlformats.org/officeDocument/2006/relationships/hyperlink" Target="https://docs.fivem.net/vehicles/pigalle.webp" TargetMode="External"/><Relationship Id="rId296" Type="http://schemas.openxmlformats.org/officeDocument/2006/relationships/hyperlink" Target="https://docs.fivem.net/vehicles/impaler4.webp" TargetMode="External"/><Relationship Id="rId174" Type="http://schemas.openxmlformats.org/officeDocument/2006/relationships/hyperlink" Target="https://docs.fivem.net/vehicles/peyote3.webp" TargetMode="External"/><Relationship Id="rId295" Type="http://schemas.openxmlformats.org/officeDocument/2006/relationships/hyperlink" Target="https://docs.fivem.net/vehicles/impaler3.webp" TargetMode="External"/><Relationship Id="rId173" Type="http://schemas.openxmlformats.org/officeDocument/2006/relationships/hyperlink" Target="https://docs.fivem.net/vehicles/peyote2.webp" TargetMode="External"/><Relationship Id="rId294" Type="http://schemas.openxmlformats.org/officeDocument/2006/relationships/hyperlink" Target="https://docs.fivem.net/vehicles/impaler2.webp" TargetMode="External"/><Relationship Id="rId179" Type="http://schemas.openxmlformats.org/officeDocument/2006/relationships/hyperlink" Target="https://docs.fivem.net/vehicles/savestra.webp" TargetMode="External"/><Relationship Id="rId178" Type="http://schemas.openxmlformats.org/officeDocument/2006/relationships/hyperlink" Target="https://docs.fivem.net/vehicles/retinue2.webp" TargetMode="External"/><Relationship Id="rId299" Type="http://schemas.openxmlformats.org/officeDocument/2006/relationships/hyperlink" Target="https://docs.fivem.net/vehicles/imperator2.webp" TargetMode="External"/><Relationship Id="rId177" Type="http://schemas.openxmlformats.org/officeDocument/2006/relationships/hyperlink" Target="https://docs.fivem.net/vehicles/retinue.webp" TargetMode="External"/><Relationship Id="rId298" Type="http://schemas.openxmlformats.org/officeDocument/2006/relationships/hyperlink" Target="https://docs.fivem.net/vehicles/imperator.webp" TargetMode="External"/><Relationship Id="rId198" Type="http://schemas.openxmlformats.org/officeDocument/2006/relationships/hyperlink" Target="https://docs.fivem.net/vehicles/sadler.webp" TargetMode="External"/><Relationship Id="rId197" Type="http://schemas.openxmlformats.org/officeDocument/2006/relationships/hyperlink" Target="https://docs.fivem.net/vehicles/rumpo3.webp" TargetMode="External"/><Relationship Id="rId196" Type="http://schemas.openxmlformats.org/officeDocument/2006/relationships/hyperlink" Target="https://docs.fivem.net/vehicles/moonbeam.webp" TargetMode="External"/><Relationship Id="rId195" Type="http://schemas.openxmlformats.org/officeDocument/2006/relationships/hyperlink" Target="https://docs.fivem.net/vehicles/journey2.webp" TargetMode="External"/><Relationship Id="rId199" Type="http://schemas.openxmlformats.org/officeDocument/2006/relationships/hyperlink" Target="https://docs.fivem.net/vehicles/surfer.webp" TargetMode="External"/><Relationship Id="rId150" Type="http://schemas.openxmlformats.org/officeDocument/2006/relationships/hyperlink" Target="https://docs.fivem.net/vehicles/vstr.webp" TargetMode="External"/><Relationship Id="rId271" Type="http://schemas.openxmlformats.org/officeDocument/2006/relationships/hyperlink" Target="https://docs.fivem.net/vehicles/dominator.webp" TargetMode="External"/><Relationship Id="rId392" Type="http://schemas.openxmlformats.org/officeDocument/2006/relationships/hyperlink" Target="https://docs.fivem.net/vehicles/s80.webp" TargetMode="External"/><Relationship Id="rId270" Type="http://schemas.openxmlformats.org/officeDocument/2006/relationships/hyperlink" Target="https://docs.fivem.net/vehicles/deviant.webp" TargetMode="External"/><Relationship Id="rId391" Type="http://schemas.openxmlformats.org/officeDocument/2006/relationships/hyperlink" Target="https://docs.fivem.net/vehicles/reaper.webp" TargetMode="External"/><Relationship Id="rId390" Type="http://schemas.openxmlformats.org/officeDocument/2006/relationships/hyperlink" Target="https://docs.fivem.net/vehicles/prototipo.webp" TargetMode="External"/><Relationship Id="rId1" Type="http://schemas.openxmlformats.org/officeDocument/2006/relationships/hyperlink" Target="https://docs.fivem.net/vehicles/bmx.webp" TargetMode="External"/><Relationship Id="rId2" Type="http://schemas.openxmlformats.org/officeDocument/2006/relationships/hyperlink" Target="https://docs.fivem.net/vehicles/cruiser.webp" TargetMode="External"/><Relationship Id="rId3" Type="http://schemas.openxmlformats.org/officeDocument/2006/relationships/hyperlink" Target="https://docs.fivem.net/vehicles/fixter.webp" TargetMode="External"/><Relationship Id="rId149" Type="http://schemas.openxmlformats.org/officeDocument/2006/relationships/hyperlink" Target="https://docs.fivem.net/vehicles/vorschlaghammer.webp" TargetMode="External"/><Relationship Id="rId4" Type="http://schemas.openxmlformats.org/officeDocument/2006/relationships/hyperlink" Target="https://docs.fivem.net/vehicles/inductor.webp" TargetMode="External"/><Relationship Id="rId148" Type="http://schemas.openxmlformats.org/officeDocument/2006/relationships/hyperlink" Target="https://docs.fivem.net/vehicles/visione.webp" TargetMode="External"/><Relationship Id="rId269" Type="http://schemas.openxmlformats.org/officeDocument/2006/relationships/hyperlink" Target="https://docs.fivem.net/vehicles/clique2.webp" TargetMode="External"/><Relationship Id="rId9" Type="http://schemas.openxmlformats.org/officeDocument/2006/relationships/hyperlink" Target="https://docs.fivem.net/vehicles/tribike3.webp" TargetMode="External"/><Relationship Id="rId143" Type="http://schemas.openxmlformats.org/officeDocument/2006/relationships/hyperlink" Target="https://docs.fivem.net/vehicles/tenf.webp" TargetMode="External"/><Relationship Id="rId264" Type="http://schemas.openxmlformats.org/officeDocument/2006/relationships/hyperlink" Target="https://docs.fivem.net/vehicles/buffalo4.webp" TargetMode="External"/><Relationship Id="rId385" Type="http://schemas.openxmlformats.org/officeDocument/2006/relationships/hyperlink" Target="https://docs.fivem.net/vehicles/nero.webp" TargetMode="External"/><Relationship Id="rId142" Type="http://schemas.openxmlformats.org/officeDocument/2006/relationships/hyperlink" Target="https://docs.fivem.net/vehicles/surano.webp" TargetMode="External"/><Relationship Id="rId263" Type="http://schemas.openxmlformats.org/officeDocument/2006/relationships/hyperlink" Target="https://docs.fivem.net/vehicles/buffalo2.webp" TargetMode="External"/><Relationship Id="rId384" Type="http://schemas.openxmlformats.org/officeDocument/2006/relationships/hyperlink" Target="https://docs.fivem.net/vehicles/lm87.webp" TargetMode="External"/><Relationship Id="rId141" Type="http://schemas.openxmlformats.org/officeDocument/2006/relationships/hyperlink" Target="https://docs.fivem.net/vehicles/sultanrs.webp" TargetMode="External"/><Relationship Id="rId262" Type="http://schemas.openxmlformats.org/officeDocument/2006/relationships/hyperlink" Target="https://docs.fivem.net/vehicles/buffalo.webp" TargetMode="External"/><Relationship Id="rId383" Type="http://schemas.openxmlformats.org/officeDocument/2006/relationships/hyperlink" Target="https://docs.fivem.net/vehicles/le7b.webp" TargetMode="External"/><Relationship Id="rId140" Type="http://schemas.openxmlformats.org/officeDocument/2006/relationships/hyperlink" Target="https://docs.fivem.net/vehicles/sultan3.webp" TargetMode="External"/><Relationship Id="rId261" Type="http://schemas.openxmlformats.org/officeDocument/2006/relationships/hyperlink" Target="https://docs.fivem.net/vehicles/buccaneer2.webp" TargetMode="External"/><Relationship Id="rId382" Type="http://schemas.openxmlformats.org/officeDocument/2006/relationships/hyperlink" Target="https://docs.fivem.net/vehicles/krieger.webp" TargetMode="External"/><Relationship Id="rId5" Type="http://schemas.openxmlformats.org/officeDocument/2006/relationships/hyperlink" Target="https://docs.fivem.net/vehicles/inductor2.webp" TargetMode="External"/><Relationship Id="rId147" Type="http://schemas.openxmlformats.org/officeDocument/2006/relationships/hyperlink" Target="https://docs.fivem.net/vehicles/verlierer2.webp" TargetMode="External"/><Relationship Id="rId268" Type="http://schemas.openxmlformats.org/officeDocument/2006/relationships/hyperlink" Target="https://docs.fivem.net/vehicles/clique.webp" TargetMode="External"/><Relationship Id="rId389" Type="http://schemas.openxmlformats.org/officeDocument/2006/relationships/hyperlink" Target="https://docs.fivem.net/vehicles/pfister811.webp" TargetMode="External"/><Relationship Id="rId6" Type="http://schemas.openxmlformats.org/officeDocument/2006/relationships/hyperlink" Target="https://docs.fivem.net/vehicles/scorcher.webp" TargetMode="External"/><Relationship Id="rId146" Type="http://schemas.openxmlformats.org/officeDocument/2006/relationships/hyperlink" Target="https://docs.fivem.net/vehicles/vectre.webp" TargetMode="External"/><Relationship Id="rId267" Type="http://schemas.openxmlformats.org/officeDocument/2006/relationships/hyperlink" Target="https://docs.fivem.net/vehicles/chino2.webp" TargetMode="External"/><Relationship Id="rId388" Type="http://schemas.openxmlformats.org/officeDocument/2006/relationships/hyperlink" Target="https://docs.fivem.net/vehicles/penetrator.webp" TargetMode="External"/><Relationship Id="rId7" Type="http://schemas.openxmlformats.org/officeDocument/2006/relationships/hyperlink" Target="https://docs.fivem.net/vehicles/tribike.webp" TargetMode="External"/><Relationship Id="rId145" Type="http://schemas.openxmlformats.org/officeDocument/2006/relationships/hyperlink" Target="https://docs.fivem.net/vehicles/tropos.webp" TargetMode="External"/><Relationship Id="rId266" Type="http://schemas.openxmlformats.org/officeDocument/2006/relationships/hyperlink" Target="https://docs.fivem.net/vehicles/chino.webp" TargetMode="External"/><Relationship Id="rId387" Type="http://schemas.openxmlformats.org/officeDocument/2006/relationships/hyperlink" Target="https://docs.fivem.net/vehicles/osiris.webp" TargetMode="External"/><Relationship Id="rId8" Type="http://schemas.openxmlformats.org/officeDocument/2006/relationships/hyperlink" Target="https://docs.fivem.net/vehicles/tribike2.webp" TargetMode="External"/><Relationship Id="rId144" Type="http://schemas.openxmlformats.org/officeDocument/2006/relationships/hyperlink" Target="https://docs.fivem.net/vehicles/tenf2.webp" TargetMode="External"/><Relationship Id="rId265" Type="http://schemas.openxmlformats.org/officeDocument/2006/relationships/hyperlink" Target="https://docs.fivem.net/vehicles/buffalo5.webp" TargetMode="External"/><Relationship Id="rId386" Type="http://schemas.openxmlformats.org/officeDocument/2006/relationships/hyperlink" Target="https://docs.fivem.net/vehicles/nero2.webp" TargetMode="External"/><Relationship Id="rId260" Type="http://schemas.openxmlformats.org/officeDocument/2006/relationships/hyperlink" Target="https://docs.fivem.net/vehicles/buccaneer.webp" TargetMode="External"/><Relationship Id="rId381" Type="http://schemas.openxmlformats.org/officeDocument/2006/relationships/hyperlink" Target="https://docs.fivem.net/vehicles/italirsx.webp" TargetMode="External"/><Relationship Id="rId380" Type="http://schemas.openxmlformats.org/officeDocument/2006/relationships/hyperlink" Target="https://docs.fivem.net/vehicles/italigtb2.webp" TargetMode="External"/><Relationship Id="rId139" Type="http://schemas.openxmlformats.org/officeDocument/2006/relationships/hyperlink" Target="https://docs.fivem.net/vehicles/sultan2.webp" TargetMode="External"/><Relationship Id="rId138" Type="http://schemas.openxmlformats.org/officeDocument/2006/relationships/hyperlink" Target="https://docs.fivem.net/vehicles/sultan.webp" TargetMode="External"/><Relationship Id="rId259" Type="http://schemas.openxmlformats.org/officeDocument/2006/relationships/hyperlink" Target="https://docs.fivem.net/vehicles/brigham.webp" TargetMode="External"/><Relationship Id="rId137" Type="http://schemas.openxmlformats.org/officeDocument/2006/relationships/hyperlink" Target="https://docs.fivem.net/vehicles/sugoi.webp" TargetMode="External"/><Relationship Id="rId258" Type="http://schemas.openxmlformats.org/officeDocument/2006/relationships/hyperlink" Target="https://docs.fivem.net/vehicles/blade.webp" TargetMode="External"/><Relationship Id="rId379" Type="http://schemas.openxmlformats.org/officeDocument/2006/relationships/hyperlink" Target="https://docs.fivem.net/vehicles/italigtb.webp" TargetMode="External"/><Relationship Id="rId132" Type="http://schemas.openxmlformats.org/officeDocument/2006/relationships/hyperlink" Target="https://docs.fivem.net/vehicles/sentinel4.webp" TargetMode="External"/><Relationship Id="rId253" Type="http://schemas.openxmlformats.org/officeDocument/2006/relationships/hyperlink" Target="https://docs.fivem.net/vehicles/vindicator.webp" TargetMode="External"/><Relationship Id="rId374" Type="http://schemas.openxmlformats.org/officeDocument/2006/relationships/hyperlink" Target="https://docs.fivem.net/vehicles/fmj.webp" TargetMode="External"/><Relationship Id="rId495" Type="http://schemas.openxmlformats.org/officeDocument/2006/relationships/hyperlink" Target="https://docs.fivem.net/vehicles/g4m82touring.webp" TargetMode="External"/><Relationship Id="rId131" Type="http://schemas.openxmlformats.org/officeDocument/2006/relationships/hyperlink" Target="https://docs.fivem.net/vehicles/schwarzer.webp" TargetMode="External"/><Relationship Id="rId252" Type="http://schemas.openxmlformats.org/officeDocument/2006/relationships/hyperlink" Target="https://docs.fivem.net/vehicles/vader.webp" TargetMode="External"/><Relationship Id="rId373" Type="http://schemas.openxmlformats.org/officeDocument/2006/relationships/hyperlink" Target="https://docs.fivem.net/vehicles/entityxf.webp" TargetMode="External"/><Relationship Id="rId494" Type="http://schemas.openxmlformats.org/officeDocument/2006/relationships/hyperlink" Target="https://docs.fivem.net/vehicles/g4m82.webp" TargetMode="External"/><Relationship Id="rId130" Type="http://schemas.openxmlformats.org/officeDocument/2006/relationships/hyperlink" Target="https://docs.fivem.net/vehicles/schlagen.webp" TargetMode="External"/><Relationship Id="rId251" Type="http://schemas.openxmlformats.org/officeDocument/2006/relationships/hyperlink" Target="https://docs.fivem.net/vehicles/thrust.webp" TargetMode="External"/><Relationship Id="rId372" Type="http://schemas.openxmlformats.org/officeDocument/2006/relationships/hyperlink" Target="https://docs.fivem.net/vehicles/entity3.webp" TargetMode="External"/><Relationship Id="rId493" Type="http://schemas.openxmlformats.org/officeDocument/2006/relationships/hyperlink" Target="https://docs.fivem.net/vehicles/evocometwoc.webp" TargetMode="External"/><Relationship Id="rId250" Type="http://schemas.openxmlformats.org/officeDocument/2006/relationships/hyperlink" Target="https://docs.fivem.net/vehicles/stryder.webp" TargetMode="External"/><Relationship Id="rId371" Type="http://schemas.openxmlformats.org/officeDocument/2006/relationships/hyperlink" Target="https://docs.fivem.net/vehicles/entity2.webp" TargetMode="External"/><Relationship Id="rId492" Type="http://schemas.openxmlformats.org/officeDocument/2006/relationships/hyperlink" Target="https://docs.fivem.net/vehicles/dc500l.webp" TargetMode="External"/><Relationship Id="rId136" Type="http://schemas.openxmlformats.org/officeDocument/2006/relationships/hyperlink" Target="https://docs.fivem.net/vehicles/streiter.webp" TargetMode="External"/><Relationship Id="rId257" Type="http://schemas.openxmlformats.org/officeDocument/2006/relationships/hyperlink" Target="https://docs.fivem.net/vehicles/zombieb.webp" TargetMode="External"/><Relationship Id="rId378" Type="http://schemas.openxmlformats.org/officeDocument/2006/relationships/hyperlink" Target="https://docs.fivem.net/vehicles/infernus.webp" TargetMode="External"/><Relationship Id="rId499" Type="http://schemas.openxmlformats.org/officeDocument/2006/relationships/hyperlink" Target="https://docs.fivem.net/vehicles/gbcometcl.webp" TargetMode="External"/><Relationship Id="rId135" Type="http://schemas.openxmlformats.org/officeDocument/2006/relationships/hyperlink" Target="https://docs.fivem.net/vehicles/specter.webp" TargetMode="External"/><Relationship Id="rId256" Type="http://schemas.openxmlformats.org/officeDocument/2006/relationships/hyperlink" Target="https://docs.fivem.net/vehicles/zombiea.webp" TargetMode="External"/><Relationship Id="rId377" Type="http://schemas.openxmlformats.org/officeDocument/2006/relationships/hyperlink" Target="https://docs.fivem.net/vehicles/ignus.webp" TargetMode="External"/><Relationship Id="rId498" Type="http://schemas.openxmlformats.org/officeDocument/2006/relationships/hyperlink" Target="https://docs.fivem.net/vehicles/gbclubxr.webp" TargetMode="External"/><Relationship Id="rId134" Type="http://schemas.openxmlformats.org/officeDocument/2006/relationships/hyperlink" Target="https://docs.fivem.net/vehicles/sm722.webp" TargetMode="External"/><Relationship Id="rId255" Type="http://schemas.openxmlformats.org/officeDocument/2006/relationships/hyperlink" Target="https://docs.fivem.net/vehicles/wolfsbane.webp" TargetMode="External"/><Relationship Id="rId376" Type="http://schemas.openxmlformats.org/officeDocument/2006/relationships/hyperlink" Target="https://docs.fivem.net/vehicles/gp1.webp" TargetMode="External"/><Relationship Id="rId497" Type="http://schemas.openxmlformats.org/officeDocument/2006/relationships/hyperlink" Target="https://docs.fivem.net/vehicles/gbbisonhf.webp" TargetMode="External"/><Relationship Id="rId133" Type="http://schemas.openxmlformats.org/officeDocument/2006/relationships/hyperlink" Target="https://docs.fivem.net/vehicles/seven70.webp" TargetMode="External"/><Relationship Id="rId254" Type="http://schemas.openxmlformats.org/officeDocument/2006/relationships/hyperlink" Target="https://docs.fivem.net/vehicles/vortex.webp" TargetMode="External"/><Relationship Id="rId375" Type="http://schemas.openxmlformats.org/officeDocument/2006/relationships/hyperlink" Target="https://docs.fivem.net/vehicles/furia.webp" TargetMode="External"/><Relationship Id="rId496" Type="http://schemas.openxmlformats.org/officeDocument/2006/relationships/hyperlink" Target="https://docs.fivem.net/vehicles/gbbanshees.webp" TargetMode="External"/><Relationship Id="rId172" Type="http://schemas.openxmlformats.org/officeDocument/2006/relationships/hyperlink" Target="https://docs.fivem.net/vehicles/peyote.webp" TargetMode="External"/><Relationship Id="rId293" Type="http://schemas.openxmlformats.org/officeDocument/2006/relationships/hyperlink" Target="https://docs.fivem.net/vehicles/impaler.webp" TargetMode="External"/><Relationship Id="rId171" Type="http://schemas.openxmlformats.org/officeDocument/2006/relationships/hyperlink" Target="https://docs.fivem.net/vehicles/nebula.webp" TargetMode="External"/><Relationship Id="rId292" Type="http://schemas.openxmlformats.org/officeDocument/2006/relationships/hyperlink" Target="https://docs.fivem.net/vehicles/hustler.webp" TargetMode="External"/><Relationship Id="rId170" Type="http://schemas.openxmlformats.org/officeDocument/2006/relationships/hyperlink" Target="https://docs.fivem.net/vehicles/monroe.webp" TargetMode="External"/><Relationship Id="rId291" Type="http://schemas.openxmlformats.org/officeDocument/2006/relationships/hyperlink" Target="https://docs.fivem.net/vehicles/hotknife.webp" TargetMode="External"/><Relationship Id="rId290" Type="http://schemas.openxmlformats.org/officeDocument/2006/relationships/hyperlink" Target="https://docs.fivem.net/vehicles/hermes.webp" TargetMode="External"/><Relationship Id="rId165" Type="http://schemas.openxmlformats.org/officeDocument/2006/relationships/hyperlink" Target="https://docs.fivem.net/vehicles/gt500.webp" TargetMode="External"/><Relationship Id="rId286" Type="http://schemas.openxmlformats.org/officeDocument/2006/relationships/hyperlink" Target="https://docs.fivem.net/vehicles/gauntlet3.webp" TargetMode="External"/><Relationship Id="rId164" Type="http://schemas.openxmlformats.org/officeDocument/2006/relationships/hyperlink" Target="https://docs.fivem.net/vehicles/feltzer3.webp" TargetMode="External"/><Relationship Id="rId285" Type="http://schemas.openxmlformats.org/officeDocument/2006/relationships/hyperlink" Target="https://docs.fivem.net/vehicles/gauntlet2.webp" TargetMode="External"/><Relationship Id="rId163" Type="http://schemas.openxmlformats.org/officeDocument/2006/relationships/hyperlink" Target="https://docs.fivem.net/vehicles/fagaloa.webp" TargetMode="External"/><Relationship Id="rId284" Type="http://schemas.openxmlformats.org/officeDocument/2006/relationships/hyperlink" Target="https://docs.fivem.net/vehicles/gauntlet.webp" TargetMode="External"/><Relationship Id="rId162" Type="http://schemas.openxmlformats.org/officeDocument/2006/relationships/hyperlink" Target="https://docs.fivem.net/vehicles/envisage.webp" TargetMode="External"/><Relationship Id="rId283" Type="http://schemas.openxmlformats.org/officeDocument/2006/relationships/hyperlink" Target="https://docs.fivem.net/vehicles/faction3.webp" TargetMode="External"/><Relationship Id="rId169" Type="http://schemas.openxmlformats.org/officeDocument/2006/relationships/hyperlink" Target="https://docs.fivem.net/vehicles/michelli.webp" TargetMode="External"/><Relationship Id="rId168" Type="http://schemas.openxmlformats.org/officeDocument/2006/relationships/hyperlink" Target="https://docs.fivem.net/vehicles/mamba.webp" TargetMode="External"/><Relationship Id="rId289" Type="http://schemas.openxmlformats.org/officeDocument/2006/relationships/hyperlink" Target="https://docs.fivem.net/vehicles/greenwood.webp" TargetMode="External"/><Relationship Id="rId167" Type="http://schemas.openxmlformats.org/officeDocument/2006/relationships/hyperlink" Target="https://docs.fivem.net/vehicles/jb7002.webp" TargetMode="External"/><Relationship Id="rId288" Type="http://schemas.openxmlformats.org/officeDocument/2006/relationships/hyperlink" Target="https://docs.fivem.net/vehicles/gauntlet5.webp" TargetMode="External"/><Relationship Id="rId166" Type="http://schemas.openxmlformats.org/officeDocument/2006/relationships/hyperlink" Target="https://docs.fivem.net/vehicles/infernus2.webp" TargetMode="External"/><Relationship Id="rId287" Type="http://schemas.openxmlformats.org/officeDocument/2006/relationships/hyperlink" Target="https://docs.fivem.net/vehicles/gauntlet4.webp" TargetMode="External"/><Relationship Id="rId161" Type="http://schemas.openxmlformats.org/officeDocument/2006/relationships/hyperlink" Target="https://docs.fivem.net/vehicles/dynasty.webp" TargetMode="External"/><Relationship Id="rId282" Type="http://schemas.openxmlformats.org/officeDocument/2006/relationships/hyperlink" Target="https://docs.fivem.net/vehicles/faction2.webp" TargetMode="External"/><Relationship Id="rId160" Type="http://schemas.openxmlformats.org/officeDocument/2006/relationships/hyperlink" Target="https://docs.fivem.net/vehicles/driftnebula.webp" TargetMode="External"/><Relationship Id="rId281" Type="http://schemas.openxmlformats.org/officeDocument/2006/relationships/hyperlink" Target="https://docs.fivem.net/vehicles/faction.webp" TargetMode="External"/><Relationship Id="rId280" Type="http://schemas.openxmlformats.org/officeDocument/2006/relationships/hyperlink" Target="https://docs.fivem.net/vehicles/ellie.webp" TargetMode="External"/><Relationship Id="rId159" Type="http://schemas.openxmlformats.org/officeDocument/2006/relationships/hyperlink" Target="https://docs.fivem.net/vehicles/coquette3.webp" TargetMode="External"/><Relationship Id="rId154" Type="http://schemas.openxmlformats.org/officeDocument/2006/relationships/hyperlink" Target="https://docs.fivem.net/vehicles/btype2.webp" TargetMode="External"/><Relationship Id="rId275" Type="http://schemas.openxmlformats.org/officeDocument/2006/relationships/hyperlink" Target="https://docs.fivem.net/vehicles/dominator7.webp" TargetMode="External"/><Relationship Id="rId396" Type="http://schemas.openxmlformats.org/officeDocument/2006/relationships/hyperlink" Target="https://docs.fivem.net/vehicles/t20.webp" TargetMode="External"/><Relationship Id="rId153" Type="http://schemas.openxmlformats.org/officeDocument/2006/relationships/hyperlink" Target="https://docs.fivem.net/vehicles/btype.webp" TargetMode="External"/><Relationship Id="rId274" Type="http://schemas.openxmlformats.org/officeDocument/2006/relationships/hyperlink" Target="https://s2.ezgif.com/tmp/ezgif-2f6de6a1563b402c.webp" TargetMode="External"/><Relationship Id="rId395" Type="http://schemas.openxmlformats.org/officeDocument/2006/relationships/hyperlink" Target="https://docs.fivem.net/vehicles/stingertt.webp" TargetMode="External"/><Relationship Id="rId152" Type="http://schemas.openxmlformats.org/officeDocument/2006/relationships/hyperlink" Target="https://docs.fivem.net/vehicles/btype.webp" TargetMode="External"/><Relationship Id="rId273" Type="http://schemas.openxmlformats.org/officeDocument/2006/relationships/hyperlink" Target="https://docs.fivem.net/vehicles/dominator3.webp" TargetMode="External"/><Relationship Id="rId394" Type="http://schemas.openxmlformats.org/officeDocument/2006/relationships/hyperlink" Target="https://docs.fivem.net/vehicles/sheava.webp" TargetMode="External"/><Relationship Id="rId151" Type="http://schemas.openxmlformats.org/officeDocument/2006/relationships/hyperlink" Target="https://docs.fivem.net/vehicles/zr350.webp" TargetMode="External"/><Relationship Id="rId272" Type="http://schemas.openxmlformats.org/officeDocument/2006/relationships/hyperlink" Target="https://docs.fivem.net/vehicles/dominator2.webp" TargetMode="External"/><Relationship Id="rId393" Type="http://schemas.openxmlformats.org/officeDocument/2006/relationships/hyperlink" Target="https://docs.fivem.net/vehicles/sc1.webp" TargetMode="External"/><Relationship Id="rId158" Type="http://schemas.openxmlformats.org/officeDocument/2006/relationships/hyperlink" Target="https://docs.fivem.net/vehicles/coquette2.webp" TargetMode="External"/><Relationship Id="rId279" Type="http://schemas.openxmlformats.org/officeDocument/2006/relationships/hyperlink" Target="https://docs.fivem.net/vehicles/dukes3.webp" TargetMode="External"/><Relationship Id="rId157" Type="http://schemas.openxmlformats.org/officeDocument/2006/relationships/hyperlink" Target="https://docs.fivem.net/vehicles/cheburek.webp" TargetMode="External"/><Relationship Id="rId278" Type="http://schemas.openxmlformats.org/officeDocument/2006/relationships/hyperlink" Target="https://docs.fivem.net/vehicles/dukes.webp" TargetMode="External"/><Relationship Id="rId399" Type="http://schemas.openxmlformats.org/officeDocument/2006/relationships/hyperlink" Target="https://docs.fivem.net/vehicles/tezeract.webp" TargetMode="External"/><Relationship Id="rId156" Type="http://schemas.openxmlformats.org/officeDocument/2006/relationships/hyperlink" Target="https://docs.fivem.net/vehicles/casco.webp" TargetMode="External"/><Relationship Id="rId277" Type="http://schemas.openxmlformats.org/officeDocument/2006/relationships/hyperlink" Target="https://docs.fivem.net/vehicles/dominator9.webp" TargetMode="External"/><Relationship Id="rId398" Type="http://schemas.openxmlformats.org/officeDocument/2006/relationships/hyperlink" Target="https://docs.fivem.net/vehicles/tempesta.webp" TargetMode="External"/><Relationship Id="rId155" Type="http://schemas.openxmlformats.org/officeDocument/2006/relationships/hyperlink" Target="https://docs.fivem.net/vehicles/btype3.webp" TargetMode="External"/><Relationship Id="rId276" Type="http://schemas.openxmlformats.org/officeDocument/2006/relationships/hyperlink" Target="https://docs.fivem.net/vehicles/dominator8.webp" TargetMode="External"/><Relationship Id="rId397" Type="http://schemas.openxmlformats.org/officeDocument/2006/relationships/hyperlink" Target="https://docs.fivem.net/vehicles/taipan.webp" TargetMode="External"/><Relationship Id="rId40" Type="http://schemas.openxmlformats.org/officeDocument/2006/relationships/hyperlink" Target="https://docs.fivem.net/vehicles/f620.webp" TargetMode="External"/><Relationship Id="rId42" Type="http://schemas.openxmlformats.org/officeDocument/2006/relationships/hyperlink" Target="https://docs.fivem.net/vehicles/felon2.webp" TargetMode="External"/><Relationship Id="rId41" Type="http://schemas.openxmlformats.org/officeDocument/2006/relationships/hyperlink" Target="https://docs.fivem.net/vehicles/felon.webp" TargetMode="External"/><Relationship Id="rId44" Type="http://schemas.openxmlformats.org/officeDocument/2006/relationships/hyperlink" Target="https://docs.fivem.net/vehicles/futo.webp" TargetMode="External"/><Relationship Id="rId43" Type="http://schemas.openxmlformats.org/officeDocument/2006/relationships/hyperlink" Target="https://docs.fivem.net/vehicles/fr36.webp" TargetMode="External"/><Relationship Id="rId46" Type="http://schemas.openxmlformats.org/officeDocument/2006/relationships/hyperlink" Target="https://docs.fivem.net/vehicles/kanjosj.webp" TargetMode="External"/><Relationship Id="rId45" Type="http://schemas.openxmlformats.org/officeDocument/2006/relationships/hyperlink" Target="https://docs.fivem.net/vehicles/jackal.webp" TargetMode="External"/><Relationship Id="rId509" Type="http://schemas.openxmlformats.org/officeDocument/2006/relationships/hyperlink" Target="https://docs.fivem.net/vehicles/gbharmann.webp" TargetMode="External"/><Relationship Id="rId508" Type="http://schemas.openxmlformats.org/officeDocument/2006/relationships/hyperlink" Target="https://docs.fivem.net/vehicles/gbhades.webp" TargetMode="External"/><Relationship Id="rId503" Type="http://schemas.openxmlformats.org/officeDocument/2006/relationships/hyperlink" Target="https://docs.fivem.net/vehicles/gbdominatorgsx.webp" TargetMode="External"/><Relationship Id="rId502" Type="http://schemas.openxmlformats.org/officeDocument/2006/relationships/hyperlink" Target="https://docs.fivem.net/vehicles/gbcomets2rc.webp" TargetMode="External"/><Relationship Id="rId501" Type="http://schemas.openxmlformats.org/officeDocument/2006/relationships/hyperlink" Target="https://docs.fivem.net/vehicles/gbcomets2r.webp" TargetMode="External"/><Relationship Id="rId500" Type="http://schemas.openxmlformats.org/officeDocument/2006/relationships/hyperlink" Target="https://docs.fivem.net/vehicles/gbcomets1t.webp" TargetMode="External"/><Relationship Id="rId507" Type="http://schemas.openxmlformats.org/officeDocument/2006/relationships/hyperlink" Target="https://docs.fivem.net/vehicles/gbgresleystx.webp" TargetMode="External"/><Relationship Id="rId506" Type="http://schemas.openxmlformats.org/officeDocument/2006/relationships/hyperlink" Target="https://docs.fivem.net/vehicles/gbesperta.webp" TargetMode="External"/><Relationship Id="rId505" Type="http://schemas.openxmlformats.org/officeDocument/2006/relationships/hyperlink" Target="https://docs.fivem.net/vehicles/gbeon.webp" TargetMode="External"/><Relationship Id="rId504" Type="http://schemas.openxmlformats.org/officeDocument/2006/relationships/hyperlink" Target="https://docs.fivem.net/vehicles/gbemerussb1.webp" TargetMode="External"/><Relationship Id="rId48" Type="http://schemas.openxmlformats.org/officeDocument/2006/relationships/hyperlink" Target="https://docs.fivem.net/vehicles/postlude.webp" TargetMode="External"/><Relationship Id="rId47" Type="http://schemas.openxmlformats.org/officeDocument/2006/relationships/hyperlink" Target="https://docs.fivem.net/vehicles/oracle2.webp" TargetMode="External"/><Relationship Id="rId49" Type="http://schemas.openxmlformats.org/officeDocument/2006/relationships/hyperlink" Target="https://docs.fivem.net/vehicles/previon.webp" TargetMode="External"/><Relationship Id="rId31" Type="http://schemas.openxmlformats.org/officeDocument/2006/relationships/hyperlink" Target="https://docs.fivem.net/vehicles/panto.webp" TargetMode="External"/><Relationship Id="rId30" Type="http://schemas.openxmlformats.org/officeDocument/2006/relationships/hyperlink" Target="https://docs.fivem.net/vehicles/kanjo.webp" TargetMode="External"/><Relationship Id="rId33" Type="http://schemas.openxmlformats.org/officeDocument/2006/relationships/hyperlink" Target="https://docs.fivem.net/vehicles/rhapsody.webp" TargetMode="External"/><Relationship Id="rId32" Type="http://schemas.openxmlformats.org/officeDocument/2006/relationships/hyperlink" Target="https://docs.fivem.net/vehicles/prairie.webp" TargetMode="External"/><Relationship Id="rId35" Type="http://schemas.openxmlformats.org/officeDocument/2006/relationships/hyperlink" Target="https://docs.fivem.net/vehicles/broadway.webp" TargetMode="External"/><Relationship Id="rId34" Type="http://schemas.openxmlformats.org/officeDocument/2006/relationships/hyperlink" Target="https://docs.fivem.net/vehicles/weevil.webp" TargetMode="External"/><Relationship Id="rId37" Type="http://schemas.openxmlformats.org/officeDocument/2006/relationships/hyperlink" Target="https://docs.fivem.net/vehicles/cogcabrio.webp" TargetMode="External"/><Relationship Id="rId36" Type="http://schemas.openxmlformats.org/officeDocument/2006/relationships/hyperlink" Target="https://docs.fivem.net/vehicles/champion.webp" TargetMode="External"/><Relationship Id="rId39" Type="http://schemas.openxmlformats.org/officeDocument/2006/relationships/hyperlink" Target="https://docs.fivem.net/vehicles/exemplar.webp" TargetMode="External"/><Relationship Id="rId38" Type="http://schemas.openxmlformats.org/officeDocument/2006/relationships/hyperlink" Target="https://docs.fivem.net/vehicles/cognoscenti.webp" TargetMode="External"/><Relationship Id="rId20" Type="http://schemas.openxmlformats.org/officeDocument/2006/relationships/hyperlink" Target="https://docs.fivem.net/vehicles/brioso2.webp" TargetMode="External"/><Relationship Id="rId22" Type="http://schemas.openxmlformats.org/officeDocument/2006/relationships/hyperlink" Target="https://docs.fivem.net/vehicles/dilettante.webp" TargetMode="External"/><Relationship Id="rId21" Type="http://schemas.openxmlformats.org/officeDocument/2006/relationships/hyperlink" Target="https://docs.fivem.net/vehicles/club.webp" TargetMode="External"/><Relationship Id="rId24" Type="http://schemas.openxmlformats.org/officeDocument/2006/relationships/hyperlink" Target="https://docs.fivem.net/vehicles/issi3.webp" TargetMode="External"/><Relationship Id="rId23" Type="http://schemas.openxmlformats.org/officeDocument/2006/relationships/hyperlink" Target="https://docs.fivem.net/vehicles/issi2.webp" TargetMode="External"/><Relationship Id="rId409" Type="http://schemas.openxmlformats.org/officeDocument/2006/relationships/hyperlink" Target="https://docs.fivem.net/vehicles/virtue.webp" TargetMode="External"/><Relationship Id="rId404" Type="http://schemas.openxmlformats.org/officeDocument/2006/relationships/hyperlink" Target="https://docs.fivem.net/vehicles/turismor.webp" TargetMode="External"/><Relationship Id="rId525" Type="http://schemas.openxmlformats.org/officeDocument/2006/relationships/hyperlink" Target="https://docs.fivem.net/vehicles/gbschlagensp.webp" TargetMode="External"/><Relationship Id="rId403" Type="http://schemas.openxmlformats.org/officeDocument/2006/relationships/hyperlink" Target="https://docs.fivem.net/vehicles/turismo3.webp" TargetMode="External"/><Relationship Id="rId524" Type="http://schemas.openxmlformats.org/officeDocument/2006/relationships/hyperlink" Target="https://docs.fivem.net/vehicles/gbschlagenr.webp" TargetMode="External"/><Relationship Id="rId402" Type="http://schemas.openxmlformats.org/officeDocument/2006/relationships/hyperlink" Target="https://docs.fivem.net/vehicles/torero2.webp" TargetMode="External"/><Relationship Id="rId523" Type="http://schemas.openxmlformats.org/officeDocument/2006/relationships/hyperlink" Target="https://docs.fivem.net/vehicles/gbsapphire.webp" TargetMode="External"/><Relationship Id="rId401" Type="http://schemas.openxmlformats.org/officeDocument/2006/relationships/hyperlink" Target="https://docs.fivem.net/vehicles/tigon.webp" TargetMode="External"/><Relationship Id="rId522" Type="http://schemas.openxmlformats.org/officeDocument/2006/relationships/hyperlink" Target="https://docs.fivem.net/vehicles/gbronin.webp" TargetMode="External"/><Relationship Id="rId408" Type="http://schemas.openxmlformats.org/officeDocument/2006/relationships/hyperlink" Target="https://docs.fivem.net/vehicles/vagner.webp" TargetMode="External"/><Relationship Id="rId529" Type="http://schemas.openxmlformats.org/officeDocument/2006/relationships/hyperlink" Target="https://docs.fivem.net/vehicles/gbsidewinder.webp" TargetMode="External"/><Relationship Id="rId407" Type="http://schemas.openxmlformats.org/officeDocument/2006/relationships/hyperlink" Target="https://docs.fivem.net/vehicles/vacca.webp" TargetMode="External"/><Relationship Id="rId528" Type="http://schemas.openxmlformats.org/officeDocument/2006/relationships/hyperlink" Target="https://docs.fivem.net/vehicles/gbsentinelgts.webp" TargetMode="External"/><Relationship Id="rId406" Type="http://schemas.openxmlformats.org/officeDocument/2006/relationships/hyperlink" Target="https://docs.fivem.net/vehicles/tyrus.webp" TargetMode="External"/><Relationship Id="rId527" Type="http://schemas.openxmlformats.org/officeDocument/2006/relationships/hyperlink" Target="https://docs.fivem.net/vehicles/gbschwartzers.webp" TargetMode="External"/><Relationship Id="rId405" Type="http://schemas.openxmlformats.org/officeDocument/2006/relationships/hyperlink" Target="https://docs.fivem.net/vehicles/tyrant.webp" TargetMode="External"/><Relationship Id="rId526" Type="http://schemas.openxmlformats.org/officeDocument/2006/relationships/hyperlink" Target="https://docs.fivem.net/vehicles/gbschrauber.webp" TargetMode="External"/><Relationship Id="rId26" Type="http://schemas.openxmlformats.org/officeDocument/2006/relationships/hyperlink" Target="https://docs.fivem.net/vehicles/issi5.webp" TargetMode="External"/><Relationship Id="rId25" Type="http://schemas.openxmlformats.org/officeDocument/2006/relationships/hyperlink" Target="https://docs.fivem.net/vehicles/issi4.webp" TargetMode="External"/><Relationship Id="rId28" Type="http://schemas.openxmlformats.org/officeDocument/2006/relationships/hyperlink" Target="https://docs.fivem.net/vehicles/issi7.webp" TargetMode="External"/><Relationship Id="rId27" Type="http://schemas.openxmlformats.org/officeDocument/2006/relationships/hyperlink" Target="https://docs.fivem.net/vehicles/issi6.webp" TargetMode="External"/><Relationship Id="rId400" Type="http://schemas.openxmlformats.org/officeDocument/2006/relationships/hyperlink" Target="https://docs.fivem.net/vehicles/thrax.webp" TargetMode="External"/><Relationship Id="rId521" Type="http://schemas.openxmlformats.org/officeDocument/2006/relationships/hyperlink" Target="https://docs.fivem.net/vehicles/gbraidillon.webp" TargetMode="External"/><Relationship Id="rId29" Type="http://schemas.openxmlformats.org/officeDocument/2006/relationships/hyperlink" Target="https://docs.fivem.net/vehicles/issi8.webp" TargetMode="External"/><Relationship Id="rId520" Type="http://schemas.openxmlformats.org/officeDocument/2006/relationships/hyperlink" Target="https://docs.fivem.net/vehicles/gbprospero.webp" TargetMode="External"/><Relationship Id="rId11" Type="http://schemas.openxmlformats.org/officeDocument/2006/relationships/hyperlink" Target="https://docs.fivem.net/vehicles/formula2.webp" TargetMode="External"/><Relationship Id="rId10" Type="http://schemas.openxmlformats.org/officeDocument/2006/relationships/hyperlink" Target="https://docs.fivem.net/vehicles/formula.webp" TargetMode="External"/><Relationship Id="rId13" Type="http://schemas.openxmlformats.org/officeDocument/2006/relationships/hyperlink" Target="https://docs.fivem.net/vehicles/openwheel2.webp" TargetMode="External"/><Relationship Id="rId12" Type="http://schemas.openxmlformats.org/officeDocument/2006/relationships/hyperlink" Target="https://docs.fivem.net/vehicles/openwheel1.webp" TargetMode="External"/><Relationship Id="rId519" Type="http://schemas.openxmlformats.org/officeDocument/2006/relationships/hyperlink" Target="https://docs.fivem.net/vehicles/gbnexusrr.webp" TargetMode="External"/><Relationship Id="rId514" Type="http://schemas.openxmlformats.org/officeDocument/2006/relationships/hyperlink" Target="https://docs.fivem.net/vehicles/gblod4.webp" TargetMode="External"/><Relationship Id="rId513" Type="http://schemas.openxmlformats.org/officeDocument/2006/relationships/hyperlink" Target="https://docs.fivem.net/vehicles/gbkomodagt.webp" TargetMode="External"/><Relationship Id="rId512" Type="http://schemas.openxmlformats.org/officeDocument/2006/relationships/hyperlink" Target="https://docs.fivem.net/vehicles/gbissimetro.webp" TargetMode="External"/><Relationship Id="rId511" Type="http://schemas.openxmlformats.org/officeDocument/2006/relationships/hyperlink" Target="https://docs.fivem.net/vehicles/gbirisz.webp" TargetMode="External"/><Relationship Id="rId518" Type="http://schemas.openxmlformats.org/officeDocument/2006/relationships/hyperlink" Target="https://docs.fivem.net/vehicles/gbneonct.webp" TargetMode="External"/><Relationship Id="rId517" Type="http://schemas.openxmlformats.org/officeDocument/2006/relationships/hyperlink" Target="https://docs.fivem.net/vehicles/gbmojave.webp" TargetMode="External"/><Relationship Id="rId516" Type="http://schemas.openxmlformats.org/officeDocument/2006/relationships/hyperlink" Target="https://docs.fivem.net/vehicles/gbmogulrs.webp" TargetMode="External"/><Relationship Id="rId515" Type="http://schemas.openxmlformats.org/officeDocument/2006/relationships/hyperlink" Target="https://docs.fivem.net/vehicles/gbmilano.webp" TargetMode="External"/><Relationship Id="rId15" Type="http://schemas.openxmlformats.org/officeDocument/2006/relationships/hyperlink" Target="https://docs.fivem.net/vehicles/powersurge.webp" TargetMode="External"/><Relationship Id="rId14" Type="http://schemas.openxmlformats.org/officeDocument/2006/relationships/hyperlink" Target="https://docs.fivem.net/vehicles/asbo.webp" TargetMode="External"/><Relationship Id="rId17" Type="http://schemas.openxmlformats.org/officeDocument/2006/relationships/hyperlink" Target="https://docs.fivem.net/vehicles/blista3.webp" TargetMode="External"/><Relationship Id="rId16" Type="http://schemas.openxmlformats.org/officeDocument/2006/relationships/hyperlink" Target="https://docs.fivem.net/vehicles/blista2.webp" TargetMode="External"/><Relationship Id="rId19" Type="http://schemas.openxmlformats.org/officeDocument/2006/relationships/hyperlink" Target="https://docs.fivem.net/vehicles/lectro.webp" TargetMode="External"/><Relationship Id="rId510" Type="http://schemas.openxmlformats.org/officeDocument/2006/relationships/hyperlink" Target="https://docs.fivem.net/vehicles/gbimpaler.webp" TargetMode="External"/><Relationship Id="rId18" Type="http://schemas.openxmlformats.org/officeDocument/2006/relationships/hyperlink" Target="https://docs.fivem.net/vehicles/boor.webp" TargetMode="External"/><Relationship Id="rId84" Type="http://schemas.openxmlformats.org/officeDocument/2006/relationships/hyperlink" Target="https://docs.fivem.net/vehicles/everon2.webp" TargetMode="External"/><Relationship Id="rId83" Type="http://schemas.openxmlformats.org/officeDocument/2006/relationships/hyperlink" Target="https://docs.fivem.net/vehicles/eurosx32.webp" TargetMode="External"/><Relationship Id="rId86" Type="http://schemas.openxmlformats.org/officeDocument/2006/relationships/hyperlink" Target="https://docs.fivem.net/vehicles/flashgt.webp" TargetMode="External"/><Relationship Id="rId85" Type="http://schemas.openxmlformats.org/officeDocument/2006/relationships/hyperlink" Target="https://docs.fivem.net/vehicles/feltzer2.webp" TargetMode="External"/><Relationship Id="rId88" Type="http://schemas.openxmlformats.org/officeDocument/2006/relationships/hyperlink" Target="https://docs.fivem.net/vehicles/futo2.webp" TargetMode="External"/><Relationship Id="rId87" Type="http://schemas.openxmlformats.org/officeDocument/2006/relationships/hyperlink" Target="https://docs.fivem.net/vehicles/furoregt.webp" TargetMode="External"/><Relationship Id="rId89" Type="http://schemas.openxmlformats.org/officeDocument/2006/relationships/hyperlink" Target="https://docs.fivem.net/vehicles/gauntlet6.webp" TargetMode="External"/><Relationship Id="rId80" Type="http://schemas.openxmlformats.org/officeDocument/2006/relationships/hyperlink" Target="https://docs.fivem.net/vehicles/elegy.webp" TargetMode="External"/><Relationship Id="rId82" Type="http://schemas.openxmlformats.org/officeDocument/2006/relationships/hyperlink" Target="https://docs.fivem.net/vehicles/euros.webp" TargetMode="External"/><Relationship Id="rId81" Type="http://schemas.openxmlformats.org/officeDocument/2006/relationships/hyperlink" Target="https://docs.fivem.net/vehicles/elegy2.webp" TargetMode="External"/><Relationship Id="rId73" Type="http://schemas.openxmlformats.org/officeDocument/2006/relationships/hyperlink" Target="https://docs.fivem.net/vehicles/corsita.webp" TargetMode="External"/><Relationship Id="rId72" Type="http://schemas.openxmlformats.org/officeDocument/2006/relationships/hyperlink" Target="https://docs.fivem.net/vehicles/coquette5.webp" TargetMode="External"/><Relationship Id="rId75" Type="http://schemas.openxmlformats.org/officeDocument/2006/relationships/hyperlink" Target="https://docs.fivem.net/vehicles/cypher.webp" TargetMode="External"/><Relationship Id="rId74" Type="http://schemas.openxmlformats.org/officeDocument/2006/relationships/hyperlink" Target="https://docs.fivem.net/vehicles/coureur.webp" TargetMode="External"/><Relationship Id="rId77" Type="http://schemas.openxmlformats.org/officeDocument/2006/relationships/hyperlink" Target="https://docs.fivem.net/vehicles/driftcypher.webp" TargetMode="External"/><Relationship Id="rId76" Type="http://schemas.openxmlformats.org/officeDocument/2006/relationships/hyperlink" Target="https://docs.fivem.net/vehicles/drafter.webp" TargetMode="External"/><Relationship Id="rId79" Type="http://schemas.openxmlformats.org/officeDocument/2006/relationships/hyperlink" Target="https://docs.fivem.net/vehicles/driftvorschlag.webp" TargetMode="External"/><Relationship Id="rId78" Type="http://schemas.openxmlformats.org/officeDocument/2006/relationships/hyperlink" Target="https://docs.fivem.net/vehicles/driftsentinel.webp" TargetMode="External"/><Relationship Id="rId71" Type="http://schemas.openxmlformats.org/officeDocument/2006/relationships/hyperlink" Target="https://docs.fivem.net/vehicles/coquette4.webp" TargetMode="External"/><Relationship Id="rId70" Type="http://schemas.openxmlformats.org/officeDocument/2006/relationships/hyperlink" Target="https://docs.fivem.net/vehicles/coquette.webp" TargetMode="External"/><Relationship Id="rId62" Type="http://schemas.openxmlformats.org/officeDocument/2006/relationships/hyperlink" Target="https://docs.fivem.net/vehicles/carbonizzare.webp" TargetMode="External"/><Relationship Id="rId61" Type="http://schemas.openxmlformats.org/officeDocument/2006/relationships/hyperlink" Target="https://docs.fivem.net/vehicles/calico.webp" TargetMode="External"/><Relationship Id="rId64" Type="http://schemas.openxmlformats.org/officeDocument/2006/relationships/hyperlink" Target="https://docs.fivem.net/vehicles/comet2.webp" TargetMode="External"/><Relationship Id="rId63" Type="http://schemas.openxmlformats.org/officeDocument/2006/relationships/hyperlink" Target="https://docs.fivem.net/vehicles/cheetah2.webp" TargetMode="External"/><Relationship Id="rId66" Type="http://schemas.openxmlformats.org/officeDocument/2006/relationships/hyperlink" Target="https://docs.fivem.net/vehicles/comet4.webp" TargetMode="External"/><Relationship Id="rId65" Type="http://schemas.openxmlformats.org/officeDocument/2006/relationships/hyperlink" Target="https://docs.fivem.net/vehicles/comet3.webp" TargetMode="External"/><Relationship Id="rId68" Type="http://schemas.openxmlformats.org/officeDocument/2006/relationships/hyperlink" Target="https://docs.fivem.net/vehicles/comet6.webp" TargetMode="External"/><Relationship Id="rId67" Type="http://schemas.openxmlformats.org/officeDocument/2006/relationships/hyperlink" Target="https://docs.fivem.net/vehicles/comet5.webp" TargetMode="External"/><Relationship Id="rId60" Type="http://schemas.openxmlformats.org/officeDocument/2006/relationships/hyperlink" Target="https://docs.fivem.net/vehicles/bestiagts.webp" TargetMode="External"/><Relationship Id="rId69" Type="http://schemas.openxmlformats.org/officeDocument/2006/relationships/hyperlink" Target="https://docs.fivem.net/vehicles/comet7.webp" TargetMode="External"/><Relationship Id="rId51" Type="http://schemas.openxmlformats.org/officeDocument/2006/relationships/hyperlink" Target="https://docs.fivem.net/vehicles/sentinel2.webp" TargetMode="External"/><Relationship Id="rId50" Type="http://schemas.openxmlformats.org/officeDocument/2006/relationships/hyperlink" Target="https://docs.fivem.net/vehicles/sentinel.webp" TargetMode="External"/><Relationship Id="rId53" Type="http://schemas.openxmlformats.org/officeDocument/2006/relationships/hyperlink" Target="https://docs.fivem.net/vehicles/tahoma.webp" TargetMode="External"/><Relationship Id="rId52" Type="http://schemas.openxmlformats.org/officeDocument/2006/relationships/hyperlink" Target="https://docs.fivem.net/vehicles/sentinel3.webp" TargetMode="External"/><Relationship Id="rId55" Type="http://schemas.openxmlformats.org/officeDocument/2006/relationships/hyperlink" Target="https://docs.fivem.net/vehicles/windsor2.webp" TargetMode="External"/><Relationship Id="rId54" Type="http://schemas.openxmlformats.org/officeDocument/2006/relationships/hyperlink" Target="https://docs.fivem.net/vehicles/windsor.webp" TargetMode="External"/><Relationship Id="rId57" Type="http://schemas.openxmlformats.org/officeDocument/2006/relationships/hyperlink" Target="https://docs.fivem.net/vehicles/zion2.webp" TargetMode="External"/><Relationship Id="rId56" Type="http://schemas.openxmlformats.org/officeDocument/2006/relationships/hyperlink" Target="https://docs.fivem.net/vehicles/zion.webp" TargetMode="External"/><Relationship Id="rId59" Type="http://schemas.openxmlformats.org/officeDocument/2006/relationships/hyperlink" Target="https://docs.fivem.net/vehicles/banshee.webp" TargetMode="External"/><Relationship Id="rId58" Type="http://schemas.openxmlformats.org/officeDocument/2006/relationships/hyperlink" Target="https://docs.fivem.net/vehicles/alpha.webp" TargetMode="External"/><Relationship Id="rId107" Type="http://schemas.openxmlformats.org/officeDocument/2006/relationships/hyperlink" Target="https://docs.fivem.net/vehicles/neon.webp" TargetMode="External"/><Relationship Id="rId228" Type="http://schemas.openxmlformats.org/officeDocument/2006/relationships/hyperlink" Target="https://docs.fivem.net/vehicles/gargoyle.webp" TargetMode="External"/><Relationship Id="rId349" Type="http://schemas.openxmlformats.org/officeDocument/2006/relationships/hyperlink" Target="https://docs.fivem.net/vehicles/regina.webp" TargetMode="External"/><Relationship Id="rId106" Type="http://schemas.openxmlformats.org/officeDocument/2006/relationships/hyperlink" Target="https://docs.fivem.net/vehicles/neo.webp" TargetMode="External"/><Relationship Id="rId227" Type="http://schemas.openxmlformats.org/officeDocument/2006/relationships/hyperlink" Target="https://docs.fivem.net/vehicles/fcr2.webp" TargetMode="External"/><Relationship Id="rId348" Type="http://schemas.openxmlformats.org/officeDocument/2006/relationships/hyperlink" Target="https://docs.fivem.net/vehicles/primo2.webp" TargetMode="External"/><Relationship Id="rId469" Type="http://schemas.openxmlformats.org/officeDocument/2006/relationships/hyperlink" Target="https://docs.fivem.net/vehicles/kalahari.webp" TargetMode="External"/><Relationship Id="rId105" Type="http://schemas.openxmlformats.org/officeDocument/2006/relationships/hyperlink" Target="https://docs.fivem.net/vehicles/massacro2.webp" TargetMode="External"/><Relationship Id="rId226" Type="http://schemas.openxmlformats.org/officeDocument/2006/relationships/hyperlink" Target="https://docs.fivem.net/vehicles/fcr.webp" TargetMode="External"/><Relationship Id="rId347" Type="http://schemas.openxmlformats.org/officeDocument/2006/relationships/hyperlink" Target="https://docs.fivem.net/vehicles/primo.webp" TargetMode="External"/><Relationship Id="rId468" Type="http://schemas.openxmlformats.org/officeDocument/2006/relationships/hyperlink" Target="https://docs.fivem.net/vehicles/hellion.webp" TargetMode="External"/><Relationship Id="rId104" Type="http://schemas.openxmlformats.org/officeDocument/2006/relationships/hyperlink" Target="https://docs.fivem.net/vehicles/massacro.webp" TargetMode="External"/><Relationship Id="rId225" Type="http://schemas.openxmlformats.org/officeDocument/2006/relationships/hyperlink" Target="https://docs.fivem.net/vehicles/faggio3.webp" TargetMode="External"/><Relationship Id="rId346" Type="http://schemas.openxmlformats.org/officeDocument/2006/relationships/hyperlink" Target="https://docs.fivem.net/vehicles/premier.webp" TargetMode="External"/><Relationship Id="rId467" Type="http://schemas.openxmlformats.org/officeDocument/2006/relationships/hyperlink" Target="https://docs.fivem.net/vehicles/guardian.webp" TargetMode="External"/><Relationship Id="rId109" Type="http://schemas.openxmlformats.org/officeDocument/2006/relationships/hyperlink" Target="https://docs.fivem.net/vehicles/ninef2.webp" TargetMode="External"/><Relationship Id="rId108" Type="http://schemas.openxmlformats.org/officeDocument/2006/relationships/hyperlink" Target="https://docs.fivem.net/vehicles/ninef.webp" TargetMode="External"/><Relationship Id="rId229" Type="http://schemas.openxmlformats.org/officeDocument/2006/relationships/hyperlink" Target="https://docs.fivem.net/vehicles/hakuchou.webp" TargetMode="External"/><Relationship Id="rId220" Type="http://schemas.openxmlformats.org/officeDocument/2006/relationships/hyperlink" Target="https://docs.fivem.net/vehicles/double.webp" TargetMode="External"/><Relationship Id="rId341" Type="http://schemas.openxmlformats.org/officeDocument/2006/relationships/hyperlink" Target="https://docs.fivem.net/vehicles/glendale2.webp" TargetMode="External"/><Relationship Id="rId462" Type="http://schemas.openxmlformats.org/officeDocument/2006/relationships/hyperlink" Target="https://docs.fivem.net/vehicles/draugur.webp" TargetMode="External"/><Relationship Id="rId340" Type="http://schemas.openxmlformats.org/officeDocument/2006/relationships/hyperlink" Target="https://docs.fivem.net/vehicles/glendale.webp" TargetMode="External"/><Relationship Id="rId461" Type="http://schemas.openxmlformats.org/officeDocument/2006/relationships/hyperlink" Target="https://docs.fivem.net/vehicles/caracara2.webp" TargetMode="External"/><Relationship Id="rId460" Type="http://schemas.openxmlformats.org/officeDocument/2006/relationships/hyperlink" Target="https://docs.fivem.net/vehicles/caracara.webp" TargetMode="External"/><Relationship Id="rId103" Type="http://schemas.openxmlformats.org/officeDocument/2006/relationships/hyperlink" Target="https://docs.fivem.net/vehicles/lynx.webp" TargetMode="External"/><Relationship Id="rId224" Type="http://schemas.openxmlformats.org/officeDocument/2006/relationships/hyperlink" Target="https://docs.fivem.net/vehicles/faggio2.webp" TargetMode="External"/><Relationship Id="rId345" Type="http://schemas.openxmlformats.org/officeDocument/2006/relationships/hyperlink" Target="https://docs.fivem.net/vehicles/oracle.webp" TargetMode="External"/><Relationship Id="rId466" Type="http://schemas.openxmlformats.org/officeDocument/2006/relationships/hyperlink" Target="https://docs.fivem.net/vehicles/freecrawler.webp" TargetMode="External"/><Relationship Id="rId102" Type="http://schemas.openxmlformats.org/officeDocument/2006/relationships/hyperlink" Target="https://docs.fivem.net/vehicles/locust.webp" TargetMode="External"/><Relationship Id="rId223" Type="http://schemas.openxmlformats.org/officeDocument/2006/relationships/hyperlink" Target="https://docs.fivem.net/vehicles/faggio.webp" TargetMode="External"/><Relationship Id="rId344" Type="http://schemas.openxmlformats.org/officeDocument/2006/relationships/hyperlink" Target="https://docs.fivem.net/vehicles/intruder.webp" TargetMode="External"/><Relationship Id="rId465" Type="http://schemas.openxmlformats.org/officeDocument/2006/relationships/hyperlink" Target="https://docs.fivem.net/vehicles/everon.webp" TargetMode="External"/><Relationship Id="rId101" Type="http://schemas.openxmlformats.org/officeDocument/2006/relationships/hyperlink" Target="https://docs.fivem.net/vehicles/kuruma.webp" TargetMode="External"/><Relationship Id="rId222" Type="http://schemas.openxmlformats.org/officeDocument/2006/relationships/hyperlink" Target="https://docs.fivem.net/vehicles/esskey.webp" TargetMode="External"/><Relationship Id="rId343" Type="http://schemas.openxmlformats.org/officeDocument/2006/relationships/hyperlink" Target="https://docs.fivem.net/vehicles/ingot.webp" TargetMode="External"/><Relationship Id="rId464" Type="http://schemas.openxmlformats.org/officeDocument/2006/relationships/hyperlink" Target="https://docs.fivem.net/vehicles/dune.webp" TargetMode="External"/><Relationship Id="rId100" Type="http://schemas.openxmlformats.org/officeDocument/2006/relationships/hyperlink" Target="https://docs.fivem.net/vehicles/komoda.webp" TargetMode="External"/><Relationship Id="rId221" Type="http://schemas.openxmlformats.org/officeDocument/2006/relationships/hyperlink" Target="https://docs.fivem.net/vehicles/enduro.webp" TargetMode="External"/><Relationship Id="rId342" Type="http://schemas.openxmlformats.org/officeDocument/2006/relationships/hyperlink" Target="https://docs.fivem.net/vehicles/impaler5.webp" TargetMode="External"/><Relationship Id="rId463" Type="http://schemas.openxmlformats.org/officeDocument/2006/relationships/hyperlink" Target="https://docs.fivem.net/vehicles/dubsta3.webp" TargetMode="External"/><Relationship Id="rId217" Type="http://schemas.openxmlformats.org/officeDocument/2006/relationships/hyperlink" Target="https://docs.fivem.net/vehicles/defiler.webp" TargetMode="External"/><Relationship Id="rId338" Type="http://schemas.openxmlformats.org/officeDocument/2006/relationships/hyperlink" Target="https://docs.fivem.net/vehicles/eudora.webp" TargetMode="External"/><Relationship Id="rId459" Type="http://schemas.openxmlformats.org/officeDocument/2006/relationships/hyperlink" Target="https://docs.fivem.net/vehicles/brawler.webp" TargetMode="External"/><Relationship Id="rId216" Type="http://schemas.openxmlformats.org/officeDocument/2006/relationships/hyperlink" Target="https://docs.fivem.net/vehicles/deathbike3.webp" TargetMode="External"/><Relationship Id="rId337" Type="http://schemas.openxmlformats.org/officeDocument/2006/relationships/hyperlink" Target="https://docs.fivem.net/vehicles/emperor.webp" TargetMode="External"/><Relationship Id="rId458" Type="http://schemas.openxmlformats.org/officeDocument/2006/relationships/hyperlink" Target="https://docs.fivem.net/vehicles/blazer4.webp" TargetMode="External"/><Relationship Id="rId215" Type="http://schemas.openxmlformats.org/officeDocument/2006/relationships/hyperlink" Target="https://docs.fivem.net/vehicles/deathbike2.webp" TargetMode="External"/><Relationship Id="rId336" Type="http://schemas.openxmlformats.org/officeDocument/2006/relationships/hyperlink" Target="https://docs.fivem.net/vehicles/deity.webp" TargetMode="External"/><Relationship Id="rId457" Type="http://schemas.openxmlformats.org/officeDocument/2006/relationships/hyperlink" Target="https://docs.fivem.net/vehicles/blazer3.webp" TargetMode="External"/><Relationship Id="rId214" Type="http://schemas.openxmlformats.org/officeDocument/2006/relationships/hyperlink" Target="https://docs.fivem.net/vehicles/deathbike.webp" TargetMode="External"/><Relationship Id="rId335" Type="http://schemas.openxmlformats.org/officeDocument/2006/relationships/hyperlink" Target="https://docs.fivem.net/vehicles/cinquemila.webp" TargetMode="External"/><Relationship Id="rId456" Type="http://schemas.openxmlformats.org/officeDocument/2006/relationships/hyperlink" Target="https://docs.fivem.net/vehicles/blazer.webp" TargetMode="External"/><Relationship Id="rId219" Type="http://schemas.openxmlformats.org/officeDocument/2006/relationships/hyperlink" Target="https://docs.fivem.net/vehicles/diablous2.webp" TargetMode="External"/><Relationship Id="rId218" Type="http://schemas.openxmlformats.org/officeDocument/2006/relationships/hyperlink" Target="https://docs.fivem.net/vehicles/diablous.webp" TargetMode="External"/><Relationship Id="rId339" Type="http://schemas.openxmlformats.org/officeDocument/2006/relationships/hyperlink" Target="https://docs.fivem.net/vehicles/fugitive.webp" TargetMode="External"/><Relationship Id="rId330" Type="http://schemas.openxmlformats.org/officeDocument/2006/relationships/hyperlink" Target="https://docs.fivem.net/vehicles/yosemite.webp" TargetMode="External"/><Relationship Id="rId451" Type="http://schemas.openxmlformats.org/officeDocument/2006/relationships/hyperlink" Target="https://docs.fivem.net/vehicles/toros.webp" TargetMode="External"/><Relationship Id="rId450" Type="http://schemas.openxmlformats.org/officeDocument/2006/relationships/hyperlink" Target="https://docs.fivem.net/vehicles/serrano.webp" TargetMode="External"/><Relationship Id="rId213" Type="http://schemas.openxmlformats.org/officeDocument/2006/relationships/hyperlink" Target="https://docs.fivem.net/vehicles/daemon2.webp" TargetMode="External"/><Relationship Id="rId334" Type="http://schemas.openxmlformats.org/officeDocument/2006/relationships/hyperlink" Target="https://docs.fivem.net/vehicles/asterope2.webp" TargetMode="External"/><Relationship Id="rId455" Type="http://schemas.openxmlformats.org/officeDocument/2006/relationships/hyperlink" Target="https://docs.fivem.net/vehicles/bifta.webp" TargetMode="External"/><Relationship Id="rId212" Type="http://schemas.openxmlformats.org/officeDocument/2006/relationships/hyperlink" Target="https://docs.fivem.net/vehicles/daemon.webp" TargetMode="External"/><Relationship Id="rId333" Type="http://schemas.openxmlformats.org/officeDocument/2006/relationships/hyperlink" Target="https://docs.fivem.net/vehicles/asterope.webp" TargetMode="External"/><Relationship Id="rId454" Type="http://schemas.openxmlformats.org/officeDocument/2006/relationships/hyperlink" Target="https://docs.fivem.net/vehicles/bfinjection.webp" TargetMode="External"/><Relationship Id="rId211" Type="http://schemas.openxmlformats.org/officeDocument/2006/relationships/hyperlink" Target="https://docs.fivem.net/vehicles/cliffhanger.webp" TargetMode="External"/><Relationship Id="rId332" Type="http://schemas.openxmlformats.org/officeDocument/2006/relationships/hyperlink" Target="https://docs.fivem.net/vehicles/asea.webp" TargetMode="External"/><Relationship Id="rId453" Type="http://schemas.openxmlformats.org/officeDocument/2006/relationships/hyperlink" Target="https://docs.fivem.net/vehicles/xls.webp" TargetMode="External"/><Relationship Id="rId210" Type="http://schemas.openxmlformats.org/officeDocument/2006/relationships/hyperlink" Target="https://docs.fivem.net/vehicles/chimera.webp" TargetMode="External"/><Relationship Id="rId331" Type="http://schemas.openxmlformats.org/officeDocument/2006/relationships/hyperlink" Target="https://docs.fivem.net/vehicles/yosemite2.webp" TargetMode="External"/><Relationship Id="rId452" Type="http://schemas.openxmlformats.org/officeDocument/2006/relationships/hyperlink" Target="https://docs.fivem.net/vehicles/vivanite.webp" TargetMode="External"/><Relationship Id="rId370" Type="http://schemas.openxmlformats.org/officeDocument/2006/relationships/hyperlink" Target="https://docs.fivem.net/vehicles/emerus.webp" TargetMode="External"/><Relationship Id="rId491" Type="http://schemas.openxmlformats.org/officeDocument/2006/relationships/hyperlink" Target="https://docs.fivem.net/vehicles/dc_evo900comet.webp" TargetMode="External"/><Relationship Id="rId490" Type="http://schemas.openxmlformats.org/officeDocument/2006/relationships/hyperlink" Target="https://docs.fivem.net/vehicles/dc_elite.webp" TargetMode="External"/><Relationship Id="rId129" Type="http://schemas.openxmlformats.org/officeDocument/2006/relationships/hyperlink" Target="https://docs.fivem.net/vehicles/schafter4.webp" TargetMode="External"/><Relationship Id="rId128" Type="http://schemas.openxmlformats.org/officeDocument/2006/relationships/hyperlink" Target="https://docs.fivem.net/vehicles/schafter3.webp" TargetMode="External"/><Relationship Id="rId249" Type="http://schemas.openxmlformats.org/officeDocument/2006/relationships/hyperlink" Target="https://docs.fivem.net/vehicles/sovereign.webp" TargetMode="External"/><Relationship Id="rId127" Type="http://schemas.openxmlformats.org/officeDocument/2006/relationships/hyperlink" Target="https://docs.fivem.net/vehicles/ruston.webp" TargetMode="External"/><Relationship Id="rId248" Type="http://schemas.openxmlformats.org/officeDocument/2006/relationships/hyperlink" Target="https://docs.fivem.net/vehicles/shotaro.webp" TargetMode="External"/><Relationship Id="rId369" Type="http://schemas.openxmlformats.org/officeDocument/2006/relationships/hyperlink" Target="https://docs.fivem.net/vehicles/deveste.webp" TargetMode="External"/><Relationship Id="rId126" Type="http://schemas.openxmlformats.org/officeDocument/2006/relationships/hyperlink" Target="https://docs.fivem.net/vehicles/rt3000.webp" TargetMode="External"/><Relationship Id="rId247" Type="http://schemas.openxmlformats.org/officeDocument/2006/relationships/hyperlink" Target="https://docs.fivem.net/vehicles/shinobi.webp" TargetMode="External"/><Relationship Id="rId368" Type="http://schemas.openxmlformats.org/officeDocument/2006/relationships/hyperlink" Target="https://docs.fivem.net/vehicles/cyclone.webp" TargetMode="External"/><Relationship Id="rId489" Type="http://schemas.openxmlformats.org/officeDocument/2006/relationships/hyperlink" Target="https://docs.fivem.net/vehicles/620gts.webp" TargetMode="External"/><Relationship Id="rId121" Type="http://schemas.openxmlformats.org/officeDocument/2006/relationships/hyperlink" Target="https://docs.fivem.net/vehicles/rapidgt.webp" TargetMode="External"/><Relationship Id="rId242" Type="http://schemas.openxmlformats.org/officeDocument/2006/relationships/hyperlink" Target="https://docs.fivem.net/vehicles/reever.webp" TargetMode="External"/><Relationship Id="rId363" Type="http://schemas.openxmlformats.org/officeDocument/2006/relationships/hyperlink" Target="https://docs.fivem.net/vehicles/autarch.webp" TargetMode="External"/><Relationship Id="rId484" Type="http://schemas.openxmlformats.org/officeDocument/2006/relationships/hyperlink" Target="https://docs.fivem.net/vehicles/trophytruck2.webp" TargetMode="External"/><Relationship Id="rId120" Type="http://schemas.openxmlformats.org/officeDocument/2006/relationships/hyperlink" Target="https://docs.fivem.net/vehicles/r300.webp" TargetMode="External"/><Relationship Id="rId241" Type="http://schemas.openxmlformats.org/officeDocument/2006/relationships/hyperlink" Target="https://docs.fivem.net/vehicles/ratbike.webp" TargetMode="External"/><Relationship Id="rId362" Type="http://schemas.openxmlformats.org/officeDocument/2006/relationships/hyperlink" Target="https://docs.fivem.net/vehicles/adder.webp" TargetMode="External"/><Relationship Id="rId483" Type="http://schemas.openxmlformats.org/officeDocument/2006/relationships/hyperlink" Target="https://docs.fivem.net/vehicles/trophytruck.webp" TargetMode="External"/><Relationship Id="rId240" Type="http://schemas.openxmlformats.org/officeDocument/2006/relationships/hyperlink" Target="https://docs.fivem.net/vehicles/powersurge.webp" TargetMode="External"/><Relationship Id="rId361" Type="http://schemas.openxmlformats.org/officeDocument/2006/relationships/hyperlink" Target="https://docs.fivem.net/vehicles/washington.webp" TargetMode="External"/><Relationship Id="rId482" Type="http://schemas.openxmlformats.org/officeDocument/2006/relationships/hyperlink" Target="https://docs.fivem.net/vehicles/terminus.webp" TargetMode="External"/><Relationship Id="rId360" Type="http://schemas.openxmlformats.org/officeDocument/2006/relationships/hyperlink" Target="https://docs.fivem.net/vehicles/warrener2.webp" TargetMode="External"/><Relationship Id="rId481" Type="http://schemas.openxmlformats.org/officeDocument/2006/relationships/hyperlink" Target="https://docs.fivem.net/vehicles/sandking2.webp" TargetMode="External"/><Relationship Id="rId125" Type="http://schemas.openxmlformats.org/officeDocument/2006/relationships/hyperlink" Target="https://docs.fivem.net/vehicles/revolter.webp" TargetMode="External"/><Relationship Id="rId246" Type="http://schemas.openxmlformats.org/officeDocument/2006/relationships/hyperlink" Target="https://docs.fivem.net/vehicles/sanctus.webp" TargetMode="External"/><Relationship Id="rId367" Type="http://schemas.openxmlformats.org/officeDocument/2006/relationships/hyperlink" Target="https://docs.fivem.net/vehicles/corsita.webp" TargetMode="External"/><Relationship Id="rId488" Type="http://schemas.openxmlformats.org/officeDocument/2006/relationships/hyperlink" Target="https://docs.fivem.net/vehicles/yosemite3.webp" TargetMode="External"/><Relationship Id="rId124" Type="http://schemas.openxmlformats.org/officeDocument/2006/relationships/hyperlink" Target="https://docs.fivem.net/vehicles/remus.webp" TargetMode="External"/><Relationship Id="rId245" Type="http://schemas.openxmlformats.org/officeDocument/2006/relationships/hyperlink" Target="https://docs.fivem.net/vehicles/sanchez2.webp" TargetMode="External"/><Relationship Id="rId366" Type="http://schemas.openxmlformats.org/officeDocument/2006/relationships/hyperlink" Target="https://docs.fivem.net/vehicles/cheetah.webp" TargetMode="External"/><Relationship Id="rId487" Type="http://schemas.openxmlformats.org/officeDocument/2006/relationships/hyperlink" Target="https://docs.fivem.net/vehicles/winky.webp" TargetMode="External"/><Relationship Id="rId123" Type="http://schemas.openxmlformats.org/officeDocument/2006/relationships/hyperlink" Target="https://docs.fivem.net/vehicles/raptor.webp" TargetMode="External"/><Relationship Id="rId244" Type="http://schemas.openxmlformats.org/officeDocument/2006/relationships/hyperlink" Target="https://docs.fivem.net/vehicles/sanchez.webp" TargetMode="External"/><Relationship Id="rId365" Type="http://schemas.openxmlformats.org/officeDocument/2006/relationships/hyperlink" Target="https://docs.fivem.net/vehicles/bullet.webp" TargetMode="External"/><Relationship Id="rId486" Type="http://schemas.openxmlformats.org/officeDocument/2006/relationships/hyperlink" Target="https://docs.fivem.net/vehicles/verus.webp" TargetMode="External"/><Relationship Id="rId122" Type="http://schemas.openxmlformats.org/officeDocument/2006/relationships/hyperlink" Target="https://docs.fivem.net/vehicles/rapidgt2.webp" TargetMode="External"/><Relationship Id="rId243" Type="http://schemas.openxmlformats.org/officeDocument/2006/relationships/hyperlink" Target="https://docs.fivem.net/vehicles/ruffian.webp" TargetMode="External"/><Relationship Id="rId364" Type="http://schemas.openxmlformats.org/officeDocument/2006/relationships/hyperlink" Target="https://docs.fivem.net/vehicles/banshee2.webp" TargetMode="External"/><Relationship Id="rId485" Type="http://schemas.openxmlformats.org/officeDocument/2006/relationships/hyperlink" Target="https://docs.fivem.net/vehicles/vagrant.webp" TargetMode="External"/><Relationship Id="rId95" Type="http://schemas.openxmlformats.org/officeDocument/2006/relationships/hyperlink" Target="https://docs.fivem.net/vehicles/jester2.webp" TargetMode="External"/><Relationship Id="rId94" Type="http://schemas.openxmlformats.org/officeDocument/2006/relationships/hyperlink" Target="https://docs.fivem.net/vehicles/jester.webp" TargetMode="External"/><Relationship Id="rId97" Type="http://schemas.openxmlformats.org/officeDocument/2006/relationships/hyperlink" Target="https://docs.fivem.net/vehicles/jester4.webp" TargetMode="External"/><Relationship Id="rId96" Type="http://schemas.openxmlformats.org/officeDocument/2006/relationships/hyperlink" Target="https://docs.fivem.net/vehicles/jester3.webp" TargetMode="External"/><Relationship Id="rId99" Type="http://schemas.openxmlformats.org/officeDocument/2006/relationships/hyperlink" Target="https://docs.fivem.net/vehicles/khamelion.webp" TargetMode="External"/><Relationship Id="rId480" Type="http://schemas.openxmlformats.org/officeDocument/2006/relationships/hyperlink" Target="https://docs.fivem.net/vehicles/sandking.webp" TargetMode="External"/><Relationship Id="rId98" Type="http://schemas.openxmlformats.org/officeDocument/2006/relationships/hyperlink" Target="https://docs.fivem.net/vehicles/jugular.webp" TargetMode="External"/><Relationship Id="rId91" Type="http://schemas.openxmlformats.org/officeDocument/2006/relationships/hyperlink" Target="https://docs.fivem.net/vehicles/growler.webp" TargetMode="External"/><Relationship Id="rId90" Type="http://schemas.openxmlformats.org/officeDocument/2006/relationships/hyperlink" Target="https://docs.fivem.net/vehicles/gb200.webp" TargetMode="External"/><Relationship Id="rId93" Type="http://schemas.openxmlformats.org/officeDocument/2006/relationships/hyperlink" Target="https://docs.fivem.net/vehicles/italigto.webp" TargetMode="External"/><Relationship Id="rId92" Type="http://schemas.openxmlformats.org/officeDocument/2006/relationships/hyperlink" Target="https://docs.fivem.net/vehicles/imorgon.webp" TargetMode="External"/><Relationship Id="rId118" Type="http://schemas.openxmlformats.org/officeDocument/2006/relationships/hyperlink" Target="https://docs.fivem.net/vehicles/penumbra2.webp" TargetMode="External"/><Relationship Id="rId239" Type="http://schemas.openxmlformats.org/officeDocument/2006/relationships/hyperlink" Target="https://docs.fivem.net/vehicles/pizzaboy.webp" TargetMode="External"/><Relationship Id="rId117" Type="http://schemas.openxmlformats.org/officeDocument/2006/relationships/hyperlink" Target="https://docs.fivem.net/vehicles/penumbra.webp" TargetMode="External"/><Relationship Id="rId238" Type="http://schemas.openxmlformats.org/officeDocument/2006/relationships/hyperlink" Target="https://docs.fivem.net/vehicles/pcj.webp" TargetMode="External"/><Relationship Id="rId359" Type="http://schemas.openxmlformats.org/officeDocument/2006/relationships/hyperlink" Target="https://docs.fivem.net/vehicles/warrener.webp" TargetMode="External"/><Relationship Id="rId116" Type="http://schemas.openxmlformats.org/officeDocument/2006/relationships/hyperlink" Target="https://docs.fivem.net/vehicles/pariah.webp" TargetMode="External"/><Relationship Id="rId237" Type="http://schemas.openxmlformats.org/officeDocument/2006/relationships/hyperlink" Target="https://docs.fivem.net/vehicles/nightblade.webp" TargetMode="External"/><Relationship Id="rId358" Type="http://schemas.openxmlformats.org/officeDocument/2006/relationships/hyperlink" Target="https://docs.fivem.net/vehicles/tailgater2.webp" TargetMode="External"/><Relationship Id="rId479" Type="http://schemas.openxmlformats.org/officeDocument/2006/relationships/hyperlink" Target="https://docs.fivem.net/vehicles/riata.webp" TargetMode="External"/><Relationship Id="rId115" Type="http://schemas.openxmlformats.org/officeDocument/2006/relationships/hyperlink" Target="https://docs.fivem.net/vehicles/paragon3.webp" TargetMode="External"/><Relationship Id="rId236" Type="http://schemas.openxmlformats.org/officeDocument/2006/relationships/hyperlink" Target="https://docs.fivem.net/vehicles/nemesis.webp" TargetMode="External"/><Relationship Id="rId357" Type="http://schemas.openxmlformats.org/officeDocument/2006/relationships/hyperlink" Target="https://docs.fivem.net/vehicles/tailgater.webp" TargetMode="External"/><Relationship Id="rId478" Type="http://schemas.openxmlformats.org/officeDocument/2006/relationships/hyperlink" Target="https://docs.fivem.net/vehicles/rebel2.webp" TargetMode="External"/><Relationship Id="rId119" Type="http://schemas.openxmlformats.org/officeDocument/2006/relationships/hyperlink" Target="https://docs.fivem.net/vehicles/pipistrello.webp" TargetMode="External"/><Relationship Id="rId110" Type="http://schemas.openxmlformats.org/officeDocument/2006/relationships/hyperlink" Target="https://docs.fivem.net/vehicles/niobe.webp" TargetMode="External"/><Relationship Id="rId231" Type="http://schemas.openxmlformats.org/officeDocument/2006/relationships/hyperlink" Target="https://docs.fivem.net/vehicles/hexer.webp" TargetMode="External"/><Relationship Id="rId352" Type="http://schemas.openxmlformats.org/officeDocument/2006/relationships/hyperlink" Target="https://docs.fivem.net/vehicles/stafford.webp" TargetMode="External"/><Relationship Id="rId473" Type="http://schemas.openxmlformats.org/officeDocument/2006/relationships/hyperlink" Target="https://docs.fivem.net/vehicles/mesa3.webp" TargetMode="External"/><Relationship Id="rId230" Type="http://schemas.openxmlformats.org/officeDocument/2006/relationships/hyperlink" Target="https://docs.fivem.net/vehicles/hakuchou2.webp" TargetMode="External"/><Relationship Id="rId351" Type="http://schemas.openxmlformats.org/officeDocument/2006/relationships/hyperlink" Target="https://docs.fivem.net/vehicles/schafter2.webp" TargetMode="External"/><Relationship Id="rId472" Type="http://schemas.openxmlformats.org/officeDocument/2006/relationships/hyperlink" Target="https://docs.fivem.net/vehicles/mesa.webp" TargetMode="External"/><Relationship Id="rId350" Type="http://schemas.openxmlformats.org/officeDocument/2006/relationships/hyperlink" Target="https://docs.fivem.net/vehicles/rhinehart.webp" TargetMode="External"/><Relationship Id="rId471" Type="http://schemas.openxmlformats.org/officeDocument/2006/relationships/hyperlink" Target="https://docs.fivem.net/vehicles/l35.webp" TargetMode="External"/><Relationship Id="rId470" Type="http://schemas.openxmlformats.org/officeDocument/2006/relationships/hyperlink" Target="https://docs.fivem.net/vehicles/kamacho.webp" TargetMode="External"/><Relationship Id="rId114" Type="http://schemas.openxmlformats.org/officeDocument/2006/relationships/hyperlink" Target="https://docs.fivem.net/vehicles/paragon.webp" TargetMode="External"/><Relationship Id="rId235" Type="http://schemas.openxmlformats.org/officeDocument/2006/relationships/hyperlink" Target="https://docs.fivem.net/vehicles/manchez2.webp" TargetMode="External"/><Relationship Id="rId356" Type="http://schemas.openxmlformats.org/officeDocument/2006/relationships/hyperlink" Target="https://docs.fivem.net/vehicles/surge.webp" TargetMode="External"/><Relationship Id="rId477" Type="http://schemas.openxmlformats.org/officeDocument/2006/relationships/hyperlink" Target="https://docs.fivem.net/vehicles/ratel.webp" TargetMode="External"/><Relationship Id="rId113" Type="http://schemas.openxmlformats.org/officeDocument/2006/relationships/hyperlink" Target="https://docs.fivem.net/vehicles/panthere.webp" TargetMode="External"/><Relationship Id="rId234" Type="http://schemas.openxmlformats.org/officeDocument/2006/relationships/hyperlink" Target="https://docs.fivem.net/vehicles/manchez.webp" TargetMode="External"/><Relationship Id="rId355" Type="http://schemas.openxmlformats.org/officeDocument/2006/relationships/hyperlink" Target="https://docs.fivem.net/vehicles/superd.webp" TargetMode="External"/><Relationship Id="rId476" Type="http://schemas.openxmlformats.org/officeDocument/2006/relationships/hyperlink" Target="https://docs.fivem.net/vehicles/rancherxl.webp" TargetMode="External"/><Relationship Id="rId112" Type="http://schemas.openxmlformats.org/officeDocument/2006/relationships/hyperlink" Target="https://docs.fivem.net/vehicles/omnisegt.webp" TargetMode="External"/><Relationship Id="rId233" Type="http://schemas.openxmlformats.org/officeDocument/2006/relationships/hyperlink" Target="https://docs.fivem.net/vehicles/lectro.webp" TargetMode="External"/><Relationship Id="rId354" Type="http://schemas.openxmlformats.org/officeDocument/2006/relationships/hyperlink" Target="https://docs.fivem.net/vehicles/stratum.webp" TargetMode="External"/><Relationship Id="rId475" Type="http://schemas.openxmlformats.org/officeDocument/2006/relationships/hyperlink" Target="https://docs.fivem.net/vehicles/outlaw.webp" TargetMode="External"/><Relationship Id="rId111" Type="http://schemas.openxmlformats.org/officeDocument/2006/relationships/hyperlink" Target="https://docs.fivem.net/vehicles/omnis.webp" TargetMode="External"/><Relationship Id="rId232" Type="http://schemas.openxmlformats.org/officeDocument/2006/relationships/hyperlink" Target="https://docs.fivem.net/vehicles/innovation.webp" TargetMode="External"/><Relationship Id="rId353" Type="http://schemas.openxmlformats.org/officeDocument/2006/relationships/hyperlink" Target="https://docs.fivem.net/vehicles/stanier.webp" TargetMode="External"/><Relationship Id="rId474" Type="http://schemas.openxmlformats.org/officeDocument/2006/relationships/hyperlink" Target="https://docs.fivem.net/vehicles/monstrociti.webp" TargetMode="External"/><Relationship Id="rId305" Type="http://schemas.openxmlformats.org/officeDocument/2006/relationships/hyperlink" Target="https://docs.fivem.net/vehicles/phoenix.webp" TargetMode="External"/><Relationship Id="rId426" Type="http://schemas.openxmlformats.org/officeDocument/2006/relationships/hyperlink" Target="https://docs.fivem.net/vehicles/cavalcade2.webp" TargetMode="External"/><Relationship Id="rId547" Type="http://schemas.openxmlformats.org/officeDocument/2006/relationships/hyperlink" Target="https://docs.fivem.net/vehicles/toroslxstance.webp" TargetMode="External"/><Relationship Id="rId304" Type="http://schemas.openxmlformats.org/officeDocument/2006/relationships/hyperlink" Target="https://docs.fivem.net/vehicles/nightshade.webp" TargetMode="External"/><Relationship Id="rId425" Type="http://schemas.openxmlformats.org/officeDocument/2006/relationships/hyperlink" Target="https://docs.fivem.net/vehicles/cavalcade.webp" TargetMode="External"/><Relationship Id="rId546" Type="http://schemas.openxmlformats.org/officeDocument/2006/relationships/hyperlink" Target="https://docs.fivem.net/vehicles/terminator.webp" TargetMode="External"/><Relationship Id="rId303" Type="http://schemas.openxmlformats.org/officeDocument/2006/relationships/hyperlink" Target="https://docs.fivem.net/vehicles/manana2.webp" TargetMode="External"/><Relationship Id="rId424" Type="http://schemas.openxmlformats.org/officeDocument/2006/relationships/hyperlink" Target="https://docs.fivem.net/vehicles/castigator.webp" TargetMode="External"/><Relationship Id="rId545" Type="http://schemas.openxmlformats.org/officeDocument/2006/relationships/hyperlink" Target="https://docs.fivem.net/vehicles/s790anim.webp" TargetMode="External"/><Relationship Id="rId302" Type="http://schemas.openxmlformats.org/officeDocument/2006/relationships/hyperlink" Target="https://docs.fivem.net/vehicles/manana.webp" TargetMode="External"/><Relationship Id="rId423" Type="http://schemas.openxmlformats.org/officeDocument/2006/relationships/hyperlink" Target="https://docs.fivem.net/vehicles/bjxl.webp" TargetMode="External"/><Relationship Id="rId544" Type="http://schemas.openxmlformats.org/officeDocument/2006/relationships/hyperlink" Target="https://docs.fivem.net/vehicles/revenant.webp" TargetMode="External"/><Relationship Id="rId309" Type="http://schemas.openxmlformats.org/officeDocument/2006/relationships/hyperlink" Target="https://docs.fivem.net/vehicles/ruiner4.webp" TargetMode="External"/><Relationship Id="rId308" Type="http://schemas.openxmlformats.org/officeDocument/2006/relationships/hyperlink" Target="https://docs.fivem.net/vehicles/ruiner.webp" TargetMode="External"/><Relationship Id="rId429" Type="http://schemas.openxmlformats.org/officeDocument/2006/relationships/hyperlink" Target="https://docs.fivem.net/vehicles/dorado.webp" TargetMode="External"/><Relationship Id="rId307" Type="http://schemas.openxmlformats.org/officeDocument/2006/relationships/hyperlink" Target="https://docs.fivem.net/vehicles/ratloader2.webp" TargetMode="External"/><Relationship Id="rId428" Type="http://schemas.openxmlformats.org/officeDocument/2006/relationships/hyperlink" Target="https://docs.fivem.net/vehicles/contender.webp" TargetMode="External"/><Relationship Id="rId549" Type="http://schemas.openxmlformats.org/officeDocument/2006/relationships/hyperlink" Target="https://docs.fivem.net/vehicles/zr6gt.webp" TargetMode="External"/><Relationship Id="rId306" Type="http://schemas.openxmlformats.org/officeDocument/2006/relationships/hyperlink" Target="https://docs.fivem.net/vehicles/picador.webp" TargetMode="External"/><Relationship Id="rId427" Type="http://schemas.openxmlformats.org/officeDocument/2006/relationships/hyperlink" Target="https://docs.fivem.net/vehicles/cavalcade3.webp" TargetMode="External"/><Relationship Id="rId548" Type="http://schemas.openxmlformats.org/officeDocument/2006/relationships/hyperlink" Target="https://docs.fivem.net/vehicles/zenith.webp" TargetMode="External"/><Relationship Id="rId301" Type="http://schemas.openxmlformats.org/officeDocument/2006/relationships/hyperlink" Target="https://docs.fivem.net/vehicles/lurcher.webp" TargetMode="External"/><Relationship Id="rId422" Type="http://schemas.openxmlformats.org/officeDocument/2006/relationships/hyperlink" Target="https://docs.fivem.net/vehicles/baller8.webp" TargetMode="External"/><Relationship Id="rId543" Type="http://schemas.openxmlformats.org/officeDocument/2006/relationships/hyperlink" Target="https://docs.fivem.net/vehicles/offzenith.webp" TargetMode="External"/><Relationship Id="rId300" Type="http://schemas.openxmlformats.org/officeDocument/2006/relationships/hyperlink" Target="https://docs.fivem.net/vehicles/imperator3.webp" TargetMode="External"/><Relationship Id="rId421" Type="http://schemas.openxmlformats.org/officeDocument/2006/relationships/hyperlink" Target="https://docs.fivem.net/vehicles/baller7.webp" TargetMode="External"/><Relationship Id="rId542" Type="http://schemas.openxmlformats.org/officeDocument/2006/relationships/hyperlink" Target="https://docs.fivem.net/vehicles/obeysport.webp" TargetMode="External"/><Relationship Id="rId420" Type="http://schemas.openxmlformats.org/officeDocument/2006/relationships/hyperlink" Target="https://docs.fivem.net/vehicles/baller4.webp" TargetMode="External"/><Relationship Id="rId541" Type="http://schemas.openxmlformats.org/officeDocument/2006/relationships/hyperlink" Target="https://docs.fivem.net/vehicles/ixr.webp" TargetMode="External"/><Relationship Id="rId540" Type="http://schemas.openxmlformats.org/officeDocument/2006/relationships/hyperlink" Target="https://docs.fivem.net/vehicles/gbvivantgrb.webp" TargetMode="External"/><Relationship Id="rId415" Type="http://schemas.openxmlformats.org/officeDocument/2006/relationships/hyperlink" Target="https://docs.fivem.net/vehicles/aleutian.webp" TargetMode="External"/><Relationship Id="rId536" Type="http://schemas.openxmlformats.org/officeDocument/2006/relationships/hyperlink" Target="https://docs.fivem.net/vehicles/gbterrorizer.webp" TargetMode="External"/><Relationship Id="rId414" Type="http://schemas.openxmlformats.org/officeDocument/2006/relationships/hyperlink" Target="https://docs.fivem.net/vehicles/zorrusso.webp" TargetMode="External"/><Relationship Id="rId535" Type="http://schemas.openxmlformats.org/officeDocument/2006/relationships/hyperlink" Target="https://docs.fivem.net/vehicles/gbtenfr.webp" TargetMode="External"/><Relationship Id="rId413" Type="http://schemas.openxmlformats.org/officeDocument/2006/relationships/hyperlink" Target="https://docs.fivem.net/vehicles/zentorno.webp" TargetMode="External"/><Relationship Id="rId534" Type="http://schemas.openxmlformats.org/officeDocument/2006/relationships/hyperlink" Target="https://docs.fivem.net/vehicles/gbtahomagt.webp" TargetMode="External"/><Relationship Id="rId412" Type="http://schemas.openxmlformats.org/officeDocument/2006/relationships/hyperlink" Target="https://docs.fivem.net/vehicles/zeno.webp" TargetMode="External"/><Relationship Id="rId533" Type="http://schemas.openxmlformats.org/officeDocument/2006/relationships/hyperlink" Target="https://docs.fivem.net/vehicles/gbsultanrsx.webp" TargetMode="External"/><Relationship Id="rId419" Type="http://schemas.openxmlformats.org/officeDocument/2006/relationships/hyperlink" Target="https://docs.fivem.net/vehicles/baller3.webp" TargetMode="External"/><Relationship Id="rId418" Type="http://schemas.openxmlformats.org/officeDocument/2006/relationships/hyperlink" Target="https://docs.fivem.net/vehicles/baller2.webp" TargetMode="External"/><Relationship Id="rId539" Type="http://schemas.openxmlformats.org/officeDocument/2006/relationships/hyperlink" Target="https://docs.fivem.net/vehicles/gbvivant.webp" TargetMode="External"/><Relationship Id="rId417" Type="http://schemas.openxmlformats.org/officeDocument/2006/relationships/hyperlink" Target="https://docs.fivem.net/vehicles/baller.webp" TargetMode="External"/><Relationship Id="rId538" Type="http://schemas.openxmlformats.org/officeDocument/2006/relationships/hyperlink" Target="https://docs.fivem.net/vehicles/gbturismogts.webp" TargetMode="External"/><Relationship Id="rId416" Type="http://schemas.openxmlformats.org/officeDocument/2006/relationships/hyperlink" Target="https://docs.fivem.net/vehicles/astron.webp" TargetMode="External"/><Relationship Id="rId537" Type="http://schemas.openxmlformats.org/officeDocument/2006/relationships/hyperlink" Target="https://docs.fivem.net/vehicles/gbtr3s.webp" TargetMode="External"/><Relationship Id="rId411" Type="http://schemas.openxmlformats.org/officeDocument/2006/relationships/hyperlink" Target="https://docs.fivem.net/vehicles/xa21.webp" TargetMode="External"/><Relationship Id="rId532" Type="http://schemas.openxmlformats.org/officeDocument/2006/relationships/hyperlink" Target="https://docs.fivem.net/vehicles/gbstarlight.webp" TargetMode="External"/><Relationship Id="rId410" Type="http://schemas.openxmlformats.org/officeDocument/2006/relationships/hyperlink" Target="https://docs.fivem.net/vehicles/voltic.webp" TargetMode="External"/><Relationship Id="rId531" Type="http://schemas.openxmlformats.org/officeDocument/2006/relationships/hyperlink" Target="https://docs.fivem.net/vehicles/gbsolacev.webp" TargetMode="External"/><Relationship Id="rId530" Type="http://schemas.openxmlformats.org/officeDocument/2006/relationships/hyperlink" Target="https://docs.fivem.net/vehicles/gbsolace.webp" TargetMode="External"/><Relationship Id="rId206" Type="http://schemas.openxmlformats.org/officeDocument/2006/relationships/hyperlink" Target="https://docs.fivem.net/vehicles/bati.webp" TargetMode="External"/><Relationship Id="rId327" Type="http://schemas.openxmlformats.org/officeDocument/2006/relationships/hyperlink" Target="https://docs.fivem.net/vehicles/virgo3.webp" TargetMode="External"/><Relationship Id="rId448" Type="http://schemas.openxmlformats.org/officeDocument/2006/relationships/hyperlink" Target="https://docs.fivem.net/vehicles/seminole.webp" TargetMode="External"/><Relationship Id="rId205" Type="http://schemas.openxmlformats.org/officeDocument/2006/relationships/hyperlink" Target="https://docs.fivem.net/vehicles/bagger.webp" TargetMode="External"/><Relationship Id="rId326" Type="http://schemas.openxmlformats.org/officeDocument/2006/relationships/hyperlink" Target="https://docs.fivem.net/vehicles/virgo2.webp" TargetMode="External"/><Relationship Id="rId447" Type="http://schemas.openxmlformats.org/officeDocument/2006/relationships/hyperlink" Target="https://docs.fivem.net/vehicles/rocoto.webp" TargetMode="External"/><Relationship Id="rId204" Type="http://schemas.openxmlformats.org/officeDocument/2006/relationships/hyperlink" Target="https://docs.fivem.net/vehicles/avarus.webp" TargetMode="External"/><Relationship Id="rId325" Type="http://schemas.openxmlformats.org/officeDocument/2006/relationships/hyperlink" Target="https://docs.fivem.net/vehicles/virgo.webp" TargetMode="External"/><Relationship Id="rId446" Type="http://schemas.openxmlformats.org/officeDocument/2006/relationships/hyperlink" Target="https://docs.fivem.net/vehicles/rebla.webp" TargetMode="External"/><Relationship Id="rId203" Type="http://schemas.openxmlformats.org/officeDocument/2006/relationships/hyperlink" Target="https://docs.fivem.net/vehicles/akuma.webp" TargetMode="External"/><Relationship Id="rId324" Type="http://schemas.openxmlformats.org/officeDocument/2006/relationships/hyperlink" Target="https://docs.fivem.net/vehicles/vigero3.webp" TargetMode="External"/><Relationship Id="rId445" Type="http://schemas.openxmlformats.org/officeDocument/2006/relationships/hyperlink" Target="https://docs.fivem.net/vehicles/radi.webp" TargetMode="External"/><Relationship Id="rId209" Type="http://schemas.openxmlformats.org/officeDocument/2006/relationships/hyperlink" Target="https://docs.fivem.net/vehicles/carbonrs.webp" TargetMode="External"/><Relationship Id="rId208" Type="http://schemas.openxmlformats.org/officeDocument/2006/relationships/hyperlink" Target="https://docs.fivem.net/vehicles/bf400.webp" TargetMode="External"/><Relationship Id="rId329" Type="http://schemas.openxmlformats.org/officeDocument/2006/relationships/hyperlink" Target="https://docs.fivem.net/vehicles/weevil2.webp" TargetMode="External"/><Relationship Id="rId207" Type="http://schemas.openxmlformats.org/officeDocument/2006/relationships/hyperlink" Target="https://docs.fivem.net/vehicles/bati2.webp" TargetMode="External"/><Relationship Id="rId328" Type="http://schemas.openxmlformats.org/officeDocument/2006/relationships/hyperlink" Target="https://docs.fivem.net/vehicles/voodoo.webp" TargetMode="External"/><Relationship Id="rId449" Type="http://schemas.openxmlformats.org/officeDocument/2006/relationships/hyperlink" Target="https://docs.fivem.net/vehicles/seminole2.webp" TargetMode="External"/><Relationship Id="rId440" Type="http://schemas.openxmlformats.org/officeDocument/2006/relationships/hyperlink" Target="https://docs.fivem.net/vehicles/landstalker.webp" TargetMode="External"/><Relationship Id="rId202" Type="http://schemas.openxmlformats.org/officeDocument/2006/relationships/hyperlink" Target="https://docs.fivem.net/vehicles/youga4.webp" TargetMode="External"/><Relationship Id="rId323" Type="http://schemas.openxmlformats.org/officeDocument/2006/relationships/hyperlink" Target="https://docs.fivem.net/vehicles/vigero2.webp" TargetMode="External"/><Relationship Id="rId444" Type="http://schemas.openxmlformats.org/officeDocument/2006/relationships/hyperlink" Target="https://docs.fivem.net/vehicles/patriot3.webp" TargetMode="External"/><Relationship Id="rId201" Type="http://schemas.openxmlformats.org/officeDocument/2006/relationships/hyperlink" Target="https://docs.fivem.net/vehicles/youga3.webp" TargetMode="External"/><Relationship Id="rId322" Type="http://schemas.openxmlformats.org/officeDocument/2006/relationships/hyperlink" Target="https://docs.fivem.net/vehicles/vigero.webp" TargetMode="External"/><Relationship Id="rId443" Type="http://schemas.openxmlformats.org/officeDocument/2006/relationships/hyperlink" Target="https://docs.fivem.net/vehicles/patriot.webp" TargetMode="External"/><Relationship Id="rId200" Type="http://schemas.openxmlformats.org/officeDocument/2006/relationships/hyperlink" Target="https://docs.fivem.net/vehicles/youga2.webp" TargetMode="External"/><Relationship Id="rId321" Type="http://schemas.openxmlformats.org/officeDocument/2006/relationships/hyperlink" Target="https://docs.fivem.net/vehicles/vamos.webp" TargetMode="External"/><Relationship Id="rId442" Type="http://schemas.openxmlformats.org/officeDocument/2006/relationships/hyperlink" Target="https://docs.fivem.net/vehicles/novak.webp" TargetMode="External"/><Relationship Id="rId320" Type="http://schemas.openxmlformats.org/officeDocument/2006/relationships/hyperlink" Target="https://docs.fivem.net/vehicles/tulip2.webp" TargetMode="External"/><Relationship Id="rId441" Type="http://schemas.openxmlformats.org/officeDocument/2006/relationships/hyperlink" Target="https://docs.fivem.net/vehicles/landstalker2.webp" TargetMode="External"/><Relationship Id="rId316" Type="http://schemas.openxmlformats.org/officeDocument/2006/relationships/hyperlink" Target="https://docs.fivem.net/vehicles/stalion2.webp" TargetMode="External"/><Relationship Id="rId437" Type="http://schemas.openxmlformats.org/officeDocument/2006/relationships/hyperlink" Target="https://docs.fivem.net/vehicles/huntley.webp" TargetMode="External"/><Relationship Id="rId315" Type="http://schemas.openxmlformats.org/officeDocument/2006/relationships/hyperlink" Target="https://docs.fivem.net/vehicles/stalion.webp" TargetMode="External"/><Relationship Id="rId436" Type="http://schemas.openxmlformats.org/officeDocument/2006/relationships/hyperlink" Target="https://docs.fivem.net/vehicles/habanero.webp" TargetMode="External"/><Relationship Id="rId314" Type="http://schemas.openxmlformats.org/officeDocument/2006/relationships/hyperlink" Target="https://docs.fivem.net/vehicles/slamvan3.webp" TargetMode="External"/><Relationship Id="rId435" Type="http://schemas.openxmlformats.org/officeDocument/2006/relationships/hyperlink" Target="https://docs.fivem.net/vehicles/gresley.webp" TargetMode="External"/><Relationship Id="rId313" Type="http://schemas.openxmlformats.org/officeDocument/2006/relationships/hyperlink" Target="https://docs.fivem.net/vehicles/slamvan2.webp" TargetMode="External"/><Relationship Id="rId434" Type="http://schemas.openxmlformats.org/officeDocument/2006/relationships/hyperlink" Target="https://docs.fivem.net/vehicles/granger2.webp" TargetMode="External"/><Relationship Id="rId319" Type="http://schemas.openxmlformats.org/officeDocument/2006/relationships/hyperlink" Target="https://docs.fivem.net/vehicles/tulip.webp" TargetMode="External"/><Relationship Id="rId318" Type="http://schemas.openxmlformats.org/officeDocument/2006/relationships/hyperlink" Target="https://docs.fivem.net/vehicles/tampa2.webp" TargetMode="External"/><Relationship Id="rId439" Type="http://schemas.openxmlformats.org/officeDocument/2006/relationships/hyperlink" Target="https://docs.fivem.net/vehicles/jubilee.webp" TargetMode="External"/><Relationship Id="rId317" Type="http://schemas.openxmlformats.org/officeDocument/2006/relationships/hyperlink" Target="https://docs.fivem.net/vehicles/tampa.webp" TargetMode="External"/><Relationship Id="rId438" Type="http://schemas.openxmlformats.org/officeDocument/2006/relationships/hyperlink" Target="https://docs.fivem.net/vehicles/iwagen.webp" TargetMode="External"/><Relationship Id="rId550" Type="http://schemas.openxmlformats.org/officeDocument/2006/relationships/drawing" Target="../drawings/drawing2.xml"/><Relationship Id="rId312" Type="http://schemas.openxmlformats.org/officeDocument/2006/relationships/hyperlink" Target="https://docs.fivem.net/vehicles/slamvan.webp" TargetMode="External"/><Relationship Id="rId433" Type="http://schemas.openxmlformats.org/officeDocument/2006/relationships/hyperlink" Target="https://docs.fivem.net/vehicles/granger.webp" TargetMode="External"/><Relationship Id="rId311" Type="http://schemas.openxmlformats.org/officeDocument/2006/relationships/hyperlink" Target="https://docs.fivem.net/vehicles/sabregt2.webp" TargetMode="External"/><Relationship Id="rId432" Type="http://schemas.openxmlformats.org/officeDocument/2006/relationships/hyperlink" Target="https://docs.fivem.net/vehicles/fq2.webp" TargetMode="External"/><Relationship Id="rId310" Type="http://schemas.openxmlformats.org/officeDocument/2006/relationships/hyperlink" Target="https://docs.fivem.net/vehicles/sabregt.webp" TargetMode="External"/><Relationship Id="rId431" Type="http://schemas.openxmlformats.org/officeDocument/2006/relationships/hyperlink" Target="https://docs.fivem.net/vehicles/dubsta2.webp" TargetMode="External"/><Relationship Id="rId430" Type="http://schemas.openxmlformats.org/officeDocument/2006/relationships/hyperlink" Target="https://docs.fivem.net/vehicles/dubsta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0.63"/>
    <col customWidth="1" min="2" max="2" width="7.25"/>
    <col customWidth="1" min="3" max="3" width="24.63"/>
    <col customWidth="1" min="4" max="4" width="10.13"/>
    <col customWidth="1" min="5" max="5" width="9.13"/>
    <col customWidth="1" min="6" max="6" width="12.38"/>
    <col customWidth="1" min="7" max="7" width="5.0"/>
    <col customWidth="1" min="8" max="8" width="19.63"/>
    <col customWidth="1" min="9" max="9" width="4.88"/>
    <col customWidth="1" min="10" max="10" width="22.0"/>
    <col customWidth="1" min="11" max="11" width="4.13"/>
    <col customWidth="1" min="14" max="14" width="43.5"/>
  </cols>
  <sheetData>
    <row r="1" ht="15.75" customHeight="1">
      <c r="A1" s="1" t="s">
        <v>0</v>
      </c>
    </row>
    <row r="2" ht="15.75" customHeight="1">
      <c r="B2" s="2"/>
      <c r="C2" s="3" t="s">
        <v>1</v>
      </c>
      <c r="D2" s="4"/>
      <c r="E2" s="4"/>
      <c r="F2" s="4"/>
      <c r="G2" s="4"/>
      <c r="H2" s="4"/>
      <c r="I2" s="4"/>
      <c r="J2" s="5"/>
      <c r="K2" s="6"/>
      <c r="L2" s="7" t="s">
        <v>2</v>
      </c>
      <c r="M2" s="4"/>
      <c r="N2" s="5"/>
    </row>
    <row r="3" ht="20.25" customHeight="1">
      <c r="B3" s="2"/>
      <c r="C3" s="8"/>
      <c r="D3" s="8"/>
      <c r="E3" s="9"/>
      <c r="F3" s="9"/>
      <c r="G3" s="9"/>
      <c r="H3" s="9"/>
      <c r="I3" s="9"/>
      <c r="J3" s="9"/>
      <c r="K3" s="2"/>
      <c r="L3" s="10" t="str">
        <f> "Matrícula: " &amp; TEXT(C30, "")</f>
        <v>Matrícula: </v>
      </c>
      <c r="M3" s="11"/>
      <c r="N3" s="12"/>
    </row>
    <row r="4" ht="21.75" customHeight="1">
      <c r="B4" s="13"/>
      <c r="C4" s="14" t="s">
        <v>3</v>
      </c>
      <c r="D4" s="5"/>
      <c r="E4" s="14" t="s">
        <v>4</v>
      </c>
      <c r="F4" s="5"/>
      <c r="G4" s="15"/>
      <c r="H4" s="14" t="s">
        <v>5</v>
      </c>
      <c r="I4" s="4"/>
      <c r="J4" s="5"/>
      <c r="K4" s="16"/>
      <c r="L4" s="10" t="str">
        <f>"Modelo: " &amp; TEXT(C6 , "")</f>
        <v>Modelo: Shinobi</v>
      </c>
      <c r="M4" s="11"/>
      <c r="N4" s="12"/>
    </row>
    <row r="5" ht="24.75" customHeight="1">
      <c r="A5" s="17"/>
      <c r="B5" s="13"/>
      <c r="C5" s="18" t="s">
        <v>6</v>
      </c>
      <c r="D5" s="5"/>
      <c r="E5" s="19" t="str">
        <f>VLOOKUP(C5,Listado!A:F,4,FALSE)</f>
        <v>Motos</v>
      </c>
      <c r="F5" s="5"/>
      <c r="G5" s="15"/>
      <c r="H5" s="20" t="s">
        <v>7</v>
      </c>
      <c r="I5" s="5"/>
      <c r="J5" s="21">
        <f>IF(D11, E7*0.15, 0) + IF(D11, 300, 0)</f>
        <v>0</v>
      </c>
      <c r="K5" s="16"/>
      <c r="L5" s="10" t="str">
        <f>"Modificación: " &amp;
IF(D7, "Full Tuning", 
   IF(D11, "Motor", "") &amp;
   IF(D13&gt;0, "+ Performance (" &amp; D13 &amp; " piezas) ", "") &amp;
   IF(D15&gt;0, "+ Custom (" &amp; D15 &amp; " piezas) ", "") &amp;
   IF(D17&gt;0, "+ Cosmetic (" &amp; D17 &amp; " piezas) ", "")
) &amp;
IF(D9, "+ Pintura camaleónica ", "") &amp;
IF(D20, "+ Reparación", "")</f>
        <v>Modificación: </v>
      </c>
      <c r="M5" s="11"/>
      <c r="N5" s="12"/>
    </row>
    <row r="6" ht="24.75" customHeight="1">
      <c r="A6" s="17"/>
      <c r="B6" s="13"/>
      <c r="C6" s="22" t="str">
        <f>VLOOKUP(C5,Listado!A:F,2,FALSE)</f>
        <v>Shinobi</v>
      </c>
      <c r="D6" s="5"/>
      <c r="E6" s="23" t="s">
        <v>8</v>
      </c>
      <c r="F6" s="5"/>
      <c r="G6" s="15"/>
      <c r="H6" s="20" t="s">
        <v>9</v>
      </c>
      <c r="I6" s="5"/>
      <c r="J6" s="21">
        <f>IF(D13&gt;0, E7*0.15, 0) + D13*200</f>
        <v>0</v>
      </c>
      <c r="K6" s="16"/>
      <c r="L6" s="10" t="str">
        <f>"Importe: " &amp; TEXT(J9, "#$")</f>
        <v>Importe: $</v>
      </c>
      <c r="M6" s="11"/>
      <c r="N6" s="12"/>
    </row>
    <row r="7" ht="23.25" customHeight="1">
      <c r="A7" s="17"/>
      <c r="B7" s="13"/>
      <c r="C7" s="24" t="s">
        <v>10</v>
      </c>
      <c r="D7" s="25" t="b">
        <v>0</v>
      </c>
      <c r="E7" s="26">
        <f>VLOOKUP(C5,Listado!A:F,3,FALSE)</f>
        <v>100000</v>
      </c>
      <c r="F7" s="5"/>
      <c r="G7" s="15"/>
      <c r="H7" s="20" t="s">
        <v>11</v>
      </c>
      <c r="I7" s="5"/>
      <c r="J7" s="21">
        <f>IF(D15&gt;0, E7*0.05, 0) + D15*100</f>
        <v>0</v>
      </c>
      <c r="K7" s="16"/>
      <c r="L7" s="10" t="str">
        <f>"Empleado que realizo el servicio: " &amp; TEXT(C27 , "")</f>
        <v>Empleado que realizo el servicio: </v>
      </c>
      <c r="M7" s="11"/>
      <c r="N7" s="12"/>
    </row>
    <row r="8" ht="26.25" customHeight="1">
      <c r="A8" s="17"/>
      <c r="B8" s="13"/>
      <c r="C8" s="27"/>
      <c r="D8" s="27"/>
      <c r="E8" s="27"/>
      <c r="F8" s="27"/>
      <c r="G8" s="27"/>
      <c r="H8" s="20" t="s">
        <v>12</v>
      </c>
      <c r="I8" s="5"/>
      <c r="J8" s="28">
        <f>IF(D17&gt;0, E7*0.05, 0) + D17*50</f>
        <v>0</v>
      </c>
      <c r="K8" s="16"/>
      <c r="L8" s="29" t="str">
        <f>"Convenio y descuento: " &amp; I16 &amp; " (" &amp; I13 &amp; "%)"</f>
        <v>Convenio y descuento: N/A (0%)</v>
      </c>
      <c r="M8" s="30"/>
      <c r="N8" s="31"/>
    </row>
    <row r="9" ht="33.75" customHeight="1">
      <c r="A9" s="17"/>
      <c r="B9" s="13"/>
      <c r="C9" s="32" t="s">
        <v>13</v>
      </c>
      <c r="D9" s="25" t="b">
        <v>0</v>
      </c>
      <c r="E9" s="33" t="s">
        <v>14</v>
      </c>
      <c r="G9" s="27"/>
      <c r="H9" s="34" t="s">
        <v>15</v>
      </c>
      <c r="I9" s="5"/>
      <c r="J9" s="35">
        <f>IF(E5="VIP",
        IF(D7,
                5000 +
                IF(D11,300,0) +
                D13*200 +
                D15*100 +
                D17*50 +
                IF(D20,D24,0),
                IF(D11,1000,0) +
                D13*1000 +
                D15*1000 +
                D17*1000 +
                IF(D20,D24,0)
        ),
        IF(D7,
                (E7*0.4)*(1-(I13/100)) +
                IF(D20,D24,0),
                (
                  IF(D11,E7*0.15,0) +
                  IF(D13&gt;0,E7*0.15,0) +
                  IF(D15&gt;0,E7*0.05,0) +
                  IF(D17&gt;0,E7*0.05,0) +
                  IF(D11,300,0) +
                  D13*200 +
                  D15*100 +
                  D17*50
                )*(1-(I13/100)) +
                IF(D20,D24,0)
        )
)+ IF(D9, 5000, 0)</f>
        <v>0</v>
      </c>
      <c r="K9" s="16"/>
    </row>
    <row r="10" ht="24.75" customHeight="1">
      <c r="A10" s="17"/>
      <c r="B10" s="2"/>
      <c r="C10" s="36" t="s">
        <v>7</v>
      </c>
      <c r="D10" s="5"/>
      <c r="E10" s="37" t="s">
        <v>16</v>
      </c>
      <c r="F10" s="27"/>
      <c r="G10" s="9"/>
    </row>
    <row r="11" ht="25.5" customHeight="1">
      <c r="A11" s="17"/>
      <c r="B11" s="2"/>
      <c r="C11" s="38" t="s">
        <v>16</v>
      </c>
      <c r="D11" s="25" t="b">
        <v>0</v>
      </c>
      <c r="E11" s="37" t="s">
        <v>17</v>
      </c>
      <c r="F11" s="37" t="b">
        <v>0</v>
      </c>
      <c r="G11" s="27"/>
      <c r="K11" s="39"/>
      <c r="L11" s="40" t="s">
        <v>18</v>
      </c>
      <c r="M11" s="41"/>
      <c r="N11" s="42"/>
    </row>
    <row r="12" ht="24.75" customHeight="1">
      <c r="A12" s="17"/>
      <c r="B12" s="2"/>
      <c r="C12" s="43" t="s">
        <v>9</v>
      </c>
      <c r="D12" s="5"/>
      <c r="E12" s="1"/>
      <c r="F12" s="1"/>
      <c r="G12" s="27"/>
      <c r="H12" s="44" t="s">
        <v>19</v>
      </c>
      <c r="I12" s="4"/>
      <c r="J12" s="5"/>
      <c r="K12" s="39"/>
      <c r="L12" s="45" t="str">
        <f> "Matrícula: " &amp; TEXT(C30, "")</f>
        <v>Matrícula: </v>
      </c>
      <c r="M12" s="46"/>
      <c r="N12" s="47"/>
    </row>
    <row r="13" ht="15.75" customHeight="1">
      <c r="A13" s="17"/>
      <c r="B13" s="2"/>
      <c r="C13" s="48" t="s">
        <v>16</v>
      </c>
      <c r="D13" s="49">
        <v>0.0</v>
      </c>
      <c r="E13" s="50"/>
      <c r="G13" s="27"/>
      <c r="H13" s="24" t="s">
        <v>20</v>
      </c>
      <c r="I13" s="51">
        <v>0.0</v>
      </c>
      <c r="J13" s="5"/>
      <c r="K13" s="39"/>
      <c r="L13" s="52" t="str">
        <f>"Modelo: " &amp; TEXT(C6 , "")</f>
        <v>Modelo: Shinobi</v>
      </c>
      <c r="M13" s="53"/>
      <c r="N13" s="54"/>
    </row>
    <row r="14" ht="15.75" customHeight="1">
      <c r="A14" s="17"/>
      <c r="B14" s="2"/>
      <c r="C14" s="43" t="s">
        <v>11</v>
      </c>
      <c r="D14" s="5"/>
      <c r="E14" s="50"/>
      <c r="F14" s="55"/>
      <c r="G14" s="27"/>
      <c r="K14" s="39"/>
      <c r="L14" s="52" t="str">
        <f>"Modificación: Reparación" 
</f>
        <v>Modificación: Reparación</v>
      </c>
      <c r="M14" s="53"/>
      <c r="N14" s="54"/>
    </row>
    <row r="15" ht="21.0" customHeight="1">
      <c r="A15" s="17"/>
      <c r="B15" s="2"/>
      <c r="C15" s="48" t="s">
        <v>16</v>
      </c>
      <c r="D15" s="49">
        <v>0.0</v>
      </c>
      <c r="E15" s="50"/>
      <c r="F15" s="50"/>
      <c r="G15" s="27"/>
      <c r="H15" s="44" t="s">
        <v>21</v>
      </c>
      <c r="I15" s="4"/>
      <c r="J15" s="5"/>
      <c r="K15" s="39"/>
      <c r="L15" s="52" t="str">
        <f>"Importe: " &amp; TEXT(D24, "#$")</f>
        <v>Importe: $</v>
      </c>
      <c r="M15" s="53"/>
      <c r="N15" s="54"/>
    </row>
    <row r="16" ht="25.5" customHeight="1">
      <c r="A16" s="17"/>
      <c r="B16" s="2"/>
      <c r="C16" s="43" t="s">
        <v>12</v>
      </c>
      <c r="D16" s="5"/>
      <c r="E16" s="50"/>
      <c r="G16" s="27"/>
      <c r="H16" s="24" t="s">
        <v>21</v>
      </c>
      <c r="I16" s="56" t="s">
        <v>22</v>
      </c>
      <c r="J16" s="5"/>
      <c r="K16" s="39"/>
      <c r="L16" s="52" t="str">
        <f>"Empleado que realizo el servicio: " &amp; TEXT(C27 , "")</f>
        <v>Empleado que realizo el servicio: </v>
      </c>
      <c r="M16" s="53"/>
      <c r="N16" s="54"/>
    </row>
    <row r="17" ht="23.25" customHeight="1">
      <c r="A17" s="17"/>
      <c r="B17" s="2"/>
      <c r="C17" s="48" t="s">
        <v>16</v>
      </c>
      <c r="D17" s="49">
        <v>0.0</v>
      </c>
      <c r="E17" s="50"/>
      <c r="F17" s="50"/>
      <c r="G17" s="27"/>
      <c r="H17" s="57"/>
      <c r="I17" s="57"/>
      <c r="J17" s="57"/>
      <c r="K17" s="39"/>
      <c r="L17" s="58" t="str">
        <f>"Convenio y descuento: " &amp; I16 &amp; " (" &amp; I13 &amp; "%)"</f>
        <v>Convenio y descuento: N/A (0%)</v>
      </c>
      <c r="M17" s="59"/>
      <c r="N17" s="60"/>
    </row>
    <row r="18" ht="15.75" customHeight="1">
      <c r="A18" s="17"/>
      <c r="B18" s="2"/>
      <c r="E18" s="50"/>
      <c r="F18" s="50"/>
      <c r="G18" s="27"/>
      <c r="H18" s="57"/>
      <c r="I18" s="57"/>
      <c r="J18" s="57"/>
      <c r="K18" s="2"/>
    </row>
    <row r="19" ht="15.75" customHeight="1">
      <c r="A19" s="17"/>
      <c r="B19" s="2"/>
      <c r="E19" s="50"/>
      <c r="F19" s="50"/>
      <c r="G19" s="27"/>
      <c r="H19" s="57"/>
      <c r="I19" s="57"/>
      <c r="J19" s="57"/>
      <c r="K19" s="2"/>
    </row>
    <row r="20" ht="15.75" customHeight="1">
      <c r="A20" s="17"/>
      <c r="B20" s="2"/>
      <c r="C20" s="61" t="s">
        <v>23</v>
      </c>
      <c r="D20" s="25" t="b">
        <v>0</v>
      </c>
      <c r="E20" s="62"/>
      <c r="F20" s="62"/>
      <c r="G20" s="27"/>
      <c r="H20" s="57"/>
      <c r="I20" s="57"/>
      <c r="J20" s="57"/>
      <c r="K20" s="2"/>
    </row>
    <row r="21" ht="15.75" customHeight="1">
      <c r="A21" s="17"/>
      <c r="B21" s="2"/>
      <c r="C21" s="63" t="s">
        <v>24</v>
      </c>
      <c r="D21" s="64">
        <v>0.0</v>
      </c>
      <c r="E21" s="62"/>
      <c r="F21" s="62"/>
      <c r="G21" s="27"/>
      <c r="H21" s="57"/>
      <c r="I21" s="57"/>
      <c r="J21" s="57"/>
      <c r="K21" s="2"/>
    </row>
    <row r="22" ht="15.75" customHeight="1">
      <c r="A22" s="17"/>
      <c r="B22" s="2"/>
      <c r="C22" s="63" t="s">
        <v>25</v>
      </c>
      <c r="D22" s="64">
        <v>0.0</v>
      </c>
      <c r="E22" s="62"/>
      <c r="F22" s="62"/>
      <c r="G22" s="27"/>
      <c r="H22" s="57" t="str">
        <f>IFERROR(IMAGE(VLOOKUP(C6,Listado!A:E,5,FALSE)), "No hay imagen para este vehículo")</f>
        <v/>
      </c>
      <c r="K22" s="2"/>
    </row>
    <row r="23" ht="15.75" customHeight="1">
      <c r="A23" s="17"/>
      <c r="B23" s="2"/>
      <c r="C23" s="63" t="s">
        <v>26</v>
      </c>
      <c r="D23" s="64">
        <v>0.0</v>
      </c>
      <c r="E23" s="62"/>
      <c r="F23" s="62"/>
      <c r="G23" s="27"/>
      <c r="K23" s="2"/>
    </row>
    <row r="24" ht="15.75" customHeight="1">
      <c r="A24" s="17"/>
      <c r="B24" s="2"/>
      <c r="C24" s="24" t="s">
        <v>15</v>
      </c>
      <c r="D24" s="65">
        <f>((D21*30) + (D22*65) + (D23*40)) * (1 - I13/100)</f>
        <v>0</v>
      </c>
      <c r="E24" s="66"/>
      <c r="F24" s="66"/>
      <c r="G24" s="27"/>
      <c r="K24" s="2"/>
    </row>
    <row r="25" ht="19.5" customHeight="1">
      <c r="A25" s="17"/>
      <c r="B25" s="2"/>
      <c r="C25" s="27"/>
      <c r="D25" s="66"/>
      <c r="E25" s="27"/>
      <c r="F25" s="27"/>
      <c r="G25" s="27"/>
      <c r="K25" s="2"/>
    </row>
    <row r="26" ht="19.5" customHeight="1">
      <c r="A26" s="17"/>
      <c r="B26" s="2"/>
      <c r="C26" s="44" t="s">
        <v>27</v>
      </c>
      <c r="D26" s="4"/>
      <c r="E26" s="4"/>
      <c r="F26" s="5"/>
      <c r="G26" s="27"/>
      <c r="K26" s="2"/>
    </row>
    <row r="27" ht="15.75" customHeight="1">
      <c r="A27" s="17"/>
      <c r="B27" s="2"/>
      <c r="C27" s="23"/>
      <c r="D27" s="4"/>
      <c r="E27" s="4"/>
      <c r="F27" s="5"/>
      <c r="G27" s="27"/>
      <c r="K27" s="2"/>
      <c r="L27" s="2"/>
      <c r="M27" s="2"/>
      <c r="N27" s="2"/>
    </row>
    <row r="28" ht="15.75" customHeight="1">
      <c r="A28" s="17"/>
      <c r="B28" s="2"/>
      <c r="C28" s="9"/>
      <c r="D28" s="9"/>
      <c r="E28" s="9"/>
      <c r="F28" s="9"/>
      <c r="G28" s="27"/>
      <c r="K28" s="39"/>
      <c r="L28" s="2"/>
      <c r="M28" s="2"/>
      <c r="N28" s="2"/>
    </row>
    <row r="29" ht="15.75" customHeight="1">
      <c r="A29" s="17"/>
      <c r="B29" s="2"/>
      <c r="C29" s="44" t="s">
        <v>28</v>
      </c>
      <c r="D29" s="4"/>
      <c r="E29" s="4"/>
      <c r="F29" s="5"/>
      <c r="G29" s="9"/>
      <c r="K29" s="39"/>
      <c r="L29" s="2"/>
      <c r="M29" s="2"/>
      <c r="N29" s="2"/>
    </row>
    <row r="30" ht="15.75" customHeight="1">
      <c r="A30" s="17"/>
      <c r="B30" s="2"/>
      <c r="C30" s="23"/>
      <c r="D30" s="4"/>
      <c r="E30" s="4"/>
      <c r="F30" s="5"/>
      <c r="G30" s="9"/>
      <c r="K30" s="39"/>
      <c r="L30" s="2"/>
      <c r="M30" s="2"/>
      <c r="N30" s="2"/>
    </row>
    <row r="31" ht="15.75" customHeight="1">
      <c r="B31" s="2"/>
      <c r="C31" s="9"/>
      <c r="D31" s="9"/>
      <c r="E31" s="9"/>
      <c r="F31" s="9"/>
      <c r="G31" s="9"/>
      <c r="K31" s="2"/>
      <c r="L31" s="2"/>
      <c r="M31" s="2"/>
      <c r="N31" s="2"/>
    </row>
    <row r="32" ht="15.75" customHeight="1">
      <c r="B32" s="2"/>
      <c r="C32" s="9"/>
      <c r="D32" s="9"/>
      <c r="E32" s="9"/>
      <c r="F32" s="9"/>
      <c r="G32" s="9"/>
      <c r="K32" s="2"/>
    </row>
    <row r="33" ht="21.75" customHeight="1">
      <c r="B33" s="2"/>
      <c r="C33" s="9"/>
      <c r="D33" s="9"/>
      <c r="E33" s="9"/>
      <c r="F33" s="9"/>
      <c r="G33" s="9"/>
      <c r="K33" s="2"/>
    </row>
    <row r="34" ht="15.75" hidden="1" customHeight="1">
      <c r="B34" s="2"/>
      <c r="C34" s="9"/>
      <c r="D34" s="9"/>
      <c r="E34" s="9"/>
      <c r="F34" s="9"/>
      <c r="G34" s="9"/>
      <c r="K34" s="2"/>
    </row>
    <row r="35" ht="15.75" hidden="1" customHeight="1">
      <c r="B35" s="2"/>
      <c r="C35" s="9"/>
      <c r="D35" s="9"/>
      <c r="E35" s="9"/>
      <c r="F35" s="9"/>
      <c r="G35" s="9"/>
      <c r="K35" s="2"/>
    </row>
    <row r="36" ht="15.75" hidden="1" customHeight="1">
      <c r="B36" s="2"/>
      <c r="C36" s="9"/>
      <c r="D36" s="9"/>
      <c r="E36" s="9"/>
      <c r="F36" s="9"/>
      <c r="G36" s="9"/>
      <c r="K36" s="2"/>
    </row>
    <row r="37" ht="15.75" hidden="1" customHeight="1">
      <c r="B37" s="2"/>
      <c r="C37" s="67"/>
      <c r="D37" s="67"/>
      <c r="E37" s="67"/>
      <c r="F37" s="67"/>
      <c r="G37" s="9"/>
      <c r="H37" s="57" t="str">
        <f>IFERROR(IMAGE(VLOOKUP(C26,Listado!A:E,5,FALSE)), "No hay imagen para este vehículo")</f>
        <v>No hay imagen para este vehículo</v>
      </c>
      <c r="K37" s="2"/>
    </row>
    <row r="38" ht="15.75" hidden="1" customHeight="1">
      <c r="B38" s="2"/>
      <c r="C38" s="67"/>
      <c r="D38" s="67"/>
      <c r="E38" s="67"/>
      <c r="F38" s="67"/>
      <c r="G38" s="9"/>
      <c r="K38" s="2"/>
    </row>
    <row r="39" ht="15.75" hidden="1" customHeight="1">
      <c r="C39" s="67"/>
      <c r="D39" s="67"/>
      <c r="E39" s="67"/>
      <c r="F39" s="67"/>
      <c r="G39" s="67"/>
    </row>
    <row r="40" ht="15.75" hidden="1" customHeight="1">
      <c r="C40" s="67"/>
      <c r="D40" s="67"/>
      <c r="E40" s="67"/>
      <c r="F40" s="67"/>
      <c r="G40" s="67"/>
    </row>
    <row r="41" ht="15.75" hidden="1" customHeight="1">
      <c r="C41" s="67"/>
      <c r="D41" s="67"/>
      <c r="E41" s="67"/>
      <c r="F41" s="67"/>
      <c r="G41" s="67"/>
    </row>
    <row r="42" ht="15.75" hidden="1" customHeight="1">
      <c r="C42" s="67"/>
      <c r="D42" s="67"/>
      <c r="E42" s="67"/>
      <c r="F42" s="67"/>
      <c r="G42" s="67"/>
    </row>
    <row r="43" ht="15.75" hidden="1" customHeight="1">
      <c r="C43" s="67"/>
      <c r="D43" s="67"/>
      <c r="E43" s="67"/>
      <c r="F43" s="67"/>
      <c r="G43" s="67"/>
    </row>
    <row r="44" ht="15.75" hidden="1" customHeight="1">
      <c r="C44" s="67"/>
      <c r="D44" s="67"/>
      <c r="E44" s="67"/>
      <c r="F44" s="67"/>
      <c r="G44" s="67"/>
    </row>
    <row r="45" ht="15.75" hidden="1" customHeight="1">
      <c r="C45" s="67"/>
      <c r="D45" s="67"/>
      <c r="E45" s="67"/>
      <c r="F45" s="67"/>
      <c r="G45" s="67"/>
    </row>
    <row r="46" ht="15.75" hidden="1" customHeight="1">
      <c r="C46" s="67"/>
      <c r="D46" s="67"/>
      <c r="E46" s="67"/>
      <c r="F46" s="67"/>
      <c r="G46" s="67"/>
    </row>
    <row r="47" ht="15.75" hidden="1" customHeight="1">
      <c r="C47" s="67"/>
      <c r="D47" s="67"/>
      <c r="E47" s="67"/>
      <c r="F47" s="67"/>
      <c r="G47" s="67"/>
    </row>
    <row r="48" ht="15.75" hidden="1" customHeight="1">
      <c r="C48" s="67"/>
      <c r="D48" s="67"/>
      <c r="E48" s="67"/>
      <c r="F48" s="67"/>
      <c r="G48" s="67"/>
    </row>
    <row r="49" ht="15.75" hidden="1" customHeight="1">
      <c r="C49" s="67"/>
      <c r="D49" s="67"/>
      <c r="E49" s="67"/>
      <c r="F49" s="67"/>
      <c r="G49" s="67"/>
    </row>
    <row r="50" ht="15.75" hidden="1" customHeight="1">
      <c r="C50" s="67"/>
      <c r="D50" s="67"/>
      <c r="E50" s="67"/>
      <c r="F50" s="67"/>
      <c r="G50" s="67"/>
    </row>
    <row r="51" ht="15.75" hidden="1" customHeight="1">
      <c r="C51" s="67"/>
      <c r="D51" s="67"/>
      <c r="E51" s="67"/>
      <c r="F51" s="67"/>
      <c r="G51" s="67"/>
    </row>
    <row r="52" ht="15.75" hidden="1" customHeight="1">
      <c r="C52" s="67"/>
      <c r="D52" s="67"/>
      <c r="E52" s="67"/>
      <c r="F52" s="67"/>
      <c r="G52" s="67"/>
      <c r="H52" s="57" t="str">
        <f>IFERROR(IMAGE(VLOOKUP(C39,Listado!A:E,5,FALSE)), "No hay imagen para este vehículo")</f>
        <v>No hay imagen para este vehículo</v>
      </c>
    </row>
    <row r="53" ht="15.75" hidden="1" customHeight="1">
      <c r="C53" s="67"/>
      <c r="D53" s="67"/>
      <c r="E53" s="67"/>
      <c r="F53" s="67"/>
      <c r="G53" s="67"/>
    </row>
    <row r="54" ht="15.75" hidden="1" customHeight="1">
      <c r="C54" s="67"/>
      <c r="D54" s="67"/>
      <c r="E54" s="67"/>
      <c r="F54" s="67"/>
      <c r="G54" s="67"/>
    </row>
    <row r="55" ht="15.75" hidden="1" customHeight="1">
      <c r="C55" s="67"/>
      <c r="D55" s="67"/>
      <c r="E55" s="67"/>
      <c r="F55" s="67"/>
      <c r="G55" s="67"/>
    </row>
    <row r="56" ht="15.75" hidden="1" customHeight="1">
      <c r="C56" s="67"/>
      <c r="D56" s="67"/>
      <c r="E56" s="67"/>
      <c r="F56" s="67"/>
      <c r="G56" s="67"/>
    </row>
    <row r="57" ht="15.75" hidden="1" customHeight="1">
      <c r="C57" s="67"/>
      <c r="D57" s="67"/>
      <c r="E57" s="67"/>
      <c r="F57" s="67"/>
      <c r="G57" s="67"/>
    </row>
    <row r="58" ht="15.75" hidden="1" customHeight="1">
      <c r="C58" s="67"/>
      <c r="D58" s="67"/>
      <c r="E58" s="67"/>
      <c r="F58" s="67"/>
      <c r="G58" s="67"/>
    </row>
    <row r="59" ht="15.75" hidden="1" customHeight="1">
      <c r="C59" s="67"/>
      <c r="D59" s="67"/>
      <c r="E59" s="67"/>
      <c r="F59" s="67"/>
      <c r="G59" s="67"/>
    </row>
    <row r="60" ht="15.75" hidden="1" customHeight="1">
      <c r="C60" s="67"/>
      <c r="D60" s="67"/>
      <c r="E60" s="67"/>
      <c r="F60" s="67"/>
      <c r="G60" s="67"/>
    </row>
    <row r="61" ht="15.75" hidden="1" customHeight="1">
      <c r="C61" s="67"/>
      <c r="D61" s="67"/>
      <c r="E61" s="67"/>
      <c r="F61" s="67"/>
      <c r="G61" s="67"/>
    </row>
    <row r="62" ht="15.75" hidden="1" customHeight="1">
      <c r="C62" s="67"/>
      <c r="D62" s="67"/>
      <c r="E62" s="67"/>
      <c r="F62" s="67"/>
      <c r="G62" s="67"/>
    </row>
    <row r="63" ht="15.75" hidden="1" customHeight="1">
      <c r="C63" s="67"/>
      <c r="D63" s="67"/>
      <c r="E63" s="67"/>
      <c r="F63" s="67"/>
      <c r="G63" s="67"/>
    </row>
    <row r="64" ht="15.75" hidden="1" customHeight="1">
      <c r="C64" s="67"/>
      <c r="D64" s="67"/>
      <c r="E64" s="67"/>
      <c r="F64" s="67"/>
      <c r="G64" s="67"/>
    </row>
    <row r="65" ht="15.75" hidden="1" customHeight="1">
      <c r="C65" s="67"/>
      <c r="D65" s="67"/>
      <c r="E65" s="67"/>
      <c r="F65" s="67"/>
      <c r="G65" s="67"/>
    </row>
    <row r="66" ht="15.75" hidden="1" customHeight="1">
      <c r="C66" s="67"/>
      <c r="D66" s="67"/>
      <c r="E66" s="67"/>
      <c r="F66" s="67"/>
      <c r="G66" s="67"/>
    </row>
    <row r="67" ht="15.75" hidden="1" customHeight="1">
      <c r="C67" s="67"/>
      <c r="D67" s="67"/>
      <c r="E67" s="67"/>
      <c r="F67" s="67"/>
      <c r="G67" s="67"/>
      <c r="H67" s="57" t="str">
        <f>IFERROR(IMAGE(VLOOKUP(C54,Listado!A:E,5,FALSE)), "No hay imagen para este vehículo")</f>
        <v>No hay imagen para este vehículo</v>
      </c>
    </row>
    <row r="68" ht="15.75" hidden="1" customHeight="1">
      <c r="C68" s="67"/>
      <c r="D68" s="67"/>
      <c r="E68" s="67"/>
      <c r="F68" s="67"/>
      <c r="G68" s="67"/>
    </row>
    <row r="69" ht="15.75" hidden="1" customHeight="1">
      <c r="C69" s="67"/>
      <c r="D69" s="67"/>
      <c r="E69" s="67"/>
      <c r="F69" s="67"/>
      <c r="G69" s="67"/>
    </row>
    <row r="70" ht="15.75" hidden="1" customHeight="1">
      <c r="C70" s="67"/>
      <c r="D70" s="67"/>
      <c r="E70" s="67"/>
      <c r="F70" s="67"/>
      <c r="G70" s="67"/>
    </row>
    <row r="71" ht="15.75" hidden="1" customHeight="1">
      <c r="C71" s="67"/>
      <c r="D71" s="67"/>
      <c r="E71" s="67"/>
      <c r="F71" s="67"/>
      <c r="G71" s="67"/>
    </row>
    <row r="72" ht="15.75" hidden="1" customHeight="1">
      <c r="C72" s="67"/>
      <c r="D72" s="67"/>
      <c r="E72" s="67"/>
      <c r="F72" s="67"/>
      <c r="G72" s="67"/>
    </row>
    <row r="73" ht="15.75" hidden="1" customHeight="1">
      <c r="C73" s="67"/>
      <c r="D73" s="67"/>
      <c r="E73" s="67"/>
      <c r="F73" s="67"/>
      <c r="G73" s="67"/>
    </row>
    <row r="74" ht="15.75" hidden="1" customHeight="1">
      <c r="C74" s="67"/>
      <c r="D74" s="67"/>
      <c r="E74" s="67"/>
      <c r="F74" s="67"/>
      <c r="G74" s="67"/>
    </row>
    <row r="75" ht="15.75" hidden="1" customHeight="1">
      <c r="C75" s="67"/>
      <c r="D75" s="67"/>
      <c r="E75" s="67"/>
      <c r="F75" s="67"/>
      <c r="G75" s="67"/>
    </row>
    <row r="76" ht="15.75" hidden="1" customHeight="1">
      <c r="C76" s="67"/>
      <c r="D76" s="67"/>
      <c r="E76" s="67"/>
      <c r="F76" s="67"/>
      <c r="G76" s="67"/>
    </row>
    <row r="77" ht="15.75" hidden="1" customHeight="1">
      <c r="C77" s="67"/>
      <c r="D77" s="67"/>
      <c r="E77" s="67"/>
      <c r="F77" s="67"/>
      <c r="G77" s="67"/>
    </row>
    <row r="78" ht="15.75" hidden="1" customHeight="1">
      <c r="C78" s="67"/>
      <c r="D78" s="67"/>
      <c r="E78" s="67"/>
      <c r="F78" s="67"/>
      <c r="G78" s="67"/>
    </row>
    <row r="79" ht="15.75" hidden="1" customHeight="1">
      <c r="C79" s="67"/>
      <c r="D79" s="67"/>
      <c r="E79" s="67"/>
      <c r="F79" s="67"/>
      <c r="G79" s="67"/>
    </row>
    <row r="80" ht="15.75" hidden="1" customHeight="1">
      <c r="C80" s="67"/>
      <c r="D80" s="67"/>
      <c r="E80" s="67"/>
      <c r="F80" s="67"/>
      <c r="G80" s="67"/>
    </row>
    <row r="81" ht="15.75" hidden="1" customHeight="1">
      <c r="C81" s="67"/>
      <c r="D81" s="67"/>
      <c r="E81" s="67"/>
      <c r="F81" s="67"/>
      <c r="G81" s="67"/>
    </row>
    <row r="82" ht="15.75" hidden="1" customHeight="1">
      <c r="C82" s="67"/>
      <c r="D82" s="67"/>
      <c r="E82" s="67"/>
      <c r="F82" s="67"/>
      <c r="G82" s="67"/>
      <c r="H82" s="57" t="str">
        <f>IFERROR(IMAGE(VLOOKUP(C69,Listado!A:E,5,FALSE)), "No hay imagen para este vehículo")</f>
        <v>No hay imagen para este vehículo</v>
      </c>
    </row>
    <row r="83" ht="15.75" hidden="1" customHeight="1">
      <c r="C83" s="67"/>
      <c r="D83" s="67"/>
      <c r="E83" s="67"/>
      <c r="F83" s="67"/>
      <c r="G83" s="67"/>
    </row>
    <row r="84" ht="15.75" hidden="1" customHeight="1">
      <c r="C84" s="67"/>
      <c r="D84" s="67"/>
      <c r="E84" s="67"/>
      <c r="F84" s="67"/>
      <c r="G84" s="67"/>
    </row>
    <row r="85" ht="15.75" hidden="1" customHeight="1">
      <c r="C85" s="67"/>
      <c r="D85" s="67"/>
      <c r="E85" s="67"/>
      <c r="F85" s="67"/>
      <c r="G85" s="67"/>
    </row>
    <row r="86" ht="15.75" hidden="1" customHeight="1">
      <c r="C86" s="67"/>
      <c r="D86" s="67"/>
      <c r="E86" s="67"/>
      <c r="F86" s="67"/>
      <c r="G86" s="67"/>
    </row>
    <row r="87" ht="15.75" hidden="1" customHeight="1">
      <c r="C87" s="67"/>
      <c r="D87" s="67"/>
      <c r="E87" s="67"/>
      <c r="F87" s="67"/>
      <c r="G87" s="67"/>
    </row>
    <row r="88" ht="15.75" hidden="1" customHeight="1">
      <c r="C88" s="67"/>
      <c r="D88" s="67"/>
      <c r="E88" s="67"/>
      <c r="F88" s="67"/>
      <c r="G88" s="67"/>
    </row>
    <row r="89" ht="15.75" hidden="1" customHeight="1">
      <c r="C89" s="67"/>
      <c r="D89" s="67"/>
      <c r="E89" s="67"/>
      <c r="F89" s="67"/>
      <c r="G89" s="67"/>
    </row>
    <row r="90" ht="15.75" hidden="1" customHeight="1">
      <c r="C90" s="67"/>
      <c r="D90" s="67"/>
      <c r="E90" s="67"/>
      <c r="F90" s="67"/>
      <c r="G90" s="67"/>
    </row>
    <row r="91" ht="15.75" hidden="1" customHeight="1">
      <c r="C91" s="67"/>
      <c r="D91" s="67"/>
      <c r="E91" s="67"/>
      <c r="F91" s="67"/>
      <c r="G91" s="67"/>
    </row>
    <row r="92" ht="15.75" hidden="1" customHeight="1">
      <c r="C92" s="67"/>
      <c r="D92" s="67"/>
      <c r="E92" s="67"/>
      <c r="F92" s="67"/>
      <c r="G92" s="67"/>
    </row>
    <row r="93" ht="15.75" hidden="1" customHeight="1">
      <c r="C93" s="67"/>
      <c r="D93" s="67"/>
      <c r="E93" s="67"/>
      <c r="F93" s="67"/>
      <c r="G93" s="67"/>
    </row>
    <row r="94" ht="15.75" hidden="1" customHeight="1">
      <c r="C94" s="67"/>
      <c r="D94" s="67"/>
      <c r="E94" s="67"/>
      <c r="F94" s="67"/>
      <c r="G94" s="67"/>
    </row>
    <row r="95" ht="15.75" hidden="1" customHeight="1">
      <c r="C95" s="67"/>
      <c r="D95" s="67"/>
      <c r="E95" s="67"/>
      <c r="F95" s="67"/>
      <c r="G95" s="67"/>
    </row>
    <row r="96" ht="15.75" hidden="1" customHeight="1">
      <c r="C96" s="67"/>
      <c r="D96" s="67"/>
      <c r="E96" s="67"/>
      <c r="F96" s="67"/>
      <c r="G96" s="67"/>
    </row>
    <row r="97" ht="15.75" hidden="1" customHeight="1">
      <c r="C97" s="67"/>
      <c r="D97" s="67"/>
      <c r="E97" s="67"/>
      <c r="F97" s="67"/>
      <c r="G97" s="67"/>
      <c r="H97" s="57" t="str">
        <f>IFERROR(IMAGE(VLOOKUP(C84,Listado!A:E,5,FALSE)), "No hay imagen para este vehículo")</f>
        <v>No hay imagen para este vehículo</v>
      </c>
    </row>
    <row r="98" ht="15.75" hidden="1" customHeight="1">
      <c r="C98" s="67"/>
      <c r="D98" s="67"/>
      <c r="E98" s="67"/>
      <c r="F98" s="67"/>
      <c r="G98" s="67"/>
    </row>
    <row r="99" ht="15.75" hidden="1" customHeight="1">
      <c r="C99" s="67"/>
      <c r="D99" s="67"/>
      <c r="E99" s="67"/>
      <c r="F99" s="67"/>
      <c r="G99" s="67"/>
    </row>
    <row r="100" ht="15.75" hidden="1" customHeight="1">
      <c r="C100" s="67"/>
      <c r="D100" s="67"/>
      <c r="E100" s="67"/>
      <c r="F100" s="67"/>
      <c r="G100" s="67"/>
    </row>
    <row r="101" ht="15.75" hidden="1" customHeight="1">
      <c r="C101" s="67"/>
      <c r="D101" s="67"/>
      <c r="E101" s="67"/>
      <c r="F101" s="67"/>
      <c r="G101" s="67"/>
    </row>
    <row r="102" ht="15.75" hidden="1" customHeight="1">
      <c r="C102" s="67"/>
      <c r="D102" s="67"/>
      <c r="E102" s="67"/>
      <c r="F102" s="67"/>
      <c r="G102" s="67"/>
    </row>
    <row r="103" ht="15.75" hidden="1" customHeight="1">
      <c r="C103" s="67"/>
      <c r="D103" s="67"/>
      <c r="E103" s="67"/>
      <c r="F103" s="67"/>
      <c r="G103" s="67"/>
    </row>
    <row r="104" ht="15.75" hidden="1" customHeight="1">
      <c r="C104" s="67"/>
      <c r="D104" s="67"/>
      <c r="E104" s="67"/>
      <c r="F104" s="67"/>
      <c r="G104" s="67"/>
    </row>
    <row r="105" ht="15.75" hidden="1" customHeight="1">
      <c r="C105" s="67"/>
      <c r="D105" s="67"/>
      <c r="E105" s="67"/>
      <c r="F105" s="67"/>
      <c r="G105" s="67"/>
    </row>
    <row r="106" ht="15.75" hidden="1" customHeight="1">
      <c r="C106" s="67"/>
      <c r="D106" s="67"/>
      <c r="E106" s="67"/>
      <c r="F106" s="67"/>
      <c r="G106" s="67"/>
    </row>
    <row r="107" ht="15.75" hidden="1" customHeight="1">
      <c r="C107" s="67"/>
      <c r="D107" s="67"/>
      <c r="E107" s="67"/>
      <c r="F107" s="67"/>
      <c r="G107" s="67"/>
    </row>
    <row r="108" ht="15.75" hidden="1" customHeight="1">
      <c r="C108" s="67"/>
      <c r="D108" s="67"/>
      <c r="E108" s="67"/>
      <c r="F108" s="67"/>
      <c r="G108" s="67"/>
    </row>
    <row r="109" ht="15.75" hidden="1" customHeight="1">
      <c r="C109" s="67"/>
      <c r="D109" s="67"/>
      <c r="E109" s="67"/>
      <c r="F109" s="67"/>
      <c r="G109" s="67"/>
    </row>
    <row r="110" ht="15.75" hidden="1" customHeight="1">
      <c r="C110" s="67"/>
      <c r="D110" s="67"/>
      <c r="E110" s="67"/>
      <c r="F110" s="67"/>
      <c r="G110" s="67"/>
    </row>
    <row r="111" ht="15.75" hidden="1" customHeight="1">
      <c r="C111" s="67"/>
      <c r="D111" s="67"/>
      <c r="E111" s="67"/>
      <c r="F111" s="67"/>
      <c r="G111" s="67"/>
    </row>
    <row r="112" ht="15.75" hidden="1" customHeight="1">
      <c r="C112" s="67"/>
      <c r="D112" s="67"/>
      <c r="E112" s="67"/>
      <c r="F112" s="67"/>
      <c r="G112" s="67"/>
      <c r="H112" s="57" t="str">
        <f>IFERROR(IMAGE(VLOOKUP(C99,Listado!A:E,5,FALSE)), "No hay imagen para este vehículo")</f>
        <v>No hay imagen para este vehículo</v>
      </c>
    </row>
    <row r="113" ht="15.75" hidden="1" customHeight="1">
      <c r="C113" s="67"/>
      <c r="D113" s="67"/>
      <c r="E113" s="67"/>
      <c r="F113" s="67"/>
      <c r="G113" s="67"/>
    </row>
    <row r="114" ht="15.75" hidden="1" customHeight="1">
      <c r="C114" s="67"/>
      <c r="D114" s="67"/>
      <c r="E114" s="67"/>
      <c r="F114" s="67"/>
      <c r="G114" s="67"/>
    </row>
    <row r="115" ht="15.75" hidden="1" customHeight="1">
      <c r="C115" s="67"/>
      <c r="D115" s="67"/>
      <c r="E115" s="67"/>
      <c r="F115" s="67"/>
      <c r="G115" s="67"/>
    </row>
    <row r="116" ht="15.75" hidden="1" customHeight="1">
      <c r="C116" s="67"/>
      <c r="D116" s="67"/>
      <c r="E116" s="67"/>
      <c r="F116" s="67"/>
      <c r="G116" s="67"/>
    </row>
    <row r="117" ht="15.75" hidden="1" customHeight="1">
      <c r="C117" s="67"/>
      <c r="D117" s="67"/>
      <c r="E117" s="67"/>
      <c r="F117" s="67"/>
      <c r="G117" s="67"/>
    </row>
    <row r="118" ht="15.75" hidden="1" customHeight="1">
      <c r="C118" s="67"/>
      <c r="D118" s="67"/>
      <c r="E118" s="67"/>
      <c r="F118" s="67"/>
      <c r="G118" s="67"/>
    </row>
    <row r="119" ht="15.75" hidden="1" customHeight="1">
      <c r="C119" s="67"/>
      <c r="D119" s="67"/>
      <c r="E119" s="67"/>
      <c r="F119" s="67"/>
      <c r="G119" s="67"/>
    </row>
    <row r="120" ht="15.75" hidden="1" customHeight="1">
      <c r="C120" s="67"/>
      <c r="D120" s="67"/>
      <c r="E120" s="67"/>
      <c r="F120" s="67"/>
      <c r="G120" s="67"/>
    </row>
    <row r="121" ht="15.75" hidden="1" customHeight="1">
      <c r="C121" s="67"/>
      <c r="D121" s="67"/>
      <c r="E121" s="67"/>
      <c r="F121" s="67"/>
      <c r="G121" s="67"/>
    </row>
    <row r="122" ht="15.75" hidden="1" customHeight="1">
      <c r="C122" s="67"/>
      <c r="D122" s="67"/>
      <c r="E122" s="67"/>
      <c r="F122" s="67"/>
      <c r="G122" s="67"/>
    </row>
    <row r="123" ht="15.75" hidden="1" customHeight="1">
      <c r="C123" s="67"/>
      <c r="D123" s="67"/>
      <c r="E123" s="67"/>
      <c r="F123" s="67"/>
      <c r="G123" s="67"/>
    </row>
    <row r="124" ht="15.75" hidden="1" customHeight="1">
      <c r="C124" s="67"/>
      <c r="D124" s="67"/>
      <c r="E124" s="67"/>
      <c r="F124" s="67"/>
      <c r="G124" s="67"/>
    </row>
    <row r="125" ht="15.75" hidden="1" customHeight="1">
      <c r="C125" s="67"/>
      <c r="D125" s="67"/>
      <c r="E125" s="67"/>
      <c r="F125" s="67"/>
      <c r="G125" s="67"/>
    </row>
    <row r="126" ht="15.75" hidden="1" customHeight="1">
      <c r="C126" s="67"/>
      <c r="D126" s="67"/>
      <c r="E126" s="67"/>
      <c r="F126" s="67"/>
      <c r="G126" s="67"/>
    </row>
    <row r="127" ht="15.75" hidden="1" customHeight="1">
      <c r="C127" s="67"/>
      <c r="D127" s="67"/>
      <c r="E127" s="67"/>
      <c r="F127" s="67"/>
      <c r="G127" s="67"/>
      <c r="H127" s="57" t="str">
        <f>IFERROR(IMAGE(VLOOKUP(C114,Listado!A:E,5,FALSE)), "No hay imagen para este vehículo")</f>
        <v>No hay imagen para este vehículo</v>
      </c>
    </row>
    <row r="128" ht="15.75" hidden="1" customHeight="1">
      <c r="C128" s="67"/>
      <c r="D128" s="67"/>
      <c r="E128" s="67"/>
      <c r="F128" s="67"/>
      <c r="G128" s="67"/>
    </row>
    <row r="129" ht="15.75" hidden="1" customHeight="1">
      <c r="C129" s="67"/>
      <c r="D129" s="67"/>
      <c r="E129" s="67"/>
      <c r="F129" s="67"/>
      <c r="G129" s="67"/>
    </row>
    <row r="130" ht="15.75" hidden="1" customHeight="1">
      <c r="C130" s="67"/>
      <c r="D130" s="67"/>
      <c r="E130" s="67"/>
      <c r="F130" s="67"/>
      <c r="G130" s="67"/>
    </row>
    <row r="131" ht="15.75" hidden="1" customHeight="1">
      <c r="C131" s="67"/>
      <c r="D131" s="67"/>
      <c r="E131" s="67"/>
      <c r="F131" s="67"/>
      <c r="G131" s="67"/>
    </row>
    <row r="132" ht="15.75" hidden="1" customHeight="1">
      <c r="C132" s="67"/>
      <c r="D132" s="67"/>
      <c r="E132" s="67"/>
      <c r="F132" s="67"/>
      <c r="G132" s="67"/>
    </row>
    <row r="133" ht="15.75" hidden="1" customHeight="1">
      <c r="C133" s="67"/>
      <c r="D133" s="67"/>
      <c r="E133" s="67"/>
      <c r="F133" s="67"/>
      <c r="G133" s="67"/>
    </row>
    <row r="134" ht="15.75" hidden="1" customHeight="1">
      <c r="C134" s="67"/>
      <c r="D134" s="67"/>
      <c r="E134" s="67"/>
      <c r="F134" s="67"/>
      <c r="G134" s="67"/>
    </row>
    <row r="135" ht="15.75" hidden="1" customHeight="1">
      <c r="C135" s="67"/>
      <c r="D135" s="67"/>
      <c r="E135" s="67"/>
      <c r="F135" s="67"/>
      <c r="G135" s="67"/>
    </row>
    <row r="136" ht="15.75" hidden="1" customHeight="1">
      <c r="C136" s="67"/>
      <c r="D136" s="67"/>
      <c r="E136" s="67"/>
      <c r="F136" s="67"/>
      <c r="G136" s="67"/>
    </row>
    <row r="137" ht="15.75" hidden="1" customHeight="1">
      <c r="C137" s="67"/>
      <c r="D137" s="67"/>
      <c r="E137" s="67"/>
      <c r="F137" s="67"/>
      <c r="G137" s="67"/>
    </row>
    <row r="138" ht="15.75" hidden="1" customHeight="1">
      <c r="C138" s="67"/>
      <c r="D138" s="67"/>
      <c r="E138" s="67"/>
      <c r="F138" s="67"/>
      <c r="G138" s="67"/>
    </row>
    <row r="139" ht="15.75" hidden="1" customHeight="1">
      <c r="C139" s="67"/>
      <c r="D139" s="67"/>
      <c r="E139" s="67"/>
      <c r="F139" s="67"/>
      <c r="G139" s="67"/>
    </row>
    <row r="140" ht="15.75" hidden="1" customHeight="1">
      <c r="C140" s="67"/>
      <c r="D140" s="67"/>
      <c r="E140" s="67"/>
      <c r="F140" s="67"/>
      <c r="G140" s="67"/>
    </row>
    <row r="141" ht="15.75" hidden="1" customHeight="1">
      <c r="C141" s="67"/>
      <c r="D141" s="67"/>
      <c r="E141" s="67"/>
      <c r="F141" s="67"/>
      <c r="G141" s="67"/>
    </row>
    <row r="142" ht="15.75" hidden="1" customHeight="1">
      <c r="C142" s="67"/>
      <c r="D142" s="67"/>
      <c r="E142" s="67"/>
      <c r="F142" s="67"/>
      <c r="G142" s="67"/>
      <c r="H142" s="57" t="str">
        <f>IFERROR(IMAGE(VLOOKUP(C129,Listado!A:E,5,FALSE)), "No hay imagen para este vehículo")</f>
        <v>No hay imagen para este vehículo</v>
      </c>
    </row>
    <row r="143" ht="15.75" hidden="1" customHeight="1">
      <c r="C143" s="67"/>
      <c r="D143" s="67"/>
      <c r="E143" s="67"/>
      <c r="F143" s="67"/>
      <c r="G143" s="67"/>
    </row>
    <row r="144" ht="15.75" hidden="1" customHeight="1">
      <c r="C144" s="67"/>
      <c r="D144" s="67"/>
      <c r="E144" s="67"/>
      <c r="F144" s="67"/>
      <c r="G144" s="67"/>
    </row>
    <row r="145" ht="15.75" hidden="1" customHeight="1">
      <c r="C145" s="67"/>
      <c r="D145" s="67"/>
      <c r="E145" s="67"/>
      <c r="F145" s="67"/>
      <c r="G145" s="67"/>
    </row>
    <row r="146" ht="15.75" hidden="1" customHeight="1">
      <c r="C146" s="67"/>
      <c r="D146" s="67"/>
      <c r="E146" s="67"/>
      <c r="F146" s="67"/>
      <c r="G146" s="67"/>
    </row>
    <row r="147" ht="15.75" hidden="1" customHeight="1">
      <c r="C147" s="67"/>
      <c r="D147" s="67"/>
      <c r="E147" s="67"/>
      <c r="F147" s="67"/>
      <c r="G147" s="67"/>
    </row>
    <row r="148" ht="15.75" hidden="1" customHeight="1">
      <c r="C148" s="67"/>
      <c r="D148" s="67"/>
      <c r="E148" s="67"/>
      <c r="F148" s="67"/>
      <c r="G148" s="67"/>
    </row>
    <row r="149" ht="15.75" hidden="1" customHeight="1">
      <c r="C149" s="67"/>
      <c r="D149" s="67"/>
      <c r="E149" s="67"/>
      <c r="F149" s="67"/>
      <c r="G149" s="67"/>
    </row>
    <row r="150" ht="15.75" hidden="1" customHeight="1">
      <c r="C150" s="67"/>
      <c r="D150" s="67"/>
      <c r="E150" s="67"/>
      <c r="F150" s="67"/>
      <c r="G150" s="67"/>
    </row>
    <row r="151" ht="15.75" hidden="1" customHeight="1">
      <c r="C151" s="67"/>
      <c r="D151" s="67"/>
      <c r="E151" s="67"/>
      <c r="F151" s="67"/>
      <c r="G151" s="67"/>
    </row>
    <row r="152" ht="15.75" hidden="1" customHeight="1">
      <c r="C152" s="67"/>
      <c r="D152" s="67"/>
      <c r="E152" s="67"/>
      <c r="F152" s="67"/>
      <c r="G152" s="67"/>
    </row>
    <row r="153" ht="15.75" hidden="1" customHeight="1">
      <c r="C153" s="67"/>
      <c r="D153" s="67"/>
      <c r="E153" s="67"/>
      <c r="F153" s="67"/>
      <c r="G153" s="67"/>
    </row>
    <row r="154" ht="15.75" hidden="1" customHeight="1">
      <c r="C154" s="67"/>
      <c r="D154" s="67"/>
      <c r="E154" s="67"/>
      <c r="F154" s="67"/>
      <c r="G154" s="67"/>
    </row>
    <row r="155" ht="15.75" hidden="1" customHeight="1">
      <c r="C155" s="67"/>
      <c r="D155" s="67"/>
      <c r="E155" s="67"/>
      <c r="F155" s="67"/>
      <c r="G155" s="67"/>
    </row>
    <row r="156" ht="15.75" hidden="1" customHeight="1">
      <c r="C156" s="67"/>
      <c r="D156" s="67"/>
      <c r="E156" s="67"/>
      <c r="F156" s="67"/>
      <c r="G156" s="67"/>
    </row>
    <row r="157" ht="15.75" hidden="1" customHeight="1">
      <c r="C157" s="67"/>
      <c r="D157" s="67"/>
      <c r="E157" s="67"/>
      <c r="F157" s="67"/>
      <c r="G157" s="67"/>
      <c r="H157" s="57" t="str">
        <f>IFERROR(IMAGE(VLOOKUP(C144,Listado!A:E,5,FALSE)), "No hay imagen para este vehículo")</f>
        <v>No hay imagen para este vehículo</v>
      </c>
    </row>
    <row r="158" ht="15.75" hidden="1" customHeight="1">
      <c r="C158" s="67"/>
      <c r="D158" s="67"/>
      <c r="E158" s="67"/>
      <c r="F158" s="67"/>
      <c r="G158" s="67"/>
    </row>
    <row r="159" ht="15.75" hidden="1" customHeight="1">
      <c r="C159" s="67"/>
      <c r="D159" s="67"/>
      <c r="E159" s="67"/>
      <c r="F159" s="67"/>
      <c r="G159" s="67"/>
    </row>
    <row r="160" ht="15.75" hidden="1" customHeight="1">
      <c r="C160" s="67"/>
      <c r="D160" s="67"/>
      <c r="E160" s="67"/>
      <c r="F160" s="67"/>
      <c r="G160" s="67"/>
    </row>
    <row r="161" ht="15.75" hidden="1" customHeight="1">
      <c r="C161" s="67"/>
      <c r="D161" s="67"/>
      <c r="E161" s="67"/>
      <c r="F161" s="67"/>
      <c r="G161" s="67"/>
    </row>
    <row r="162" ht="15.75" hidden="1" customHeight="1">
      <c r="C162" s="67"/>
      <c r="D162" s="67"/>
      <c r="E162" s="67"/>
      <c r="F162" s="67"/>
      <c r="G162" s="67"/>
    </row>
    <row r="163" ht="15.75" hidden="1" customHeight="1">
      <c r="C163" s="67"/>
      <c r="D163" s="67"/>
      <c r="E163" s="67"/>
      <c r="F163" s="67"/>
      <c r="G163" s="67"/>
    </row>
    <row r="164" ht="15.75" hidden="1" customHeight="1">
      <c r="C164" s="67"/>
      <c r="D164" s="67"/>
      <c r="E164" s="67"/>
      <c r="F164" s="67"/>
      <c r="G164" s="67"/>
    </row>
    <row r="165" ht="15.75" hidden="1" customHeight="1">
      <c r="C165" s="67"/>
      <c r="D165" s="67"/>
      <c r="E165" s="67"/>
      <c r="F165" s="67"/>
      <c r="G165" s="67"/>
    </row>
    <row r="166" ht="15.75" hidden="1" customHeight="1">
      <c r="C166" s="67"/>
      <c r="D166" s="67"/>
      <c r="E166" s="67"/>
      <c r="F166" s="67"/>
      <c r="G166" s="67"/>
    </row>
    <row r="167" ht="15.75" hidden="1" customHeight="1">
      <c r="C167" s="67"/>
      <c r="D167" s="67"/>
      <c r="E167" s="67"/>
      <c r="F167" s="67"/>
      <c r="G167" s="67"/>
    </row>
    <row r="168" ht="15.75" hidden="1" customHeight="1">
      <c r="C168" s="67"/>
      <c r="D168" s="67"/>
      <c r="E168" s="67"/>
      <c r="F168" s="67"/>
      <c r="G168" s="67"/>
    </row>
    <row r="169" ht="15.75" hidden="1" customHeight="1">
      <c r="C169" s="67"/>
      <c r="D169" s="67"/>
      <c r="E169" s="67"/>
      <c r="F169" s="67"/>
      <c r="G169" s="67"/>
    </row>
    <row r="170" ht="15.75" hidden="1" customHeight="1">
      <c r="C170" s="67"/>
      <c r="D170" s="67"/>
      <c r="E170" s="67"/>
      <c r="F170" s="67"/>
      <c r="G170" s="67"/>
    </row>
    <row r="171" ht="15.75" hidden="1" customHeight="1">
      <c r="C171" s="67"/>
      <c r="D171" s="67"/>
      <c r="E171" s="67"/>
      <c r="F171" s="67"/>
      <c r="G171" s="67"/>
    </row>
    <row r="172" ht="15.75" hidden="1" customHeight="1">
      <c r="C172" s="67"/>
      <c r="D172" s="67"/>
      <c r="E172" s="67"/>
      <c r="F172" s="67"/>
      <c r="G172" s="67"/>
      <c r="H172" s="57" t="str">
        <f>IFERROR(IMAGE(VLOOKUP(C159,Listado!A:E,5,FALSE)), "No hay imagen para este vehículo")</f>
        <v>No hay imagen para este vehículo</v>
      </c>
    </row>
    <row r="173" ht="15.75" hidden="1" customHeight="1">
      <c r="C173" s="67"/>
      <c r="D173" s="67"/>
      <c r="E173" s="67"/>
      <c r="F173" s="67"/>
      <c r="G173" s="67"/>
    </row>
    <row r="174" ht="15.75" hidden="1" customHeight="1">
      <c r="C174" s="67"/>
      <c r="D174" s="67"/>
      <c r="E174" s="67"/>
      <c r="F174" s="67"/>
      <c r="G174" s="67"/>
    </row>
    <row r="175" ht="15.75" hidden="1" customHeight="1">
      <c r="C175" s="67"/>
      <c r="D175" s="67"/>
      <c r="E175" s="67"/>
      <c r="F175" s="67"/>
      <c r="G175" s="67"/>
    </row>
    <row r="176" ht="15.75" hidden="1" customHeight="1">
      <c r="C176" s="67"/>
      <c r="D176" s="67"/>
      <c r="E176" s="67"/>
      <c r="F176" s="67"/>
      <c r="G176" s="67"/>
    </row>
    <row r="177" ht="15.75" hidden="1" customHeight="1">
      <c r="C177" s="67"/>
      <c r="D177" s="67"/>
      <c r="E177" s="67"/>
      <c r="F177" s="67"/>
      <c r="G177" s="67"/>
    </row>
    <row r="178" ht="15.75" hidden="1" customHeight="1">
      <c r="C178" s="67"/>
      <c r="D178" s="67"/>
      <c r="E178" s="67"/>
      <c r="F178" s="67"/>
      <c r="G178" s="67"/>
    </row>
    <row r="179" ht="15.75" hidden="1" customHeight="1">
      <c r="C179" s="67"/>
      <c r="D179" s="67"/>
      <c r="E179" s="67"/>
      <c r="F179" s="67"/>
      <c r="G179" s="67"/>
    </row>
    <row r="180" ht="15.75" hidden="1" customHeight="1">
      <c r="C180" s="67"/>
      <c r="D180" s="67"/>
      <c r="E180" s="67"/>
      <c r="F180" s="67"/>
      <c r="G180" s="67"/>
    </row>
    <row r="181" ht="15.75" hidden="1" customHeight="1">
      <c r="C181" s="67"/>
      <c r="D181" s="67"/>
      <c r="E181" s="67"/>
      <c r="F181" s="67"/>
      <c r="G181" s="67"/>
    </row>
    <row r="182" ht="15.75" hidden="1" customHeight="1">
      <c r="C182" s="67"/>
      <c r="D182" s="67"/>
      <c r="E182" s="67"/>
      <c r="F182" s="67"/>
      <c r="G182" s="67"/>
    </row>
    <row r="183" ht="15.75" hidden="1" customHeight="1">
      <c r="C183" s="67"/>
      <c r="D183" s="67"/>
      <c r="E183" s="67"/>
      <c r="F183" s="67"/>
      <c r="G183" s="67"/>
    </row>
    <row r="184" ht="15.75" hidden="1" customHeight="1">
      <c r="C184" s="67"/>
      <c r="D184" s="67"/>
      <c r="E184" s="67"/>
      <c r="F184" s="67"/>
      <c r="G184" s="67"/>
    </row>
    <row r="185" ht="15.75" hidden="1" customHeight="1">
      <c r="C185" s="67"/>
      <c r="D185" s="67"/>
      <c r="E185" s="67"/>
      <c r="F185" s="67"/>
      <c r="G185" s="67"/>
    </row>
    <row r="186" ht="15.75" hidden="1" customHeight="1">
      <c r="C186" s="67"/>
      <c r="D186" s="67"/>
      <c r="E186" s="67"/>
      <c r="F186" s="67"/>
      <c r="G186" s="67"/>
    </row>
    <row r="187" ht="15.75" hidden="1" customHeight="1">
      <c r="C187" s="67"/>
      <c r="D187" s="67"/>
      <c r="E187" s="67"/>
      <c r="F187" s="67"/>
      <c r="G187" s="67"/>
      <c r="H187" s="57" t="str">
        <f>IFERROR(IMAGE(VLOOKUP(C174,Listado!A:E,5,FALSE)), "No hay imagen para este vehículo")</f>
        <v>No hay imagen para este vehículo</v>
      </c>
    </row>
    <row r="188" ht="15.75" hidden="1" customHeight="1">
      <c r="C188" s="67"/>
      <c r="D188" s="67"/>
      <c r="E188" s="67"/>
      <c r="F188" s="67"/>
      <c r="G188" s="67"/>
    </row>
    <row r="189" ht="15.75" hidden="1" customHeight="1">
      <c r="C189" s="67"/>
      <c r="D189" s="67"/>
      <c r="E189" s="67"/>
      <c r="F189" s="67"/>
      <c r="G189" s="67"/>
    </row>
    <row r="190" ht="15.75" hidden="1" customHeight="1">
      <c r="C190" s="67"/>
      <c r="D190" s="67"/>
      <c r="E190" s="67"/>
      <c r="F190" s="67"/>
      <c r="G190" s="67"/>
    </row>
    <row r="191" ht="15.75" hidden="1" customHeight="1">
      <c r="C191" s="67"/>
      <c r="D191" s="67"/>
      <c r="E191" s="67"/>
      <c r="F191" s="67"/>
      <c r="G191" s="67"/>
    </row>
    <row r="192" ht="15.75" hidden="1" customHeight="1">
      <c r="C192" s="67"/>
      <c r="D192" s="67"/>
      <c r="E192" s="67"/>
      <c r="F192" s="67"/>
      <c r="G192" s="67"/>
    </row>
    <row r="193" ht="15.75" hidden="1" customHeight="1">
      <c r="C193" s="67"/>
      <c r="D193" s="67"/>
      <c r="E193" s="67"/>
      <c r="F193" s="67"/>
      <c r="G193" s="67"/>
    </row>
    <row r="194" ht="15.75" hidden="1" customHeight="1">
      <c r="C194" s="67"/>
      <c r="D194" s="67"/>
      <c r="E194" s="67"/>
      <c r="F194" s="67"/>
      <c r="G194" s="67"/>
    </row>
    <row r="195" ht="15.75" hidden="1" customHeight="1">
      <c r="C195" s="67"/>
      <c r="D195" s="67"/>
      <c r="E195" s="67"/>
      <c r="F195" s="67"/>
      <c r="G195" s="67"/>
    </row>
    <row r="196" ht="15.75" hidden="1" customHeight="1">
      <c r="C196" s="67"/>
      <c r="D196" s="67"/>
      <c r="E196" s="67"/>
      <c r="F196" s="67"/>
      <c r="G196" s="67"/>
    </row>
    <row r="197" ht="15.75" hidden="1" customHeight="1">
      <c r="C197" s="67"/>
      <c r="D197" s="67"/>
      <c r="E197" s="67"/>
      <c r="F197" s="67"/>
      <c r="G197" s="67"/>
    </row>
    <row r="198" ht="15.75" hidden="1" customHeight="1">
      <c r="C198" s="67"/>
      <c r="D198" s="67"/>
      <c r="E198" s="67"/>
      <c r="F198" s="67"/>
      <c r="G198" s="67"/>
    </row>
    <row r="199" ht="15.75" hidden="1" customHeight="1">
      <c r="C199" s="67"/>
      <c r="D199" s="67"/>
      <c r="E199" s="67"/>
      <c r="F199" s="67"/>
      <c r="G199" s="67"/>
    </row>
    <row r="200" ht="15.75" hidden="1" customHeight="1">
      <c r="C200" s="67"/>
      <c r="D200" s="67"/>
      <c r="E200" s="67"/>
      <c r="F200" s="67"/>
      <c r="G200" s="67"/>
    </row>
    <row r="201" ht="15.75" hidden="1" customHeight="1">
      <c r="C201" s="67"/>
      <c r="D201" s="67"/>
      <c r="E201" s="67"/>
      <c r="F201" s="67"/>
      <c r="G201" s="67"/>
    </row>
    <row r="202" ht="15.75" hidden="1" customHeight="1">
      <c r="C202" s="67"/>
      <c r="D202" s="67"/>
      <c r="E202" s="67"/>
      <c r="F202" s="67"/>
      <c r="G202" s="67"/>
      <c r="H202" s="57" t="str">
        <f>IFERROR(IMAGE(VLOOKUP(C189,Listado!A:E,5,FALSE)), "No hay imagen para este vehículo")</f>
        <v>No hay imagen para este vehículo</v>
      </c>
    </row>
    <row r="203" ht="15.75" hidden="1" customHeight="1">
      <c r="C203" s="67"/>
      <c r="D203" s="67"/>
      <c r="E203" s="67"/>
      <c r="F203" s="67"/>
      <c r="G203" s="67"/>
    </row>
    <row r="204" ht="15.75" hidden="1" customHeight="1">
      <c r="C204" s="67"/>
      <c r="D204" s="67"/>
      <c r="E204" s="67"/>
      <c r="F204" s="67"/>
      <c r="G204" s="67"/>
    </row>
    <row r="205" ht="15.75" hidden="1" customHeight="1">
      <c r="C205" s="67"/>
      <c r="D205" s="67"/>
      <c r="E205" s="67"/>
      <c r="F205" s="67"/>
      <c r="G205" s="67"/>
    </row>
    <row r="206" ht="15.75" hidden="1" customHeight="1">
      <c r="C206" s="67"/>
      <c r="D206" s="67"/>
      <c r="E206" s="67"/>
      <c r="F206" s="67"/>
      <c r="G206" s="67"/>
    </row>
    <row r="207" ht="15.75" hidden="1" customHeight="1">
      <c r="C207" s="67"/>
      <c r="D207" s="67"/>
      <c r="E207" s="67"/>
      <c r="F207" s="67"/>
      <c r="G207" s="67"/>
    </row>
    <row r="208" ht="15.75" hidden="1" customHeight="1">
      <c r="C208" s="67"/>
      <c r="D208" s="67"/>
      <c r="E208" s="67"/>
      <c r="F208" s="67"/>
      <c r="G208" s="67"/>
    </row>
    <row r="209" ht="15.75" hidden="1" customHeight="1">
      <c r="C209" s="67"/>
      <c r="D209" s="67"/>
      <c r="E209" s="67"/>
      <c r="F209" s="67"/>
      <c r="G209" s="67"/>
    </row>
    <row r="210" ht="15.75" hidden="1" customHeight="1">
      <c r="C210" s="67"/>
      <c r="D210" s="67"/>
      <c r="E210" s="67"/>
      <c r="F210" s="67"/>
      <c r="G210" s="67"/>
    </row>
    <row r="211" ht="15.75" hidden="1" customHeight="1">
      <c r="C211" s="67"/>
      <c r="D211" s="67"/>
      <c r="E211" s="67"/>
      <c r="F211" s="67"/>
      <c r="G211" s="67"/>
    </row>
    <row r="212" ht="15.75" hidden="1" customHeight="1">
      <c r="C212" s="67"/>
      <c r="D212" s="67"/>
      <c r="E212" s="67"/>
      <c r="F212" s="67"/>
      <c r="G212" s="67"/>
    </row>
    <row r="213" ht="15.75" hidden="1" customHeight="1">
      <c r="C213" s="67"/>
      <c r="D213" s="67"/>
      <c r="E213" s="67"/>
      <c r="F213" s="67"/>
      <c r="G213" s="67"/>
    </row>
    <row r="214" ht="15.75" hidden="1" customHeight="1">
      <c r="C214" s="67"/>
      <c r="D214" s="67"/>
      <c r="E214" s="67"/>
      <c r="F214" s="67"/>
      <c r="G214" s="67"/>
    </row>
    <row r="215" ht="15.75" hidden="1" customHeight="1">
      <c r="C215" s="67"/>
      <c r="D215" s="67"/>
      <c r="E215" s="67"/>
      <c r="F215" s="67"/>
      <c r="G215" s="67"/>
    </row>
    <row r="216" ht="15.75" hidden="1" customHeight="1">
      <c r="C216" s="67"/>
      <c r="D216" s="67"/>
      <c r="E216" s="67"/>
      <c r="F216" s="67"/>
      <c r="G216" s="67"/>
    </row>
    <row r="217" ht="15.75" hidden="1" customHeight="1">
      <c r="C217" s="67"/>
      <c r="D217" s="67"/>
      <c r="E217" s="67"/>
      <c r="F217" s="67"/>
      <c r="G217" s="67"/>
      <c r="H217" s="57" t="str">
        <f>IFERROR(IMAGE(VLOOKUP(C204,Listado!A:E,5,FALSE)), "No hay imagen para este vehículo")</f>
        <v>No hay imagen para este vehículo</v>
      </c>
    </row>
    <row r="218" ht="15.75" hidden="1" customHeight="1">
      <c r="C218" s="67"/>
      <c r="D218" s="67"/>
      <c r="E218" s="67"/>
      <c r="F218" s="67"/>
      <c r="G218" s="67"/>
    </row>
    <row r="219" ht="15.75" hidden="1" customHeight="1">
      <c r="C219" s="67"/>
      <c r="D219" s="67"/>
      <c r="E219" s="67"/>
      <c r="F219" s="67"/>
      <c r="G219" s="67"/>
    </row>
    <row r="220" ht="15.75" hidden="1" customHeight="1">
      <c r="C220" s="67"/>
      <c r="D220" s="67"/>
      <c r="E220" s="67"/>
      <c r="F220" s="67"/>
      <c r="G220" s="67"/>
    </row>
    <row r="221" ht="15.75" hidden="1" customHeight="1">
      <c r="C221" s="67"/>
      <c r="D221" s="67"/>
      <c r="E221" s="67"/>
      <c r="F221" s="67"/>
      <c r="G221" s="67"/>
    </row>
    <row r="222" ht="15.75" hidden="1" customHeight="1">
      <c r="C222" s="67"/>
      <c r="D222" s="67"/>
      <c r="E222" s="67"/>
      <c r="F222" s="67"/>
      <c r="G222" s="67"/>
    </row>
    <row r="223" ht="15.75" hidden="1" customHeight="1">
      <c r="C223" s="67"/>
      <c r="D223" s="67"/>
      <c r="E223" s="67"/>
      <c r="F223" s="67"/>
      <c r="G223" s="67"/>
    </row>
    <row r="224" ht="15.75" hidden="1" customHeight="1">
      <c r="C224" s="67"/>
      <c r="D224" s="67"/>
      <c r="E224" s="67"/>
      <c r="F224" s="67"/>
      <c r="G224" s="67"/>
    </row>
    <row r="225" ht="15.75" hidden="1" customHeight="1">
      <c r="C225" s="67"/>
      <c r="D225" s="67"/>
      <c r="E225" s="67"/>
      <c r="F225" s="67"/>
      <c r="G225" s="67"/>
    </row>
    <row r="226" ht="15.75" hidden="1" customHeight="1">
      <c r="C226" s="67"/>
      <c r="D226" s="67"/>
      <c r="E226" s="67"/>
      <c r="F226" s="67"/>
      <c r="G226" s="67"/>
    </row>
    <row r="227" ht="15.75" hidden="1" customHeight="1">
      <c r="C227" s="67"/>
      <c r="D227" s="67"/>
      <c r="E227" s="67"/>
      <c r="F227" s="67"/>
      <c r="G227" s="67"/>
    </row>
    <row r="228" ht="15.75" hidden="1" customHeight="1">
      <c r="C228" s="67"/>
      <c r="D228" s="67"/>
      <c r="E228" s="67"/>
      <c r="F228" s="67"/>
      <c r="G228" s="67"/>
    </row>
    <row r="229" ht="15.75" hidden="1" customHeight="1">
      <c r="G229" s="67"/>
    </row>
    <row r="230" ht="15.75" customHeight="1">
      <c r="G230" s="67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C2:J2"/>
    <mergeCell ref="L2:N2"/>
    <mergeCell ref="C4:D4"/>
    <mergeCell ref="E4:F4"/>
    <mergeCell ref="H4:J4"/>
    <mergeCell ref="E5:F5"/>
    <mergeCell ref="H5:I5"/>
    <mergeCell ref="C10:D10"/>
    <mergeCell ref="C12:D12"/>
    <mergeCell ref="C14:D14"/>
    <mergeCell ref="C16:D16"/>
    <mergeCell ref="C26:F26"/>
    <mergeCell ref="C27:F27"/>
    <mergeCell ref="C29:F29"/>
    <mergeCell ref="C30:F30"/>
    <mergeCell ref="C5:D5"/>
    <mergeCell ref="C6:D6"/>
    <mergeCell ref="E6:F6"/>
    <mergeCell ref="H6:I6"/>
    <mergeCell ref="E7:F7"/>
    <mergeCell ref="H7:I7"/>
    <mergeCell ref="E9:F9"/>
    <mergeCell ref="H8:I8"/>
    <mergeCell ref="H9:I9"/>
    <mergeCell ref="L11:N11"/>
    <mergeCell ref="H12:J12"/>
    <mergeCell ref="I13:J13"/>
    <mergeCell ref="H15:J15"/>
    <mergeCell ref="I16:J16"/>
    <mergeCell ref="H127:J141"/>
    <mergeCell ref="H142:J156"/>
    <mergeCell ref="H157:J171"/>
    <mergeCell ref="H172:J186"/>
    <mergeCell ref="H187:J201"/>
    <mergeCell ref="H202:J216"/>
    <mergeCell ref="H217:J231"/>
    <mergeCell ref="H22:J36"/>
    <mergeCell ref="H37:J51"/>
    <mergeCell ref="H52:J66"/>
    <mergeCell ref="H67:J81"/>
    <mergeCell ref="H82:J96"/>
    <mergeCell ref="H97:J111"/>
    <mergeCell ref="H112:J126"/>
  </mergeCells>
  <dataValidations>
    <dataValidation type="list" allowBlank="1" showErrorMessage="1" sqref="D15">
      <formula1>"0,1,2,3"</formula1>
    </dataValidation>
    <dataValidation type="list" allowBlank="1" showErrorMessage="1" sqref="D17 D21:D23">
      <formula1>"0,1,2,3,4,5,6,7,8,9,10,11,12,13,14,15,16,17,18,19,20"</formula1>
    </dataValidation>
    <dataValidation type="list" allowBlank="1" showErrorMessage="1" sqref="D13">
      <formula1>"0,1,2,3,4,5,6"</formula1>
    </dataValidation>
    <dataValidation type="list" allowBlank="1" showErrorMessage="1" sqref="I16">
      <formula1>"N/A,Weedland,El cafe rojo de madera,Ls Airlanes,Pawn Shop,Sandy Mall,Taxis,El Astillero,Vanilla Unicorn,Burger Shot,Skyline Vibes,Yellow Jack,Bennys,Los Santos Customs,Helmuts,LSPD,SAMS,Las Primas"</formula1>
    </dataValidation>
    <dataValidation type="list" allowBlank="1" showErrorMessage="1" sqref="I13">
      <formula1>"0,5,10,15,20"</formula1>
    </dataValidation>
    <dataValidation type="list" allowBlank="1" showErrorMessage="1" sqref="C5">
      <formula1>Listado!$A2:$A758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28.38"/>
    <col customWidth="1" min="3" max="3" width="18.25"/>
    <col customWidth="1" min="4" max="4" width="22.13"/>
    <col customWidth="1" min="5" max="5" width="53.38"/>
    <col customWidth="1" min="6" max="6" width="12.63"/>
  </cols>
  <sheetData>
    <row r="1" ht="15.75" customHeight="1">
      <c r="A1" s="68" t="s">
        <v>29</v>
      </c>
      <c r="B1" s="68" t="s">
        <v>30</v>
      </c>
      <c r="C1" s="68" t="s">
        <v>31</v>
      </c>
      <c r="D1" s="68" t="s">
        <v>32</v>
      </c>
      <c r="E1" s="68" t="s">
        <v>33</v>
      </c>
    </row>
    <row r="2" ht="15.75" customHeight="1">
      <c r="A2" s="69" t="str">
        <f>IFERROR(__xludf.DUMMYFUNCTION("IMPORTRANGE(""https://docs.google.com/spreadsheets/d/1mjNNDGrvmUts6VjAqwo43L28lC7JMK2L6g8bGEhk9BI/edit?gid=1084388773#gid=1084388773"", ""A2:E990"")"),"bmx")</f>
        <v>bmx</v>
      </c>
      <c r="B2" s="69" t="str">
        <f>IFERROR(__xludf.DUMMYFUNCTION("""COMPUTED_VALUE"""),"BMX")</f>
        <v>BMX</v>
      </c>
      <c r="C2" s="70">
        <f>IFERROR(__xludf.DUMMYFUNCTION("""COMPUTED_VALUE"""),1500.0)</f>
        <v>1500</v>
      </c>
      <c r="D2" s="70" t="str">
        <f>IFERROR(__xludf.DUMMYFUNCTION("""COMPUTED_VALUE"""),"Bicicletas")</f>
        <v>Bicicletas</v>
      </c>
      <c r="E2" s="71" t="str">
        <f>IFERROR(__xludf.DUMMYFUNCTION("""COMPUTED_VALUE"""),"https://docs.fivem.net/vehicles/bmx.webp")</f>
        <v>https://docs.fivem.net/vehicles/bmx.webp</v>
      </c>
    </row>
    <row r="3" ht="15.75" customHeight="1">
      <c r="A3" s="69" t="str">
        <f>IFERROR(__xludf.DUMMYFUNCTION("""COMPUTED_VALUE"""),"cruiser")</f>
        <v>cruiser</v>
      </c>
      <c r="B3" s="69" t="str">
        <f>IFERROR(__xludf.DUMMYFUNCTION("""COMPUTED_VALUE"""),"Cruiser")</f>
        <v>Cruiser</v>
      </c>
      <c r="C3" s="70">
        <f>IFERROR(__xludf.DUMMYFUNCTION("""COMPUTED_VALUE"""),1000.0)</f>
        <v>1000</v>
      </c>
      <c r="D3" s="70" t="str">
        <f>IFERROR(__xludf.DUMMYFUNCTION("""COMPUTED_VALUE"""),"Bicicletas")</f>
        <v>Bicicletas</v>
      </c>
      <c r="E3" s="71" t="str">
        <f>IFERROR(__xludf.DUMMYFUNCTION("""COMPUTED_VALUE"""),"https://docs.fivem.net/vehicles/cruiser.webp")</f>
        <v>https://docs.fivem.net/vehicles/cruiser.webp</v>
      </c>
    </row>
    <row r="4" ht="15.75" customHeight="1">
      <c r="A4" s="69" t="str">
        <f>IFERROR(__xludf.DUMMYFUNCTION("""COMPUTED_VALUE"""),"fixter")</f>
        <v>fixter</v>
      </c>
      <c r="B4" s="69" t="str">
        <f>IFERROR(__xludf.DUMMYFUNCTION("""COMPUTED_VALUE"""),"Fixter")</f>
        <v>Fixter</v>
      </c>
      <c r="C4" s="70">
        <f>IFERROR(__xludf.DUMMYFUNCTION("""COMPUTED_VALUE"""),1200.0)</f>
        <v>1200</v>
      </c>
      <c r="D4" s="70" t="str">
        <f>IFERROR(__xludf.DUMMYFUNCTION("""COMPUTED_VALUE"""),"Bicicletas")</f>
        <v>Bicicletas</v>
      </c>
      <c r="E4" s="71" t="str">
        <f>IFERROR(__xludf.DUMMYFUNCTION("""COMPUTED_VALUE"""),"https://docs.fivem.net/vehicles/fixter.webp")</f>
        <v>https://docs.fivem.net/vehicles/fixter.webp</v>
      </c>
    </row>
    <row r="5" ht="15.75" customHeight="1">
      <c r="A5" s="69" t="str">
        <f>IFERROR(__xludf.DUMMYFUNCTION("""COMPUTED_VALUE"""),"inductor")</f>
        <v>inductor</v>
      </c>
      <c r="B5" s="69" t="str">
        <f>IFERROR(__xludf.DUMMYFUNCTION("""COMPUTED_VALUE"""),"Inductor")</f>
        <v>Inductor</v>
      </c>
      <c r="C5" s="70">
        <f>IFERROR(__xludf.DUMMYFUNCTION("""COMPUTED_VALUE"""),7500.0)</f>
        <v>7500</v>
      </c>
      <c r="D5" s="70" t="str">
        <f>IFERROR(__xludf.DUMMYFUNCTION("""COMPUTED_VALUE"""),"Bicicletas")</f>
        <v>Bicicletas</v>
      </c>
      <c r="E5" s="71" t="str">
        <f>IFERROR(__xludf.DUMMYFUNCTION("""COMPUTED_VALUE"""),"https://docs.fivem.net/vehicles/inductor.webp")</f>
        <v>https://docs.fivem.net/vehicles/inductor.webp</v>
      </c>
    </row>
    <row r="6" ht="15.75" customHeight="1">
      <c r="A6" s="69" t="str">
        <f>IFERROR(__xludf.DUMMYFUNCTION("""COMPUTED_VALUE"""),"inductor2")</f>
        <v>inductor2</v>
      </c>
      <c r="B6" s="69" t="str">
        <f>IFERROR(__xludf.DUMMYFUNCTION("""COMPUTED_VALUE"""),"Junk Energy Inductor")</f>
        <v>Junk Energy Inductor</v>
      </c>
      <c r="C6" s="70">
        <f>IFERROR(__xludf.DUMMYFUNCTION("""COMPUTED_VALUE"""),8200.0)</f>
        <v>8200</v>
      </c>
      <c r="D6" s="70" t="str">
        <f>IFERROR(__xludf.DUMMYFUNCTION("""COMPUTED_VALUE"""),"Bicicletas")</f>
        <v>Bicicletas</v>
      </c>
      <c r="E6" s="71" t="str">
        <f>IFERROR(__xludf.DUMMYFUNCTION("""COMPUTED_VALUE"""),"https://docs.fivem.net/vehicles/inductor2.webp")</f>
        <v>https://docs.fivem.net/vehicles/inductor2.webp</v>
      </c>
    </row>
    <row r="7" ht="15.75" customHeight="1">
      <c r="A7" s="69" t="str">
        <f>IFERROR(__xludf.DUMMYFUNCTION("""COMPUTED_VALUE"""),"scorcher")</f>
        <v>scorcher</v>
      </c>
      <c r="B7" s="69" t="str">
        <f>IFERROR(__xludf.DUMMYFUNCTION("""COMPUTED_VALUE"""),"Scorcher")</f>
        <v>Scorcher</v>
      </c>
      <c r="C7" s="70">
        <f>IFERROR(__xludf.DUMMYFUNCTION("""COMPUTED_VALUE"""),2000.0)</f>
        <v>2000</v>
      </c>
      <c r="D7" s="70" t="str">
        <f>IFERROR(__xludf.DUMMYFUNCTION("""COMPUTED_VALUE"""),"Bicicletas")</f>
        <v>Bicicletas</v>
      </c>
      <c r="E7" s="71" t="str">
        <f>IFERROR(__xludf.DUMMYFUNCTION("""COMPUTED_VALUE"""),"https://docs.fivem.net/vehicles/scorcher.webp")</f>
        <v>https://docs.fivem.net/vehicles/scorcher.webp</v>
      </c>
    </row>
    <row r="8" ht="15.75" customHeight="1">
      <c r="A8" s="69" t="str">
        <f>IFERROR(__xludf.DUMMYFUNCTION("""COMPUTED_VALUE"""),"tribike")</f>
        <v>tribike</v>
      </c>
      <c r="B8" s="69" t="str">
        <f>IFERROR(__xludf.DUMMYFUNCTION("""COMPUTED_VALUE"""),"Whippet Race Bike")</f>
        <v>Whippet Race Bike</v>
      </c>
      <c r="C8" s="70">
        <f>IFERROR(__xludf.DUMMYFUNCTION("""COMPUTED_VALUE"""),1700.0)</f>
        <v>1700</v>
      </c>
      <c r="D8" s="70" t="str">
        <f>IFERROR(__xludf.DUMMYFUNCTION("""COMPUTED_VALUE"""),"Bicicletas")</f>
        <v>Bicicletas</v>
      </c>
      <c r="E8" s="71" t="str">
        <f>IFERROR(__xludf.DUMMYFUNCTION("""COMPUTED_VALUE"""),"https://docs.fivem.net/vehicles/tribike.webp")</f>
        <v>https://docs.fivem.net/vehicles/tribike.webp</v>
      </c>
    </row>
    <row r="9" ht="15.75" customHeight="1">
      <c r="A9" s="69" t="str">
        <f>IFERROR(__xludf.DUMMYFUNCTION("""COMPUTED_VALUE"""),"tribike2")</f>
        <v>tribike2</v>
      </c>
      <c r="B9" s="69" t="str">
        <f>IFERROR(__xludf.DUMMYFUNCTION("""COMPUTED_VALUE"""),"Endurex Race Bike")</f>
        <v>Endurex Race Bike</v>
      </c>
      <c r="C9" s="70">
        <f>IFERROR(__xludf.DUMMYFUNCTION("""COMPUTED_VALUE"""),1700.0)</f>
        <v>1700</v>
      </c>
      <c r="D9" s="70" t="str">
        <f>IFERROR(__xludf.DUMMYFUNCTION("""COMPUTED_VALUE"""),"Bicicletas")</f>
        <v>Bicicletas</v>
      </c>
      <c r="E9" s="71" t="str">
        <f>IFERROR(__xludf.DUMMYFUNCTION("""COMPUTED_VALUE"""),"https://docs.fivem.net/vehicles/tribike2.webp")</f>
        <v>https://docs.fivem.net/vehicles/tribike2.webp</v>
      </c>
    </row>
    <row r="10" ht="15.75" customHeight="1">
      <c r="A10" s="69" t="str">
        <f>IFERROR(__xludf.DUMMYFUNCTION("""COMPUTED_VALUE"""),"tribike3")</f>
        <v>tribike3</v>
      </c>
      <c r="B10" s="69" t="str">
        <f>IFERROR(__xludf.DUMMYFUNCTION("""COMPUTED_VALUE"""),"Tri-cycle Race Bike")</f>
        <v>Tri-cycle Race Bike</v>
      </c>
      <c r="C10" s="70">
        <f>IFERROR(__xludf.DUMMYFUNCTION("""COMPUTED_VALUE"""),1800.0)</f>
        <v>1800</v>
      </c>
      <c r="D10" s="70" t="str">
        <f>IFERROR(__xludf.DUMMYFUNCTION("""COMPUTED_VALUE"""),"Bicicletas")</f>
        <v>Bicicletas</v>
      </c>
      <c r="E10" s="71" t="str">
        <f>IFERROR(__xludf.DUMMYFUNCTION("""COMPUTED_VALUE"""),"https://docs.fivem.net/vehicles/tribike3.webp")</f>
        <v>https://docs.fivem.net/vehicles/tribike3.webp</v>
      </c>
    </row>
    <row r="11" ht="15.75" customHeight="1">
      <c r="A11" s="69" t="str">
        <f>IFERROR(__xludf.DUMMYFUNCTION("""COMPUTED_VALUE"""),"formula")</f>
        <v>formula</v>
      </c>
      <c r="B11" s="69" t="str">
        <f>IFERROR(__xludf.DUMMYFUNCTION("""COMPUTED_VALUE"""),"PR4")</f>
        <v>PR4</v>
      </c>
      <c r="C11" s="70">
        <f>IFERROR(__xludf.DUMMYFUNCTION("""COMPUTED_VALUE"""),1000000.0)</f>
        <v>1000000</v>
      </c>
      <c r="D11" s="70" t="str">
        <f>IFERROR(__xludf.DUMMYFUNCTION("""COMPUTED_VALUE"""),"Circuitos")</f>
        <v>Circuitos</v>
      </c>
      <c r="E11" s="71" t="str">
        <f>IFERROR(__xludf.DUMMYFUNCTION("""COMPUTED_VALUE"""),"https://docs.fivem.net/vehicles/formula.webp")</f>
        <v>https://docs.fivem.net/vehicles/formula.webp</v>
      </c>
    </row>
    <row r="12" ht="15.75" customHeight="1">
      <c r="A12" s="69" t="str">
        <f>IFERROR(__xludf.DUMMYFUNCTION("""COMPUTED_VALUE"""),"formula2")</f>
        <v>formula2</v>
      </c>
      <c r="B12" s="69" t="str">
        <f>IFERROR(__xludf.DUMMYFUNCTION("""COMPUTED_VALUE"""),"R88")</f>
        <v>R88</v>
      </c>
      <c r="C12" s="70">
        <f>IFERROR(__xludf.DUMMYFUNCTION("""COMPUTED_VALUE"""),1000000.0)</f>
        <v>1000000</v>
      </c>
      <c r="D12" s="70" t="str">
        <f>IFERROR(__xludf.DUMMYFUNCTION("""COMPUTED_VALUE"""),"Circuitos")</f>
        <v>Circuitos</v>
      </c>
      <c r="E12" s="71" t="str">
        <f>IFERROR(__xludf.DUMMYFUNCTION("""COMPUTED_VALUE"""),"https://docs.fivem.net/vehicles/formula2.webp")</f>
        <v>https://docs.fivem.net/vehicles/formula2.webp</v>
      </c>
    </row>
    <row r="13" ht="15.75" customHeight="1">
      <c r="A13" s="69" t="str">
        <f>IFERROR(__xludf.DUMMYFUNCTION("""COMPUTED_VALUE"""),"openwheel1")</f>
        <v>openwheel1</v>
      </c>
      <c r="B13" s="69" t="str">
        <f>IFERROR(__xludf.DUMMYFUNCTION("""COMPUTED_VALUE"""),"BR8")</f>
        <v>BR8</v>
      </c>
      <c r="C13" s="70">
        <f>IFERROR(__xludf.DUMMYFUNCTION("""COMPUTED_VALUE"""),2000000.0)</f>
        <v>2000000</v>
      </c>
      <c r="D13" s="70" t="str">
        <f>IFERROR(__xludf.DUMMYFUNCTION("""COMPUTED_VALUE"""),"Circuitos")</f>
        <v>Circuitos</v>
      </c>
      <c r="E13" s="71" t="str">
        <f>IFERROR(__xludf.DUMMYFUNCTION("""COMPUTED_VALUE"""),"https://docs.fivem.net/vehicles/openwheel1.webp")</f>
        <v>https://docs.fivem.net/vehicles/openwheel1.webp</v>
      </c>
    </row>
    <row r="14" ht="15.75" customHeight="1">
      <c r="A14" s="69" t="str">
        <f>IFERROR(__xludf.DUMMYFUNCTION("""COMPUTED_VALUE"""),"openwheel2")</f>
        <v>openwheel2</v>
      </c>
      <c r="B14" s="69" t="str">
        <f>IFERROR(__xludf.DUMMYFUNCTION("""COMPUTED_VALUE"""),"DR1")</f>
        <v>DR1</v>
      </c>
      <c r="C14" s="70">
        <f>IFERROR(__xludf.DUMMYFUNCTION("""COMPUTED_VALUE"""),1500000.0)</f>
        <v>1500000</v>
      </c>
      <c r="D14" s="70" t="str">
        <f>IFERROR(__xludf.DUMMYFUNCTION("""COMPUTED_VALUE"""),"Circuitos")</f>
        <v>Circuitos</v>
      </c>
      <c r="E14" s="71" t="str">
        <f>IFERROR(__xludf.DUMMYFUNCTION("""COMPUTED_VALUE"""),"https://docs.fivem.net/vehicles/openwheel2.webp")</f>
        <v>https://docs.fivem.net/vehicles/openwheel2.webp</v>
      </c>
    </row>
    <row r="15" ht="15.75" customHeight="1">
      <c r="A15" s="69" t="str">
        <f>IFERROR(__xludf.DUMMYFUNCTION("""COMPUTED_VALUE"""),"asbo")</f>
        <v>asbo</v>
      </c>
      <c r="B15" s="69" t="str">
        <f>IFERROR(__xludf.DUMMYFUNCTION("""COMPUTED_VALUE"""),"Asbo")</f>
        <v>Asbo</v>
      </c>
      <c r="C15" s="70">
        <f>IFERROR(__xludf.DUMMYFUNCTION("""COMPUTED_VALUE"""),2500.0)</f>
        <v>2500</v>
      </c>
      <c r="D15" s="70" t="str">
        <f>IFERROR(__xludf.DUMMYFUNCTION("""COMPUTED_VALUE"""),"Compactos")</f>
        <v>Compactos</v>
      </c>
      <c r="E15" s="71" t="str">
        <f>IFERROR(__xludf.DUMMYFUNCTION("""COMPUTED_VALUE"""),"https://docs.fivem.net/vehicles/asbo.webp")</f>
        <v>https://docs.fivem.net/vehicles/asbo.webp</v>
      </c>
    </row>
    <row r="16" ht="15.75" customHeight="1">
      <c r="A16" s="69" t="str">
        <f>IFERROR(__xludf.DUMMYFUNCTION("""COMPUTED_VALUE"""),"blista")</f>
        <v>blista</v>
      </c>
      <c r="B16" s="69" t="str">
        <f>IFERROR(__xludf.DUMMYFUNCTION("""COMPUTED_VALUE"""),"Blista")</f>
        <v>Blista</v>
      </c>
      <c r="C16" s="70">
        <f>IFERROR(__xludf.DUMMYFUNCTION("""COMPUTED_VALUE"""),4000.0)</f>
        <v>4000</v>
      </c>
      <c r="D16" s="70" t="str">
        <f>IFERROR(__xludf.DUMMYFUNCTION("""COMPUTED_VALUE"""),"Compactos")</f>
        <v>Compactos</v>
      </c>
      <c r="E16" s="71" t="str">
        <f>IFERROR(__xludf.DUMMYFUNCTION("""COMPUTED_VALUE"""),"https://docs.fivem.net/vehicles/blista.webp")</f>
        <v>https://docs.fivem.net/vehicles/blista.webp</v>
      </c>
    </row>
    <row r="17" ht="15.75" customHeight="1">
      <c r="A17" s="69" t="str">
        <f>IFERROR(__xludf.DUMMYFUNCTION("""COMPUTED_VALUE"""),"blista2")</f>
        <v>blista2</v>
      </c>
      <c r="B17" s="69" t="str">
        <f>IFERROR(__xludf.DUMMYFUNCTION("""COMPUTED_VALUE"""),"Blista Compact")</f>
        <v>Blista Compact</v>
      </c>
      <c r="C17" s="70">
        <f>IFERROR(__xludf.DUMMYFUNCTION("""COMPUTED_VALUE"""),15000.0)</f>
        <v>15000</v>
      </c>
      <c r="D17" s="70" t="str">
        <f>IFERROR(__xludf.DUMMYFUNCTION("""COMPUTED_VALUE"""),"Compactos")</f>
        <v>Compactos</v>
      </c>
      <c r="E17" s="71" t="str">
        <f>IFERROR(__xludf.DUMMYFUNCTION("""COMPUTED_VALUE"""),"https://docs.fivem.net/vehicles/blista2.webp")</f>
        <v>https://docs.fivem.net/vehicles/blista2.webp</v>
      </c>
    </row>
    <row r="18" ht="15.75" customHeight="1">
      <c r="A18" s="69" t="str">
        <f>IFERROR(__xludf.DUMMYFUNCTION("""COMPUTED_VALUE"""),"blista3")</f>
        <v>blista3</v>
      </c>
      <c r="B18" s="69" t="str">
        <f>IFERROR(__xludf.DUMMYFUNCTION("""COMPUTED_VALUE"""),"Blista Go Go Monkey")</f>
        <v>Blista Go Go Monkey</v>
      </c>
      <c r="C18" s="70">
        <f>IFERROR(__xludf.DUMMYFUNCTION("""COMPUTED_VALUE"""),15000.0)</f>
        <v>15000</v>
      </c>
      <c r="D18" s="70" t="str">
        <f>IFERROR(__xludf.DUMMYFUNCTION("""COMPUTED_VALUE"""),"Compactos")</f>
        <v>Compactos</v>
      </c>
      <c r="E18" s="71" t="str">
        <f>IFERROR(__xludf.DUMMYFUNCTION("""COMPUTED_VALUE"""),"https://docs.fivem.net/vehicles/blista3.webp")</f>
        <v>https://docs.fivem.net/vehicles/blista3.webp</v>
      </c>
    </row>
    <row r="19" ht="15.75" customHeight="1">
      <c r="A19" s="69" t="str">
        <f>IFERROR(__xludf.DUMMYFUNCTION("""COMPUTED_VALUE"""),"boor")</f>
        <v>boor</v>
      </c>
      <c r="B19" s="69" t="str">
        <f>IFERROR(__xludf.DUMMYFUNCTION("""COMPUTED_VALUE"""),"Boor")</f>
        <v>Boor</v>
      </c>
      <c r="C19" s="70">
        <f>IFERROR(__xludf.DUMMYFUNCTION("""COMPUTED_VALUE"""),13500.0)</f>
        <v>13500</v>
      </c>
      <c r="D19" s="70" t="str">
        <f>IFERROR(__xludf.DUMMYFUNCTION("""COMPUTED_VALUE"""),"Compactos")</f>
        <v>Compactos</v>
      </c>
      <c r="E19" s="71" t="str">
        <f>IFERROR(__xludf.DUMMYFUNCTION("""COMPUTED_VALUE"""),"https://docs.fivem.net/vehicles/boor.webp")</f>
        <v>https://docs.fivem.net/vehicles/boor.webp</v>
      </c>
    </row>
    <row r="20" ht="15.75" customHeight="1">
      <c r="A20" s="69" t="str">
        <f>IFERROR(__xludf.DUMMYFUNCTION("""COMPUTED_VALUE"""),"brioso")</f>
        <v>brioso</v>
      </c>
      <c r="B20" s="69" t="str">
        <f>IFERROR(__xludf.DUMMYFUNCTION("""COMPUTED_VALUE"""),"Brioso R/A")</f>
        <v>Brioso R/A</v>
      </c>
      <c r="C20" s="70">
        <f>IFERROR(__xludf.DUMMYFUNCTION("""COMPUTED_VALUE"""),13500.0)</f>
        <v>13500</v>
      </c>
      <c r="D20" s="70" t="str">
        <f>IFERROR(__xludf.DUMMYFUNCTION("""COMPUTED_VALUE"""),"Compactos")</f>
        <v>Compactos</v>
      </c>
      <c r="E20" s="71" t="str">
        <f>IFERROR(__xludf.DUMMYFUNCTION("""COMPUTED_VALUE"""),"https://docs.fivem.net/vehicles/lectro.webp")</f>
        <v>https://docs.fivem.net/vehicles/lectro.webp</v>
      </c>
    </row>
    <row r="21" ht="15.75" customHeight="1">
      <c r="A21" s="69" t="str">
        <f>IFERROR(__xludf.DUMMYFUNCTION("""COMPUTED_VALUE"""),"brioso2")</f>
        <v>brioso2</v>
      </c>
      <c r="B21" s="69" t="str">
        <f>IFERROR(__xludf.DUMMYFUNCTION("""COMPUTED_VALUE"""),"Brioso 300")</f>
        <v>Brioso 300</v>
      </c>
      <c r="C21" s="70">
        <f>IFERROR(__xludf.DUMMYFUNCTION("""COMPUTED_VALUE"""),4500.0)</f>
        <v>4500</v>
      </c>
      <c r="D21" s="70" t="str">
        <f>IFERROR(__xludf.DUMMYFUNCTION("""COMPUTED_VALUE"""),"Compactos")</f>
        <v>Compactos</v>
      </c>
      <c r="E21" s="71" t="str">
        <f>IFERROR(__xludf.DUMMYFUNCTION("""COMPUTED_VALUE"""),"https://docs.fivem.net/vehicles/brioso2.webp")</f>
        <v>https://docs.fivem.net/vehicles/brioso2.webp</v>
      </c>
    </row>
    <row r="22" ht="15.75" customHeight="1">
      <c r="A22" s="69" t="str">
        <f>IFERROR(__xludf.DUMMYFUNCTION("""COMPUTED_VALUE"""),"club")</f>
        <v>club</v>
      </c>
      <c r="B22" s="69" t="str">
        <f>IFERROR(__xludf.DUMMYFUNCTION("""COMPUTED_VALUE"""),"Club")</f>
        <v>Club</v>
      </c>
      <c r="C22" s="70">
        <f>IFERROR(__xludf.DUMMYFUNCTION("""COMPUTED_VALUE"""),12500.0)</f>
        <v>12500</v>
      </c>
      <c r="D22" s="70" t="str">
        <f>IFERROR(__xludf.DUMMYFUNCTION("""COMPUTED_VALUE"""),"Compactos")</f>
        <v>Compactos</v>
      </c>
      <c r="E22" s="71" t="str">
        <f>IFERROR(__xludf.DUMMYFUNCTION("""COMPUTED_VALUE"""),"https://docs.fivem.net/vehicles/club.webp")</f>
        <v>https://docs.fivem.net/vehicles/club.webp</v>
      </c>
    </row>
    <row r="23" ht="15.75" customHeight="1">
      <c r="A23" s="69" t="str">
        <f>IFERROR(__xludf.DUMMYFUNCTION("""COMPUTED_VALUE"""),"dilettante")</f>
        <v>dilettante</v>
      </c>
      <c r="B23" s="69" t="str">
        <f>IFERROR(__xludf.DUMMYFUNCTION("""COMPUTED_VALUE"""),"Dilettante")</f>
        <v>Dilettante</v>
      </c>
      <c r="C23" s="70">
        <f>IFERROR(__xludf.DUMMYFUNCTION("""COMPUTED_VALUE"""),9000.0)</f>
        <v>9000</v>
      </c>
      <c r="D23" s="70" t="str">
        <f>IFERROR(__xludf.DUMMYFUNCTION("""COMPUTED_VALUE"""),"Compactos")</f>
        <v>Compactos</v>
      </c>
      <c r="E23" s="71" t="str">
        <f>IFERROR(__xludf.DUMMYFUNCTION("""COMPUTED_VALUE"""),"https://docs.fivem.net/vehicles/dilettante.webp")</f>
        <v>https://docs.fivem.net/vehicles/dilettante.webp</v>
      </c>
    </row>
    <row r="24" ht="15.75" customHeight="1">
      <c r="A24" s="69" t="str">
        <f>IFERROR(__xludf.DUMMYFUNCTION("""COMPUTED_VALUE"""),"issi2")</f>
        <v>issi2</v>
      </c>
      <c r="B24" s="69" t="str">
        <f>IFERROR(__xludf.DUMMYFUNCTION("""COMPUTED_VALUE"""),"Issi")</f>
        <v>Issi</v>
      </c>
      <c r="C24" s="70">
        <f>IFERROR(__xludf.DUMMYFUNCTION("""COMPUTED_VALUE"""),7000.0)</f>
        <v>7000</v>
      </c>
      <c r="D24" s="70" t="str">
        <f>IFERROR(__xludf.DUMMYFUNCTION("""COMPUTED_VALUE"""),"Compactos")</f>
        <v>Compactos</v>
      </c>
      <c r="E24" s="71" t="str">
        <f>IFERROR(__xludf.DUMMYFUNCTION("""COMPUTED_VALUE"""),"https://docs.fivem.net/vehicles/issi2.webp")</f>
        <v>https://docs.fivem.net/vehicles/issi2.webp</v>
      </c>
    </row>
    <row r="25" ht="15.75" customHeight="1">
      <c r="A25" s="69" t="str">
        <f>IFERROR(__xludf.DUMMYFUNCTION("""COMPUTED_VALUE"""),"issi3")</f>
        <v>issi3</v>
      </c>
      <c r="B25" s="69" t="str">
        <f>IFERROR(__xludf.DUMMYFUNCTION("""COMPUTED_VALUE"""),"Issi Classic")</f>
        <v>Issi Classic</v>
      </c>
      <c r="C25" s="70">
        <f>IFERROR(__xludf.DUMMYFUNCTION("""COMPUTED_VALUE"""),3900.0)</f>
        <v>3900</v>
      </c>
      <c r="D25" s="70" t="str">
        <f>IFERROR(__xludf.DUMMYFUNCTION("""COMPUTED_VALUE"""),"Compactos")</f>
        <v>Compactos</v>
      </c>
      <c r="E25" s="71" t="str">
        <f>IFERROR(__xludf.DUMMYFUNCTION("""COMPUTED_VALUE"""),"https://docs.fivem.net/vehicles/issi3.webp")</f>
        <v>https://docs.fivem.net/vehicles/issi3.webp</v>
      </c>
    </row>
    <row r="26" ht="15.75" customHeight="1">
      <c r="A26" s="69" t="str">
        <f>IFERROR(__xludf.DUMMYFUNCTION("""COMPUTED_VALUE"""),"issi4")</f>
        <v>issi4</v>
      </c>
      <c r="B26" s="69" t="str">
        <f>IFERROR(__xludf.DUMMYFUNCTION("""COMPUTED_VALUE"""),"Issi Arena")</f>
        <v>Issi Arena</v>
      </c>
      <c r="C26" s="70">
        <f>IFERROR(__xludf.DUMMYFUNCTION("""COMPUTED_VALUE"""),61000.0)</f>
        <v>61000</v>
      </c>
      <c r="D26" s="70" t="str">
        <f>IFERROR(__xludf.DUMMYFUNCTION("""COMPUTED_VALUE"""),"Compactos")</f>
        <v>Compactos</v>
      </c>
      <c r="E26" s="71" t="str">
        <f>IFERROR(__xludf.DUMMYFUNCTION("""COMPUTED_VALUE"""),"https://docs.fivem.net/vehicles/issi4.webp")</f>
        <v>https://docs.fivem.net/vehicles/issi4.webp</v>
      </c>
    </row>
    <row r="27" ht="15.75" customHeight="1">
      <c r="A27" s="69" t="str">
        <f>IFERROR(__xludf.DUMMYFUNCTION("""COMPUTED_VALUE"""),"issi5")</f>
        <v>issi5</v>
      </c>
      <c r="B27" s="69" t="str">
        <f>IFERROR(__xludf.DUMMYFUNCTION("""COMPUTED_VALUE"""),"Issi Future Shock")</f>
        <v>Issi Future Shock</v>
      </c>
      <c r="C27" s="70">
        <f>IFERROR(__xludf.DUMMYFUNCTION("""COMPUTED_VALUE"""),68500.0)</f>
        <v>68500</v>
      </c>
      <c r="D27" s="70" t="str">
        <f>IFERROR(__xludf.DUMMYFUNCTION("""COMPUTED_VALUE"""),"Compactos")</f>
        <v>Compactos</v>
      </c>
      <c r="E27" s="71" t="str">
        <f>IFERROR(__xludf.DUMMYFUNCTION("""COMPUTED_VALUE"""),"https://docs.fivem.net/vehicles/issi5.webp")</f>
        <v>https://docs.fivem.net/vehicles/issi5.webp</v>
      </c>
    </row>
    <row r="28" ht="15.75" customHeight="1">
      <c r="A28" s="69" t="str">
        <f>IFERROR(__xludf.DUMMYFUNCTION("""COMPUTED_VALUE"""),"issi6")</f>
        <v>issi6</v>
      </c>
      <c r="B28" s="69" t="str">
        <f>IFERROR(__xludf.DUMMYFUNCTION("""COMPUTED_VALUE"""),"Issi Nightmare")</f>
        <v>Issi Nightmare</v>
      </c>
      <c r="C28" s="70">
        <f>IFERROR(__xludf.DUMMYFUNCTION("""COMPUTED_VALUE"""),70000.0)</f>
        <v>70000</v>
      </c>
      <c r="D28" s="70" t="str">
        <f>IFERROR(__xludf.DUMMYFUNCTION("""COMPUTED_VALUE"""),"Compactos")</f>
        <v>Compactos</v>
      </c>
      <c r="E28" s="71" t="str">
        <f>IFERROR(__xludf.DUMMYFUNCTION("""COMPUTED_VALUE"""),"https://docs.fivem.net/vehicles/issi6.webp")</f>
        <v>https://docs.fivem.net/vehicles/issi6.webp</v>
      </c>
    </row>
    <row r="29" ht="15.75" customHeight="1">
      <c r="A29" s="69" t="str">
        <f>IFERROR(__xludf.DUMMYFUNCTION("""COMPUTED_VALUE"""),"issi7")</f>
        <v>issi7</v>
      </c>
      <c r="B29" s="69" t="str">
        <f>IFERROR(__xludf.DUMMYFUNCTION("""COMPUTED_VALUE"""),"Issi Sport")</f>
        <v>Issi Sport</v>
      </c>
      <c r="C29" s="70">
        <f>IFERROR(__xludf.DUMMYFUNCTION("""COMPUTED_VALUE"""),150000.0)</f>
        <v>150000</v>
      </c>
      <c r="D29" s="70" t="str">
        <f>IFERROR(__xludf.DUMMYFUNCTION("""COMPUTED_VALUE"""),"Compactos")</f>
        <v>Compactos</v>
      </c>
      <c r="E29" s="71" t="str">
        <f>IFERROR(__xludf.DUMMYFUNCTION("""COMPUTED_VALUE"""),"https://docs.fivem.net/vehicles/issi7.webp")</f>
        <v>https://docs.fivem.net/vehicles/issi7.webp</v>
      </c>
    </row>
    <row r="30" ht="15.75" customHeight="1">
      <c r="A30" s="69" t="str">
        <f>IFERROR(__xludf.DUMMYFUNCTION("""COMPUTED_VALUE"""),"issi8")</f>
        <v>issi8</v>
      </c>
      <c r="B30" s="69" t="str">
        <f>IFERROR(__xludf.DUMMYFUNCTION("""COMPUTED_VALUE"""),"Issi Rally")</f>
        <v>Issi Rally</v>
      </c>
      <c r="C30" s="70">
        <f>IFERROR(__xludf.DUMMYFUNCTION("""COMPUTED_VALUE"""),140000.0)</f>
        <v>140000</v>
      </c>
      <c r="D30" s="70" t="str">
        <f>IFERROR(__xludf.DUMMYFUNCTION("""COMPUTED_VALUE"""),"Compactos")</f>
        <v>Compactos</v>
      </c>
      <c r="E30" s="71" t="str">
        <f>IFERROR(__xludf.DUMMYFUNCTION("""COMPUTED_VALUE"""),"https://docs.fivem.net/vehicles/issi8.webp")</f>
        <v>https://docs.fivem.net/vehicles/issi8.webp</v>
      </c>
    </row>
    <row r="31" ht="15.75" customHeight="1">
      <c r="A31" s="69" t="str">
        <f>IFERROR(__xludf.DUMMYFUNCTION("""COMPUTED_VALUE"""),"kanjo")</f>
        <v>kanjo</v>
      </c>
      <c r="B31" s="69" t="str">
        <f>IFERROR(__xludf.DUMMYFUNCTION("""COMPUTED_VALUE"""),"Blista Kanjo")</f>
        <v>Blista Kanjo</v>
      </c>
      <c r="C31" s="70">
        <f>IFERROR(__xludf.DUMMYFUNCTION("""COMPUTED_VALUE"""),12000.0)</f>
        <v>12000</v>
      </c>
      <c r="D31" s="70" t="str">
        <f>IFERROR(__xludf.DUMMYFUNCTION("""COMPUTED_VALUE"""),"Compactos")</f>
        <v>Compactos</v>
      </c>
      <c r="E31" s="71" t="str">
        <f>IFERROR(__xludf.DUMMYFUNCTION("""COMPUTED_VALUE"""),"https://docs.fivem.net/vehicles/kanjo.webp")</f>
        <v>https://docs.fivem.net/vehicles/kanjo.webp</v>
      </c>
    </row>
    <row r="32" ht="15.75" customHeight="1">
      <c r="A32" s="69" t="str">
        <f>IFERROR(__xludf.DUMMYFUNCTION("""COMPUTED_VALUE"""),"panto")</f>
        <v>panto</v>
      </c>
      <c r="B32" s="69" t="str">
        <f>IFERROR(__xludf.DUMMYFUNCTION("""COMPUTED_VALUE"""),"Panto")</f>
        <v>Panto</v>
      </c>
      <c r="C32" s="70">
        <f>IFERROR(__xludf.DUMMYFUNCTION("""COMPUTED_VALUE"""),9000.0)</f>
        <v>9000</v>
      </c>
      <c r="D32" s="70" t="str">
        <f>IFERROR(__xludf.DUMMYFUNCTION("""COMPUTED_VALUE"""),"Compactos")</f>
        <v>Compactos</v>
      </c>
      <c r="E32" s="71" t="str">
        <f>IFERROR(__xludf.DUMMYFUNCTION("""COMPUTED_VALUE"""),"https://docs.fivem.net/vehicles/panto.webp")</f>
        <v>https://docs.fivem.net/vehicles/panto.webp</v>
      </c>
    </row>
    <row r="33" ht="15.75" customHeight="1">
      <c r="A33" s="69" t="str">
        <f>IFERROR(__xludf.DUMMYFUNCTION("""COMPUTED_VALUE"""),"prairie")</f>
        <v>prairie</v>
      </c>
      <c r="B33" s="69" t="str">
        <f>IFERROR(__xludf.DUMMYFUNCTION("""COMPUTED_VALUE"""),"Prairie")</f>
        <v>Prairie</v>
      </c>
      <c r="C33" s="70">
        <f>IFERROR(__xludf.DUMMYFUNCTION("""COMPUTED_VALUE"""),8500.0)</f>
        <v>8500</v>
      </c>
      <c r="D33" s="70" t="str">
        <f>IFERROR(__xludf.DUMMYFUNCTION("""COMPUTED_VALUE"""),"Compactos")</f>
        <v>Compactos</v>
      </c>
      <c r="E33" s="71" t="str">
        <f>IFERROR(__xludf.DUMMYFUNCTION("""COMPUTED_VALUE"""),"https://docs.fivem.net/vehicles/prairie.webp")</f>
        <v>https://docs.fivem.net/vehicles/prairie.webp</v>
      </c>
    </row>
    <row r="34" ht="15.75" customHeight="1">
      <c r="A34" s="69" t="str">
        <f>IFERROR(__xludf.DUMMYFUNCTION("""COMPUTED_VALUE"""),"rhapsody")</f>
        <v>rhapsody</v>
      </c>
      <c r="B34" s="69" t="str">
        <f>IFERROR(__xludf.DUMMYFUNCTION("""COMPUTED_VALUE"""),"Rhapsody")</f>
        <v>Rhapsody</v>
      </c>
      <c r="C34" s="70">
        <f>IFERROR(__xludf.DUMMYFUNCTION("""COMPUTED_VALUE"""),12500.0)</f>
        <v>12500</v>
      </c>
      <c r="D34" s="70" t="str">
        <f>IFERROR(__xludf.DUMMYFUNCTION("""COMPUTED_VALUE"""),"Compactos")</f>
        <v>Compactos</v>
      </c>
      <c r="E34" s="71" t="str">
        <f>IFERROR(__xludf.DUMMYFUNCTION("""COMPUTED_VALUE"""),"https://docs.fivem.net/vehicles/rhapsody.webp")</f>
        <v>https://docs.fivem.net/vehicles/rhapsody.webp</v>
      </c>
    </row>
    <row r="35" ht="15.75" customHeight="1">
      <c r="A35" s="69" t="str">
        <f>IFERROR(__xludf.DUMMYFUNCTION("""COMPUTED_VALUE"""),"weevil")</f>
        <v>weevil</v>
      </c>
      <c r="B35" s="69" t="str">
        <f>IFERROR(__xludf.DUMMYFUNCTION("""COMPUTED_VALUE"""),"Weevil")</f>
        <v>Weevil</v>
      </c>
      <c r="C35" s="70">
        <f>IFERROR(__xludf.DUMMYFUNCTION("""COMPUTED_VALUE"""),4500.0)</f>
        <v>4500</v>
      </c>
      <c r="D35" s="70" t="str">
        <f>IFERROR(__xludf.DUMMYFUNCTION("""COMPUTED_VALUE"""),"Compactos")</f>
        <v>Compactos</v>
      </c>
      <c r="E35" s="71" t="str">
        <f>IFERROR(__xludf.DUMMYFUNCTION("""COMPUTED_VALUE"""),"https://docs.fivem.net/vehicles/weevil.webp")</f>
        <v>https://docs.fivem.net/vehicles/weevil.webp</v>
      </c>
    </row>
    <row r="36" ht="15.75" customHeight="1">
      <c r="A36" s="69" t="str">
        <f>IFERROR(__xludf.DUMMYFUNCTION("""COMPUTED_VALUE"""),"broadway")</f>
        <v>broadway</v>
      </c>
      <c r="B36" s="69" t="str">
        <f>IFERROR(__xludf.DUMMYFUNCTION("""COMPUTED_VALUE"""),"Broadway")</f>
        <v>Broadway</v>
      </c>
      <c r="C36" s="70">
        <f>IFERROR(__xludf.DUMMYFUNCTION("""COMPUTED_VALUE"""),29000.0)</f>
        <v>29000</v>
      </c>
      <c r="D36" s="70" t="str">
        <f>IFERROR(__xludf.DUMMYFUNCTION("""COMPUTED_VALUE"""),"Coupes")</f>
        <v>Coupes</v>
      </c>
      <c r="E36" s="71" t="str">
        <f>IFERROR(__xludf.DUMMYFUNCTION("""COMPUTED_VALUE"""),"https://docs.fivem.net/vehicles/broadway.webp")</f>
        <v>https://docs.fivem.net/vehicles/broadway.webp</v>
      </c>
    </row>
    <row r="37" ht="15.75" customHeight="1">
      <c r="A37" s="69" t="str">
        <f>IFERROR(__xludf.DUMMYFUNCTION("""COMPUTED_VALUE"""),"champion")</f>
        <v>champion</v>
      </c>
      <c r="B37" s="69" t="str">
        <f>IFERROR(__xludf.DUMMYFUNCTION("""COMPUTED_VALUE"""),"Champion")</f>
        <v>Champion</v>
      </c>
      <c r="C37" s="70">
        <f>IFERROR(__xludf.DUMMYFUNCTION("""COMPUTED_VALUE"""),125000.0)</f>
        <v>125000</v>
      </c>
      <c r="D37" s="70" t="str">
        <f>IFERROR(__xludf.DUMMYFUNCTION("""COMPUTED_VALUE"""),"Coupes")</f>
        <v>Coupes</v>
      </c>
      <c r="E37" s="71" t="str">
        <f>IFERROR(__xludf.DUMMYFUNCTION("""COMPUTED_VALUE"""),"https://docs.fivem.net/vehicles/champion.webp")</f>
        <v>https://docs.fivem.net/vehicles/champion.webp</v>
      </c>
    </row>
    <row r="38" ht="15.75" customHeight="1">
      <c r="A38" s="69" t="str">
        <f>IFERROR(__xludf.DUMMYFUNCTION("""COMPUTED_VALUE"""),"cogcabrio")</f>
        <v>cogcabrio</v>
      </c>
      <c r="B38" s="69" t="str">
        <f>IFERROR(__xludf.DUMMYFUNCTION("""COMPUTED_VALUE"""),"Cognoscenti Cabrio")</f>
        <v>Cognoscenti Cabrio</v>
      </c>
      <c r="C38" s="70">
        <f>IFERROR(__xludf.DUMMYFUNCTION("""COMPUTED_VALUE"""),14000.0)</f>
        <v>14000</v>
      </c>
      <c r="D38" s="70" t="str">
        <f>IFERROR(__xludf.DUMMYFUNCTION("""COMPUTED_VALUE"""),"Coupes")</f>
        <v>Coupes</v>
      </c>
      <c r="E38" s="71" t="str">
        <f>IFERROR(__xludf.DUMMYFUNCTION("""COMPUTED_VALUE"""),"https://docs.fivem.net/vehicles/cogcabrio.webp")</f>
        <v>https://docs.fivem.net/vehicles/cogcabrio.webp</v>
      </c>
    </row>
    <row r="39" ht="15.75" customHeight="1">
      <c r="A39" s="69" t="str">
        <f>IFERROR(__xludf.DUMMYFUNCTION("""COMPUTED_VALUE"""),"cognoscenti")</f>
        <v>cognoscenti</v>
      </c>
      <c r="B39" s="69" t="str">
        <f>IFERROR(__xludf.DUMMYFUNCTION("""COMPUTED_VALUE"""),"Cognoscenti")</f>
        <v>Cognoscenti</v>
      </c>
      <c r="C39" s="70">
        <f>IFERROR(__xludf.DUMMYFUNCTION("""COMPUTED_VALUE"""),12000.0)</f>
        <v>12000</v>
      </c>
      <c r="D39" s="70" t="str">
        <f>IFERROR(__xludf.DUMMYFUNCTION("""COMPUTED_VALUE"""),"Coupes")</f>
        <v>Coupes</v>
      </c>
      <c r="E39" s="71" t="str">
        <f>IFERROR(__xludf.DUMMYFUNCTION("""COMPUTED_VALUE"""),"https://docs.fivem.net/vehicles/cognoscenti.webp")</f>
        <v>https://docs.fivem.net/vehicles/cognoscenti.webp</v>
      </c>
    </row>
    <row r="40" ht="15.75" customHeight="1">
      <c r="A40" s="69" t="str">
        <f>IFERROR(__xludf.DUMMYFUNCTION("""COMPUTED_VALUE"""),"exemplar")</f>
        <v>exemplar</v>
      </c>
      <c r="B40" s="69" t="str">
        <f>IFERROR(__xludf.DUMMYFUNCTION("""COMPUTED_VALUE"""),"Exemplar")</f>
        <v>Exemplar</v>
      </c>
      <c r="C40" s="70">
        <f>IFERROR(__xludf.DUMMYFUNCTION("""COMPUTED_VALUE"""),40000.0)</f>
        <v>40000</v>
      </c>
      <c r="D40" s="70" t="str">
        <f>IFERROR(__xludf.DUMMYFUNCTION("""COMPUTED_VALUE"""),"Coupes")</f>
        <v>Coupes</v>
      </c>
      <c r="E40" s="71" t="str">
        <f>IFERROR(__xludf.DUMMYFUNCTION("""COMPUTED_VALUE"""),"https://docs.fivem.net/vehicles/exemplar.webp")</f>
        <v>https://docs.fivem.net/vehicles/exemplar.webp</v>
      </c>
    </row>
    <row r="41" ht="15.75" customHeight="1">
      <c r="A41" s="69" t="str">
        <f>IFERROR(__xludf.DUMMYFUNCTION("""COMPUTED_VALUE"""),"f620")</f>
        <v>f620</v>
      </c>
      <c r="B41" s="69" t="str">
        <f>IFERROR(__xludf.DUMMYFUNCTION("""COMPUTED_VALUE"""),"F620")</f>
        <v>F620</v>
      </c>
      <c r="C41" s="70">
        <f>IFERROR(__xludf.DUMMYFUNCTION("""COMPUTED_VALUE"""),52000.0)</f>
        <v>52000</v>
      </c>
      <c r="D41" s="70" t="str">
        <f>IFERROR(__xludf.DUMMYFUNCTION("""COMPUTED_VALUE"""),"Coupes")</f>
        <v>Coupes</v>
      </c>
      <c r="E41" s="71" t="str">
        <f>IFERROR(__xludf.DUMMYFUNCTION("""COMPUTED_VALUE"""),"https://docs.fivem.net/vehicles/f620.webp")</f>
        <v>https://docs.fivem.net/vehicles/f620.webp</v>
      </c>
    </row>
    <row r="42" ht="15.75" customHeight="1">
      <c r="A42" s="69" t="str">
        <f>IFERROR(__xludf.DUMMYFUNCTION("""COMPUTED_VALUE"""),"felon")</f>
        <v>felon</v>
      </c>
      <c r="B42" s="69" t="str">
        <f>IFERROR(__xludf.DUMMYFUNCTION("""COMPUTED_VALUE"""),"Felon")</f>
        <v>Felon</v>
      </c>
      <c r="C42" s="70">
        <f>IFERROR(__xludf.DUMMYFUNCTION("""COMPUTED_VALUE"""),52000.0)</f>
        <v>52000</v>
      </c>
      <c r="D42" s="70" t="str">
        <f>IFERROR(__xludf.DUMMYFUNCTION("""COMPUTED_VALUE"""),"Coupes")</f>
        <v>Coupes</v>
      </c>
      <c r="E42" s="71" t="str">
        <f>IFERROR(__xludf.DUMMYFUNCTION("""COMPUTED_VALUE"""),"https://docs.fivem.net/vehicles/felon.webp")</f>
        <v>https://docs.fivem.net/vehicles/felon.webp</v>
      </c>
    </row>
    <row r="43" ht="15.75" customHeight="1">
      <c r="A43" s="69" t="str">
        <f>IFERROR(__xludf.DUMMYFUNCTION("""COMPUTED_VALUE"""),"felon2")</f>
        <v>felon2</v>
      </c>
      <c r="B43" s="69" t="str">
        <f>IFERROR(__xludf.DUMMYFUNCTION("""COMPUTED_VALUE"""),"Felon GT")</f>
        <v>Felon GT</v>
      </c>
      <c r="C43" s="70">
        <f>IFERROR(__xludf.DUMMYFUNCTION("""COMPUTED_VALUE"""),54000.0)</f>
        <v>54000</v>
      </c>
      <c r="D43" s="70" t="str">
        <f>IFERROR(__xludf.DUMMYFUNCTION("""COMPUTED_VALUE"""),"Coupes")</f>
        <v>Coupes</v>
      </c>
      <c r="E43" s="71" t="str">
        <f>IFERROR(__xludf.DUMMYFUNCTION("""COMPUTED_VALUE"""),"https://docs.fivem.net/vehicles/felon2.webp")</f>
        <v>https://docs.fivem.net/vehicles/felon2.webp</v>
      </c>
    </row>
    <row r="44" ht="15.75" customHeight="1">
      <c r="A44" s="69" t="str">
        <f>IFERROR(__xludf.DUMMYFUNCTION("""COMPUTED_VALUE"""),"fr36")</f>
        <v>fr36</v>
      </c>
      <c r="B44" s="69" t="str">
        <f>IFERROR(__xludf.DUMMYFUNCTION("""COMPUTED_VALUE"""),"FR36")</f>
        <v>FR36</v>
      </c>
      <c r="C44" s="70">
        <f>IFERROR(__xludf.DUMMYFUNCTION("""COMPUTED_VALUE"""),63000.0)</f>
        <v>63000</v>
      </c>
      <c r="D44" s="70" t="str">
        <f>IFERROR(__xludf.DUMMYFUNCTION("""COMPUTED_VALUE"""),"Coupes")</f>
        <v>Coupes</v>
      </c>
      <c r="E44" s="71" t="str">
        <f>IFERROR(__xludf.DUMMYFUNCTION("""COMPUTED_VALUE"""),"https://docs.fivem.net/vehicles/fr36.webp")</f>
        <v>https://docs.fivem.net/vehicles/fr36.webp</v>
      </c>
    </row>
    <row r="45" ht="15.75" customHeight="1">
      <c r="A45" s="69" t="str">
        <f>IFERROR(__xludf.DUMMYFUNCTION("""COMPUTED_VALUE"""),"futo")</f>
        <v>futo</v>
      </c>
      <c r="B45" s="69" t="str">
        <f>IFERROR(__xludf.DUMMYFUNCTION("""COMPUTED_VALUE"""),"Futo")</f>
        <v>Futo</v>
      </c>
      <c r="C45" s="70">
        <f>IFERROR(__xludf.DUMMYFUNCTION("""COMPUTED_VALUE"""),25000.0)</f>
        <v>25000</v>
      </c>
      <c r="D45" s="70" t="str">
        <f>IFERROR(__xludf.DUMMYFUNCTION("""COMPUTED_VALUE"""),"Coupes")</f>
        <v>Coupes</v>
      </c>
      <c r="E45" s="71" t="str">
        <f>IFERROR(__xludf.DUMMYFUNCTION("""COMPUTED_VALUE"""),"https://docs.fivem.net/vehicles/futo.webp")</f>
        <v>https://docs.fivem.net/vehicles/futo.webp</v>
      </c>
    </row>
    <row r="46" ht="15.75" customHeight="1">
      <c r="A46" s="69" t="str">
        <f>IFERROR(__xludf.DUMMYFUNCTION("""COMPUTED_VALUE"""),"jackal")</f>
        <v>jackal</v>
      </c>
      <c r="B46" s="69" t="str">
        <f>IFERROR(__xludf.DUMMYFUNCTION("""COMPUTED_VALUE"""),"Jackal")</f>
        <v>Jackal</v>
      </c>
      <c r="C46" s="70">
        <f>IFERROR(__xludf.DUMMYFUNCTION("""COMPUTED_VALUE"""),51500.0)</f>
        <v>51500</v>
      </c>
      <c r="D46" s="70" t="str">
        <f>IFERROR(__xludf.DUMMYFUNCTION("""COMPUTED_VALUE"""),"Coupes")</f>
        <v>Coupes</v>
      </c>
      <c r="E46" s="71" t="str">
        <f>IFERROR(__xludf.DUMMYFUNCTION("""COMPUTED_VALUE"""),"https://docs.fivem.net/vehicles/jackal.webp")</f>
        <v>https://docs.fivem.net/vehicles/jackal.webp</v>
      </c>
    </row>
    <row r="47" ht="15.75" customHeight="1">
      <c r="A47" s="69" t="str">
        <f>IFERROR(__xludf.DUMMYFUNCTION("""COMPUTED_VALUE"""),"kanjosj")</f>
        <v>kanjosj</v>
      </c>
      <c r="B47" s="69" t="str">
        <f>IFERROR(__xludf.DUMMYFUNCTION("""COMPUTED_VALUE"""),"Kanjo SJ")</f>
        <v>Kanjo SJ</v>
      </c>
      <c r="C47" s="70">
        <f>IFERROR(__xludf.DUMMYFUNCTION("""COMPUTED_VALUE"""),14500.0)</f>
        <v>14500</v>
      </c>
      <c r="D47" s="70" t="str">
        <f>IFERROR(__xludf.DUMMYFUNCTION("""COMPUTED_VALUE"""),"Coupes")</f>
        <v>Coupes</v>
      </c>
      <c r="E47" s="71" t="str">
        <f>IFERROR(__xludf.DUMMYFUNCTION("""COMPUTED_VALUE"""),"https://docs.fivem.net/vehicles/kanjosj.webp")</f>
        <v>https://docs.fivem.net/vehicles/kanjosj.webp</v>
      </c>
    </row>
    <row r="48" ht="15.75" customHeight="1">
      <c r="A48" s="69" t="str">
        <f>IFERROR(__xludf.DUMMYFUNCTION("""COMPUTED_VALUE"""),"oracle2")</f>
        <v>oracle2</v>
      </c>
      <c r="B48" s="69" t="str">
        <f>IFERROR(__xludf.DUMMYFUNCTION("""COMPUTED_VALUE"""),"Oracle XS")</f>
        <v>Oracle XS</v>
      </c>
      <c r="C48" s="70">
        <f>IFERROR(__xludf.DUMMYFUNCTION("""COMPUTED_VALUE"""),39500.0)</f>
        <v>39500</v>
      </c>
      <c r="D48" s="70" t="str">
        <f>IFERROR(__xludf.DUMMYFUNCTION("""COMPUTED_VALUE"""),"Coupes")</f>
        <v>Coupes</v>
      </c>
      <c r="E48" s="71" t="str">
        <f>IFERROR(__xludf.DUMMYFUNCTION("""COMPUTED_VALUE"""),"https://docs.fivem.net/vehicles/oracle2.webp")</f>
        <v>https://docs.fivem.net/vehicles/oracle2.webp</v>
      </c>
    </row>
    <row r="49" ht="15.75" customHeight="1">
      <c r="A49" s="69" t="str">
        <f>IFERROR(__xludf.DUMMYFUNCTION("""COMPUTED_VALUE"""),"postlude")</f>
        <v>postlude</v>
      </c>
      <c r="B49" s="69" t="str">
        <f>IFERROR(__xludf.DUMMYFUNCTION("""COMPUTED_VALUE"""),"Postlude")</f>
        <v>Postlude</v>
      </c>
      <c r="C49" s="70">
        <f>IFERROR(__xludf.DUMMYFUNCTION("""COMPUTED_VALUE"""),27500.0)</f>
        <v>27500</v>
      </c>
      <c r="D49" s="70" t="str">
        <f>IFERROR(__xludf.DUMMYFUNCTION("""COMPUTED_VALUE"""),"Coupes")</f>
        <v>Coupes</v>
      </c>
      <c r="E49" s="71" t="str">
        <f>IFERROR(__xludf.DUMMYFUNCTION("""COMPUTED_VALUE"""),"https://docs.fivem.net/vehicles/postlude.webp")</f>
        <v>https://docs.fivem.net/vehicles/postlude.webp</v>
      </c>
    </row>
    <row r="50" ht="15.75" customHeight="1">
      <c r="A50" s="69" t="str">
        <f>IFERROR(__xludf.DUMMYFUNCTION("""COMPUTED_VALUE"""),"previon")</f>
        <v>previon</v>
      </c>
      <c r="B50" s="69" t="str">
        <f>IFERROR(__xludf.DUMMYFUNCTION("""COMPUTED_VALUE"""),"Previon")</f>
        <v>Previon</v>
      </c>
      <c r="C50" s="70">
        <f>IFERROR(__xludf.DUMMYFUNCTION("""COMPUTED_VALUE"""),15000.0)</f>
        <v>15000</v>
      </c>
      <c r="D50" s="70" t="str">
        <f>IFERROR(__xludf.DUMMYFUNCTION("""COMPUTED_VALUE"""),"Coupes")</f>
        <v>Coupes</v>
      </c>
      <c r="E50" s="71" t="str">
        <f>IFERROR(__xludf.DUMMYFUNCTION("""COMPUTED_VALUE"""),"https://docs.fivem.net/vehicles/previon.webp")</f>
        <v>https://docs.fivem.net/vehicles/previon.webp</v>
      </c>
    </row>
    <row r="51" ht="15.75" customHeight="1">
      <c r="A51" s="69" t="str">
        <f>IFERROR(__xludf.DUMMYFUNCTION("""COMPUTED_VALUE"""),"sentinel")</f>
        <v>sentinel</v>
      </c>
      <c r="B51" s="69" t="str">
        <f>IFERROR(__xludf.DUMMYFUNCTION("""COMPUTED_VALUE"""),"Sentinel")</f>
        <v>Sentinel</v>
      </c>
      <c r="C51" s="70">
        <f>IFERROR(__xludf.DUMMYFUNCTION("""COMPUTED_VALUE"""),35000.0)</f>
        <v>35000</v>
      </c>
      <c r="D51" s="70" t="str">
        <f>IFERROR(__xludf.DUMMYFUNCTION("""COMPUTED_VALUE"""),"Coupes")</f>
        <v>Coupes</v>
      </c>
      <c r="E51" s="71" t="str">
        <f>IFERROR(__xludf.DUMMYFUNCTION("""COMPUTED_VALUE"""),"https://docs.fivem.net/vehicles/sentinel.webp")</f>
        <v>https://docs.fivem.net/vehicles/sentinel.webp</v>
      </c>
    </row>
    <row r="52" ht="15.75" customHeight="1">
      <c r="A52" s="69" t="str">
        <f>IFERROR(__xludf.DUMMYFUNCTION("""COMPUTED_VALUE"""),"sentinel2")</f>
        <v>sentinel2</v>
      </c>
      <c r="B52" s="69" t="str">
        <f>IFERROR(__xludf.DUMMYFUNCTION("""COMPUTED_VALUE"""),"Sentinel XS")</f>
        <v>Sentinel XS</v>
      </c>
      <c r="C52" s="70">
        <f>IFERROR(__xludf.DUMMYFUNCTION("""COMPUTED_VALUE"""),37000.0)</f>
        <v>37000</v>
      </c>
      <c r="D52" s="70" t="str">
        <f>IFERROR(__xludf.DUMMYFUNCTION("""COMPUTED_VALUE"""),"Coupes")</f>
        <v>Coupes</v>
      </c>
      <c r="E52" s="71" t="str">
        <f>IFERROR(__xludf.DUMMYFUNCTION("""COMPUTED_VALUE"""),"https://docs.fivem.net/vehicles/sentinel2.webp")</f>
        <v>https://docs.fivem.net/vehicles/sentinel2.webp</v>
      </c>
    </row>
    <row r="53" ht="15.75" customHeight="1">
      <c r="A53" s="69" t="str">
        <f>IFERROR(__xludf.DUMMYFUNCTION("""COMPUTED_VALUE"""),"sentinel3")</f>
        <v>sentinel3</v>
      </c>
      <c r="B53" s="69" t="str">
        <f>IFERROR(__xludf.DUMMYFUNCTION("""COMPUTED_VALUE"""),"Sentinel Classic")</f>
        <v>Sentinel Classic</v>
      </c>
      <c r="C53" s="70">
        <f>IFERROR(__xludf.DUMMYFUNCTION("""COMPUTED_VALUE"""),70000.0)</f>
        <v>70000</v>
      </c>
      <c r="D53" s="70" t="str">
        <f>IFERROR(__xludf.DUMMYFUNCTION("""COMPUTED_VALUE"""),"Coupes")</f>
        <v>Coupes</v>
      </c>
      <c r="E53" s="71" t="str">
        <f>IFERROR(__xludf.DUMMYFUNCTION("""COMPUTED_VALUE"""),"https://docs.fivem.net/vehicles/sentinel3.webp")</f>
        <v>https://docs.fivem.net/vehicles/sentinel3.webp</v>
      </c>
    </row>
    <row r="54" ht="15.75" customHeight="1">
      <c r="A54" s="69" t="str">
        <f>IFERROR(__xludf.DUMMYFUNCTION("""COMPUTED_VALUE"""),"tahoma")</f>
        <v>tahoma</v>
      </c>
      <c r="B54" s="69" t="str">
        <f>IFERROR(__xludf.DUMMYFUNCTION("""COMPUTED_VALUE"""),"Tahoma Coupe")</f>
        <v>Tahoma Coupe</v>
      </c>
      <c r="C54" s="70">
        <f>IFERROR(__xludf.DUMMYFUNCTION("""COMPUTED_VALUE"""),24000.0)</f>
        <v>24000</v>
      </c>
      <c r="D54" s="70" t="str">
        <f>IFERROR(__xludf.DUMMYFUNCTION("""COMPUTED_VALUE"""),"Coupes")</f>
        <v>Coupes</v>
      </c>
      <c r="E54" s="71" t="str">
        <f>IFERROR(__xludf.DUMMYFUNCTION("""COMPUTED_VALUE"""),"https://docs.fivem.net/vehicles/tahoma.webp")</f>
        <v>https://docs.fivem.net/vehicles/tahoma.webp</v>
      </c>
    </row>
    <row r="55" ht="15.75" customHeight="1">
      <c r="A55" s="69" t="str">
        <f>IFERROR(__xludf.DUMMYFUNCTION("""COMPUTED_VALUE"""),"windsor")</f>
        <v>windsor</v>
      </c>
      <c r="B55" s="69" t="str">
        <f>IFERROR(__xludf.DUMMYFUNCTION("""COMPUTED_VALUE"""),"Windsor")</f>
        <v>Windsor</v>
      </c>
      <c r="C55" s="70">
        <f>IFERROR(__xludf.DUMMYFUNCTION("""COMPUTED_VALUE"""),69000.0)</f>
        <v>69000</v>
      </c>
      <c r="D55" s="70" t="str">
        <f>IFERROR(__xludf.DUMMYFUNCTION("""COMPUTED_VALUE"""),"Coupes")</f>
        <v>Coupes</v>
      </c>
      <c r="E55" s="71" t="str">
        <f>IFERROR(__xludf.DUMMYFUNCTION("""COMPUTED_VALUE"""),"https://docs.fivem.net/vehicles/windsor.webp")</f>
        <v>https://docs.fivem.net/vehicles/windsor.webp</v>
      </c>
    </row>
    <row r="56" ht="15.75" customHeight="1">
      <c r="A56" s="69" t="str">
        <f>IFERROR(__xludf.DUMMYFUNCTION("""COMPUTED_VALUE"""),"windsor2")</f>
        <v>windsor2</v>
      </c>
      <c r="B56" s="69" t="str">
        <f>IFERROR(__xludf.DUMMYFUNCTION("""COMPUTED_VALUE"""),"Windsor Drop")</f>
        <v>Windsor Drop</v>
      </c>
      <c r="C56" s="70">
        <f>IFERROR(__xludf.DUMMYFUNCTION("""COMPUTED_VALUE"""),73000.0)</f>
        <v>73000</v>
      </c>
      <c r="D56" s="70" t="str">
        <f>IFERROR(__xludf.DUMMYFUNCTION("""COMPUTED_VALUE"""),"Coupes")</f>
        <v>Coupes</v>
      </c>
      <c r="E56" s="71" t="str">
        <f>IFERROR(__xludf.DUMMYFUNCTION("""COMPUTED_VALUE"""),"https://docs.fivem.net/vehicles/windsor2.webp")</f>
        <v>https://docs.fivem.net/vehicles/windsor2.webp</v>
      </c>
    </row>
    <row r="57" ht="15.75" customHeight="1">
      <c r="A57" s="69" t="str">
        <f>IFERROR(__xludf.DUMMYFUNCTION("""COMPUTED_VALUE"""),"zion")</f>
        <v>zion</v>
      </c>
      <c r="B57" s="69" t="str">
        <f>IFERROR(__xludf.DUMMYFUNCTION("""COMPUTED_VALUE"""),"Zion")</f>
        <v>Zion</v>
      </c>
      <c r="C57" s="70">
        <f>IFERROR(__xludf.DUMMYFUNCTION("""COMPUTED_VALUE"""),44000.0)</f>
        <v>44000</v>
      </c>
      <c r="D57" s="70" t="str">
        <f>IFERROR(__xludf.DUMMYFUNCTION("""COMPUTED_VALUE"""),"Coupes")</f>
        <v>Coupes</v>
      </c>
      <c r="E57" s="71" t="str">
        <f>IFERROR(__xludf.DUMMYFUNCTION("""COMPUTED_VALUE"""),"https://docs.fivem.net/vehicles/zion.webp")</f>
        <v>https://docs.fivem.net/vehicles/zion.webp</v>
      </c>
    </row>
    <row r="58" ht="15.75" customHeight="1">
      <c r="A58" s="69" t="str">
        <f>IFERROR(__xludf.DUMMYFUNCTION("""COMPUTED_VALUE"""),"zion2")</f>
        <v>zion2</v>
      </c>
      <c r="B58" s="69" t="str">
        <f>IFERROR(__xludf.DUMMYFUNCTION("""COMPUTED_VALUE"""),"Zion Cabrio")</f>
        <v>Zion Cabrio</v>
      </c>
      <c r="C58" s="70">
        <f>IFERROR(__xludf.DUMMYFUNCTION("""COMPUTED_VALUE"""),46000.0)</f>
        <v>46000</v>
      </c>
      <c r="D58" s="70" t="str">
        <f>IFERROR(__xludf.DUMMYFUNCTION("""COMPUTED_VALUE"""),"Coupes")</f>
        <v>Coupes</v>
      </c>
      <c r="E58" s="71" t="str">
        <f>IFERROR(__xludf.DUMMYFUNCTION("""COMPUTED_VALUE"""),"https://docs.fivem.net/vehicles/zion2.webp")</f>
        <v>https://docs.fivem.net/vehicles/zion2.webp</v>
      </c>
    </row>
    <row r="59" ht="15.75" customHeight="1">
      <c r="A59" s="69" t="str">
        <f>IFERROR(__xludf.DUMMYFUNCTION("""COMPUTED_VALUE"""),"alpha")</f>
        <v>alpha</v>
      </c>
      <c r="B59" s="69" t="str">
        <f>IFERROR(__xludf.DUMMYFUNCTION("""COMPUTED_VALUE"""),"Alpha")</f>
        <v>Alpha</v>
      </c>
      <c r="C59" s="70">
        <f>IFERROR(__xludf.DUMMYFUNCTION("""COMPUTED_VALUE"""),59000.0)</f>
        <v>59000</v>
      </c>
      <c r="D59" s="70" t="str">
        <f>IFERROR(__xludf.DUMMYFUNCTION("""COMPUTED_VALUE"""),"Deportivo")</f>
        <v>Deportivo</v>
      </c>
      <c r="E59" s="71" t="str">
        <f>IFERROR(__xludf.DUMMYFUNCTION("""COMPUTED_VALUE"""),"https://docs.fivem.net/vehicles/alpha.webp")</f>
        <v>https://docs.fivem.net/vehicles/alpha.webp</v>
      </c>
    </row>
    <row r="60" ht="15.75" customHeight="1">
      <c r="A60" s="69" t="str">
        <f>IFERROR(__xludf.DUMMYFUNCTION("""COMPUTED_VALUE"""),"banshee")</f>
        <v>banshee</v>
      </c>
      <c r="B60" s="69" t="str">
        <f>IFERROR(__xludf.DUMMYFUNCTION("""COMPUTED_VALUE"""),"Banshee")</f>
        <v>Banshee</v>
      </c>
      <c r="C60" s="70">
        <f>IFERROR(__xludf.DUMMYFUNCTION("""COMPUTED_VALUE"""),80000.0)</f>
        <v>80000</v>
      </c>
      <c r="D60" s="70" t="str">
        <f>IFERROR(__xludf.DUMMYFUNCTION("""COMPUTED_VALUE"""),"Deportivo")</f>
        <v>Deportivo</v>
      </c>
      <c r="E60" s="71" t="str">
        <f>IFERROR(__xludf.DUMMYFUNCTION("""COMPUTED_VALUE"""),"https://docs.fivem.net/vehicles/banshee.webp")</f>
        <v>https://docs.fivem.net/vehicles/banshee.webp</v>
      </c>
    </row>
    <row r="61" ht="15.75" customHeight="1">
      <c r="A61" s="69" t="str">
        <f>IFERROR(__xludf.DUMMYFUNCTION("""COMPUTED_VALUE"""),"bestiagts")</f>
        <v>bestiagts</v>
      </c>
      <c r="B61" s="69" t="str">
        <f>IFERROR(__xludf.DUMMYFUNCTION("""COMPUTED_VALUE"""),"Bestia GTS")</f>
        <v>Bestia GTS</v>
      </c>
      <c r="C61" s="70">
        <f>IFERROR(__xludf.DUMMYFUNCTION("""COMPUTED_VALUE"""),88000.0)</f>
        <v>88000</v>
      </c>
      <c r="D61" s="70" t="str">
        <f>IFERROR(__xludf.DUMMYFUNCTION("""COMPUTED_VALUE"""),"Deportivo")</f>
        <v>Deportivo</v>
      </c>
      <c r="E61" s="71" t="str">
        <f>IFERROR(__xludf.DUMMYFUNCTION("""COMPUTED_VALUE"""),"https://docs.fivem.net/vehicles/bestiagts.webp")</f>
        <v>https://docs.fivem.net/vehicles/bestiagts.webp</v>
      </c>
    </row>
    <row r="62" ht="15.75" customHeight="1">
      <c r="A62" s="69" t="str">
        <f>IFERROR(__xludf.DUMMYFUNCTION("""COMPUTED_VALUE"""),"calico")</f>
        <v>calico</v>
      </c>
      <c r="B62" s="69" t="str">
        <f>IFERROR(__xludf.DUMMYFUNCTION("""COMPUTED_VALUE"""),"Calico GTF")</f>
        <v>Calico GTF</v>
      </c>
      <c r="C62" s="70">
        <f>IFERROR(__xludf.DUMMYFUNCTION("""COMPUTED_VALUE"""),115000.0)</f>
        <v>115000</v>
      </c>
      <c r="D62" s="70" t="str">
        <f>IFERROR(__xludf.DUMMYFUNCTION("""COMPUTED_VALUE"""),"Deportivo")</f>
        <v>Deportivo</v>
      </c>
      <c r="E62" s="71" t="str">
        <f>IFERROR(__xludf.DUMMYFUNCTION("""COMPUTED_VALUE"""),"https://docs.fivem.net/vehicles/calico.webp")</f>
        <v>https://docs.fivem.net/vehicles/calico.webp</v>
      </c>
    </row>
    <row r="63" ht="15.75" customHeight="1">
      <c r="A63" s="69" t="str">
        <f>IFERROR(__xludf.DUMMYFUNCTION("""COMPUTED_VALUE"""),"carbonizzare")</f>
        <v>carbonizzare</v>
      </c>
      <c r="B63" s="69" t="str">
        <f>IFERROR(__xludf.DUMMYFUNCTION("""COMPUTED_VALUE"""),"Carbonizzare")</f>
        <v>Carbonizzare</v>
      </c>
      <c r="C63" s="70">
        <f>IFERROR(__xludf.DUMMYFUNCTION("""COMPUTED_VALUE"""),109000.0)</f>
        <v>109000</v>
      </c>
      <c r="D63" s="70" t="str">
        <f>IFERROR(__xludf.DUMMYFUNCTION("""COMPUTED_VALUE"""),"Deportivo")</f>
        <v>Deportivo</v>
      </c>
      <c r="E63" s="71" t="str">
        <f>IFERROR(__xludf.DUMMYFUNCTION("""COMPUTED_VALUE"""),"https://docs.fivem.net/vehicles/carbonizzare.webp")</f>
        <v>https://docs.fivem.net/vehicles/carbonizzare.webp</v>
      </c>
    </row>
    <row r="64" ht="15.75" customHeight="1">
      <c r="A64" s="69" t="str">
        <f>IFERROR(__xludf.DUMMYFUNCTION("""COMPUTED_VALUE"""),"cheetah2")</f>
        <v>cheetah2</v>
      </c>
      <c r="B64" s="69" t="str">
        <f>IFERROR(__xludf.DUMMYFUNCTION("""COMPUTED_VALUE"""),"Cheetah Classic")</f>
        <v>Cheetah Classic</v>
      </c>
      <c r="C64" s="70">
        <f>IFERROR(__xludf.DUMMYFUNCTION("""COMPUTED_VALUE"""),195000.0)</f>
        <v>195000</v>
      </c>
      <c r="D64" s="70" t="str">
        <f>IFERROR(__xludf.DUMMYFUNCTION("""COMPUTED_VALUE"""),"Deportivo")</f>
        <v>Deportivo</v>
      </c>
      <c r="E64" s="71" t="str">
        <f>IFERROR(__xludf.DUMMYFUNCTION("""COMPUTED_VALUE"""),"https://docs.fivem.net/vehicles/cheetah2.webp")</f>
        <v>https://docs.fivem.net/vehicles/cheetah2.webp</v>
      </c>
    </row>
    <row r="65" ht="15.75" customHeight="1">
      <c r="A65" s="69" t="str">
        <f>IFERROR(__xludf.DUMMYFUNCTION("""COMPUTED_VALUE"""),"comet2")</f>
        <v>comet2</v>
      </c>
      <c r="B65" s="69" t="str">
        <f>IFERROR(__xludf.DUMMYFUNCTION("""COMPUTED_VALUE"""),"Comet")</f>
        <v>Comet</v>
      </c>
      <c r="C65" s="70">
        <f>IFERROR(__xludf.DUMMYFUNCTION("""COMPUTED_VALUE"""),98500.0)</f>
        <v>98500</v>
      </c>
      <c r="D65" s="70" t="str">
        <f>IFERROR(__xludf.DUMMYFUNCTION("""COMPUTED_VALUE"""),"Deportivo")</f>
        <v>Deportivo</v>
      </c>
      <c r="E65" s="71" t="str">
        <f>IFERROR(__xludf.DUMMYFUNCTION("""COMPUTED_VALUE"""),"https://docs.fivem.net/vehicles/comet2.webp")</f>
        <v>https://docs.fivem.net/vehicles/comet2.webp</v>
      </c>
    </row>
    <row r="66" ht="15.75" customHeight="1">
      <c r="A66" s="69" t="str">
        <f>IFERROR(__xludf.DUMMYFUNCTION("""COMPUTED_VALUE"""),"comet3")</f>
        <v>comet3</v>
      </c>
      <c r="B66" s="69" t="str">
        <f>IFERROR(__xludf.DUMMYFUNCTION("""COMPUTED_VALUE"""),"Comet Retro Custom")</f>
        <v>Comet Retro Custom</v>
      </c>
      <c r="C66" s="70">
        <f>IFERROR(__xludf.DUMMYFUNCTION("""COMPUTED_VALUE"""),115000.0)</f>
        <v>115000</v>
      </c>
      <c r="D66" s="70" t="str">
        <f>IFERROR(__xludf.DUMMYFUNCTION("""COMPUTED_VALUE"""),"Deportivo")</f>
        <v>Deportivo</v>
      </c>
      <c r="E66" s="71" t="str">
        <f>IFERROR(__xludf.DUMMYFUNCTION("""COMPUTED_VALUE"""),"https://docs.fivem.net/vehicles/comet3.webp")</f>
        <v>https://docs.fivem.net/vehicles/comet3.webp</v>
      </c>
    </row>
    <row r="67" ht="15.75" customHeight="1">
      <c r="A67" s="69" t="str">
        <f>IFERROR(__xludf.DUMMYFUNCTION("""COMPUTED_VALUE"""),"comet4")</f>
        <v>comet4</v>
      </c>
      <c r="B67" s="69" t="str">
        <f>IFERROR(__xludf.DUMMYFUNCTION("""COMPUTED_VALUE"""),"Comet Safari")</f>
        <v>Comet Safari</v>
      </c>
      <c r="C67" s="70">
        <f>IFERROR(__xludf.DUMMYFUNCTION("""COMPUTED_VALUE"""),69500.0)</f>
        <v>69500</v>
      </c>
      <c r="D67" s="70" t="str">
        <f>IFERROR(__xludf.DUMMYFUNCTION("""COMPUTED_VALUE"""),"Deportivo")</f>
        <v>Deportivo</v>
      </c>
      <c r="E67" s="71" t="str">
        <f>IFERROR(__xludf.DUMMYFUNCTION("""COMPUTED_VALUE"""),"https://docs.fivem.net/vehicles/comet4.webp")</f>
        <v>https://docs.fivem.net/vehicles/comet4.webp</v>
      </c>
    </row>
    <row r="68" ht="15.75" customHeight="1">
      <c r="A68" s="69" t="str">
        <f>IFERROR(__xludf.DUMMYFUNCTION("""COMPUTED_VALUE"""),"comet5")</f>
        <v>comet5</v>
      </c>
      <c r="B68" s="69" t="str">
        <f>IFERROR(__xludf.DUMMYFUNCTION("""COMPUTED_VALUE"""),"Comet SR")</f>
        <v>Comet SR</v>
      </c>
      <c r="C68" s="70">
        <f>IFERROR(__xludf.DUMMYFUNCTION("""COMPUTED_VALUE"""),125000.0)</f>
        <v>125000</v>
      </c>
      <c r="D68" s="70" t="str">
        <f>IFERROR(__xludf.DUMMYFUNCTION("""COMPUTED_VALUE"""),"Deportivo")</f>
        <v>Deportivo</v>
      </c>
      <c r="E68" s="71" t="str">
        <f>IFERROR(__xludf.DUMMYFUNCTION("""COMPUTED_VALUE"""),"https://docs.fivem.net/vehicles/comet5.webp")</f>
        <v>https://docs.fivem.net/vehicles/comet5.webp</v>
      </c>
    </row>
    <row r="69" ht="15.75" customHeight="1">
      <c r="A69" s="69" t="str">
        <f>IFERROR(__xludf.DUMMYFUNCTION("""COMPUTED_VALUE"""),"comet6")</f>
        <v>comet6</v>
      </c>
      <c r="B69" s="69" t="str">
        <f>IFERROR(__xludf.DUMMYFUNCTION("""COMPUTED_VALUE"""),"Comet S2")</f>
        <v>Comet S2</v>
      </c>
      <c r="C69" s="70">
        <f>IFERROR(__xludf.DUMMYFUNCTION("""COMPUTED_VALUE"""),165000.0)</f>
        <v>165000</v>
      </c>
      <c r="D69" s="70" t="str">
        <f>IFERROR(__xludf.DUMMYFUNCTION("""COMPUTED_VALUE"""),"Deportivo")</f>
        <v>Deportivo</v>
      </c>
      <c r="E69" s="71" t="str">
        <f>IFERROR(__xludf.DUMMYFUNCTION("""COMPUTED_VALUE"""),"https://docs.fivem.net/vehicles/comet6.webp")</f>
        <v>https://docs.fivem.net/vehicles/comet6.webp</v>
      </c>
    </row>
    <row r="70" ht="15.75" customHeight="1">
      <c r="A70" s="69" t="str">
        <f>IFERROR(__xludf.DUMMYFUNCTION("""COMPUTED_VALUE"""),"comet7")</f>
        <v>comet7</v>
      </c>
      <c r="B70" s="69" t="str">
        <f>IFERROR(__xludf.DUMMYFUNCTION("""COMPUTED_VALUE"""),"Comet")</f>
        <v>Comet</v>
      </c>
      <c r="C70" s="70">
        <f>IFERROR(__xludf.DUMMYFUNCTION("""COMPUTED_VALUE"""),178000.0)</f>
        <v>178000</v>
      </c>
      <c r="D70" s="70" t="str">
        <f>IFERROR(__xludf.DUMMYFUNCTION("""COMPUTED_VALUE"""),"Deportivo")</f>
        <v>Deportivo</v>
      </c>
      <c r="E70" s="71" t="str">
        <f>IFERROR(__xludf.DUMMYFUNCTION("""COMPUTED_VALUE"""),"https://docs.fivem.net/vehicles/comet7.webp")</f>
        <v>https://docs.fivem.net/vehicles/comet7.webp</v>
      </c>
    </row>
    <row r="71" ht="15.75" customHeight="1">
      <c r="A71" s="69" t="str">
        <f>IFERROR(__xludf.DUMMYFUNCTION("""COMPUTED_VALUE"""),"coquette")</f>
        <v>coquette</v>
      </c>
      <c r="B71" s="69" t="str">
        <f>IFERROR(__xludf.DUMMYFUNCTION("""COMPUTED_VALUE"""),"Coquette")</f>
        <v>Coquette</v>
      </c>
      <c r="C71" s="70">
        <f>IFERROR(__xludf.DUMMYFUNCTION("""COMPUTED_VALUE"""),85000.0)</f>
        <v>85000</v>
      </c>
      <c r="D71" s="70" t="str">
        <f>IFERROR(__xludf.DUMMYFUNCTION("""COMPUTED_VALUE"""),"Deportivo")</f>
        <v>Deportivo</v>
      </c>
      <c r="E71" s="71" t="str">
        <f>IFERROR(__xludf.DUMMYFUNCTION("""COMPUTED_VALUE"""),"https://docs.fivem.net/vehicles/coquette.webp")</f>
        <v>https://docs.fivem.net/vehicles/coquette.webp</v>
      </c>
    </row>
    <row r="72" ht="15.75" customHeight="1">
      <c r="A72" s="69" t="str">
        <f>IFERROR(__xludf.DUMMYFUNCTION("""COMPUTED_VALUE"""),"coquette4")</f>
        <v>coquette4</v>
      </c>
      <c r="B72" s="69" t="str">
        <f>IFERROR(__xludf.DUMMYFUNCTION("""COMPUTED_VALUE"""),"Coquette D10")</f>
        <v>Coquette D10</v>
      </c>
      <c r="C72" s="70">
        <f>IFERROR(__xludf.DUMMYFUNCTION("""COMPUTED_VALUE"""),190000.0)</f>
        <v>190000</v>
      </c>
      <c r="D72" s="70" t="str">
        <f>IFERROR(__xludf.DUMMYFUNCTION("""COMPUTED_VALUE"""),"Deportivo")</f>
        <v>Deportivo</v>
      </c>
      <c r="E72" s="71" t="str">
        <f>IFERROR(__xludf.DUMMYFUNCTION("""COMPUTED_VALUE"""),"https://docs.fivem.net/vehicles/coquette4.webp")</f>
        <v>https://docs.fivem.net/vehicles/coquette4.webp</v>
      </c>
    </row>
    <row r="73" ht="15.75" customHeight="1">
      <c r="A73" s="69" t="str">
        <f>IFERROR(__xludf.DUMMYFUNCTION("""COMPUTED_VALUE"""),"coquette5")</f>
        <v>coquette5</v>
      </c>
      <c r="B73" s="69" t="str">
        <f>IFERROR(__xludf.DUMMYFUNCTION("""COMPUTED_VALUE"""),"Coquette D1")</f>
        <v>Coquette D1</v>
      </c>
      <c r="C73" s="70">
        <f>IFERROR(__xludf.DUMMYFUNCTION("""COMPUTED_VALUE"""),165000.0)</f>
        <v>165000</v>
      </c>
      <c r="D73" s="70" t="str">
        <f>IFERROR(__xludf.DUMMYFUNCTION("""COMPUTED_VALUE"""),"Deportivo")</f>
        <v>Deportivo</v>
      </c>
      <c r="E73" s="71" t="str">
        <f>IFERROR(__xludf.DUMMYFUNCTION("""COMPUTED_VALUE"""),"https://docs.fivem.net/vehicles/coquette5.webp")</f>
        <v>https://docs.fivem.net/vehicles/coquette5.webp</v>
      </c>
    </row>
    <row r="74" ht="15.75" customHeight="1">
      <c r="A74" s="69" t="str">
        <f>IFERROR(__xludf.DUMMYFUNCTION("""COMPUTED_VALUE"""),"corsita")</f>
        <v>corsita</v>
      </c>
      <c r="B74" s="69" t="str">
        <f>IFERROR(__xludf.DUMMYFUNCTION("""COMPUTED_VALUE"""),"Corsita")</f>
        <v>Corsita</v>
      </c>
      <c r="C74" s="70">
        <f>IFERROR(__xludf.DUMMYFUNCTION("""COMPUTED_VALUE"""),188000.0)</f>
        <v>188000</v>
      </c>
      <c r="D74" s="70" t="str">
        <f>IFERROR(__xludf.DUMMYFUNCTION("""COMPUTED_VALUE"""),"Deportivo")</f>
        <v>Deportivo</v>
      </c>
      <c r="E74" s="71" t="str">
        <f>IFERROR(__xludf.DUMMYFUNCTION("""COMPUTED_VALUE"""),"https://docs.fivem.net/vehicles/corsita.webp")</f>
        <v>https://docs.fivem.net/vehicles/corsita.webp</v>
      </c>
    </row>
    <row r="75" ht="15.75" customHeight="1">
      <c r="A75" s="69" t="str">
        <f>IFERROR(__xludf.DUMMYFUNCTION("""COMPUTED_VALUE"""),"coureur")</f>
        <v>coureur</v>
      </c>
      <c r="B75" s="69" t="str">
        <f>IFERROR(__xludf.DUMMYFUNCTION("""COMPUTED_VALUE"""),"La Coureuse")</f>
        <v>La Coureuse</v>
      </c>
      <c r="C75" s="70">
        <f>IFERROR(__xludf.DUMMYFUNCTION("""COMPUTED_VALUE"""),85000.0)</f>
        <v>85000</v>
      </c>
      <c r="D75" s="70" t="str">
        <f>IFERROR(__xludf.DUMMYFUNCTION("""COMPUTED_VALUE"""),"Deportivo")</f>
        <v>Deportivo</v>
      </c>
      <c r="E75" s="71" t="str">
        <f>IFERROR(__xludf.DUMMYFUNCTION("""COMPUTED_VALUE"""),"https://docs.fivem.net/vehicles/coureur.webp")</f>
        <v>https://docs.fivem.net/vehicles/coureur.webp</v>
      </c>
    </row>
    <row r="76" ht="15.75" customHeight="1">
      <c r="A76" s="69" t="str">
        <f>IFERROR(__xludf.DUMMYFUNCTION("""COMPUTED_VALUE"""),"cypher")</f>
        <v>cypher</v>
      </c>
      <c r="B76" s="69" t="str">
        <f>IFERROR(__xludf.DUMMYFUNCTION("""COMPUTED_VALUE"""),"Cypher")</f>
        <v>Cypher</v>
      </c>
      <c r="C76" s="70">
        <f>IFERROR(__xludf.DUMMYFUNCTION("""COMPUTED_VALUE"""),78000.0)</f>
        <v>78000</v>
      </c>
      <c r="D76" s="70" t="str">
        <f>IFERROR(__xludf.DUMMYFUNCTION("""COMPUTED_VALUE"""),"Deportivo")</f>
        <v>Deportivo</v>
      </c>
      <c r="E76" s="71" t="str">
        <f>IFERROR(__xludf.DUMMYFUNCTION("""COMPUTED_VALUE"""),"https://docs.fivem.net/vehicles/cypher.webp")</f>
        <v>https://docs.fivem.net/vehicles/cypher.webp</v>
      </c>
    </row>
    <row r="77" ht="15.75" customHeight="1">
      <c r="A77" s="69" t="str">
        <f>IFERROR(__xludf.DUMMYFUNCTION("""COMPUTED_VALUE"""),"drafter")</f>
        <v>drafter</v>
      </c>
      <c r="B77" s="69" t="str">
        <f>IFERROR(__xludf.DUMMYFUNCTION("""COMPUTED_VALUE"""),"8F Drafter")</f>
        <v>8F Drafter</v>
      </c>
      <c r="C77" s="70">
        <f>IFERROR(__xludf.DUMMYFUNCTION("""COMPUTED_VALUE"""),85000.0)</f>
        <v>85000</v>
      </c>
      <c r="D77" s="70" t="str">
        <f>IFERROR(__xludf.DUMMYFUNCTION("""COMPUTED_VALUE"""),"Deportivo")</f>
        <v>Deportivo</v>
      </c>
      <c r="E77" s="71" t="str">
        <f>IFERROR(__xludf.DUMMYFUNCTION("""COMPUTED_VALUE"""),"https://docs.fivem.net/vehicles/drafter.webp")</f>
        <v>https://docs.fivem.net/vehicles/drafter.webp</v>
      </c>
    </row>
    <row r="78" ht="15.75" customHeight="1">
      <c r="A78" s="69" t="str">
        <f>IFERROR(__xludf.DUMMYFUNCTION("""COMPUTED_VALUE"""),"driftcypher")</f>
        <v>driftcypher</v>
      </c>
      <c r="B78" s="69" t="str">
        <f>IFERROR(__xludf.DUMMYFUNCTION("""COMPUTED_VALUE"""),"Drift Cypher")</f>
        <v>Drift Cypher</v>
      </c>
      <c r="C78" s="70">
        <f>IFERROR(__xludf.DUMMYFUNCTION("""COMPUTED_VALUE"""),83000.0)</f>
        <v>83000</v>
      </c>
      <c r="D78" s="70" t="str">
        <f>IFERROR(__xludf.DUMMYFUNCTION("""COMPUTED_VALUE"""),"Deportivo")</f>
        <v>Deportivo</v>
      </c>
      <c r="E78" s="71" t="str">
        <f>IFERROR(__xludf.DUMMYFUNCTION("""COMPUTED_VALUE"""),"https://docs.fivem.net/vehicles/driftcypher.webp")</f>
        <v>https://docs.fivem.net/vehicles/driftcypher.webp</v>
      </c>
    </row>
    <row r="79" ht="15.75" customHeight="1">
      <c r="A79" s="69" t="str">
        <f>IFERROR(__xludf.DUMMYFUNCTION("""COMPUTED_VALUE"""),"driftsentinel")</f>
        <v>driftsentinel</v>
      </c>
      <c r="B79" s="69" t="str">
        <f>IFERROR(__xludf.DUMMYFUNCTION("""COMPUTED_VALUE"""),"Drift Sentinel Classic")</f>
        <v>Drift Sentinel Classic</v>
      </c>
      <c r="C79" s="70">
        <f>IFERROR(__xludf.DUMMYFUNCTION("""COMPUTED_VALUE"""),75000.0)</f>
        <v>75000</v>
      </c>
      <c r="D79" s="70" t="str">
        <f>IFERROR(__xludf.DUMMYFUNCTION("""COMPUTED_VALUE"""),"Deportivo")</f>
        <v>Deportivo</v>
      </c>
      <c r="E79" s="71" t="str">
        <f>IFERROR(__xludf.DUMMYFUNCTION("""COMPUTED_VALUE"""),"https://docs.fivem.net/vehicles/driftsentinel.webp")</f>
        <v>https://docs.fivem.net/vehicles/driftsentinel.webp</v>
      </c>
    </row>
    <row r="80" ht="15.75" customHeight="1">
      <c r="A80" s="69" t="str">
        <f>IFERROR(__xludf.DUMMYFUNCTION("""COMPUTED_VALUE"""),"driftvorschlag")</f>
        <v>driftvorschlag</v>
      </c>
      <c r="B80" s="69" t="str">
        <f>IFERROR(__xludf.DUMMYFUNCTION("""COMPUTED_VALUE"""),"Vorschlaghammer Drift")</f>
        <v>Vorschlaghammer Drift</v>
      </c>
      <c r="C80" s="70">
        <f>IFERROR(__xludf.DUMMYFUNCTION("""COMPUTED_VALUE"""),70000.0)</f>
        <v>70000</v>
      </c>
      <c r="D80" s="70" t="str">
        <f>IFERROR(__xludf.DUMMYFUNCTION("""COMPUTED_VALUE"""),"Deportivo")</f>
        <v>Deportivo</v>
      </c>
      <c r="E80" s="71" t="str">
        <f>IFERROR(__xludf.DUMMYFUNCTION("""COMPUTED_VALUE"""),"https://docs.fivem.net/vehicles/driftvorschlag.webp")</f>
        <v>https://docs.fivem.net/vehicles/driftvorschlag.webp</v>
      </c>
    </row>
    <row r="81" ht="15.75" customHeight="1">
      <c r="A81" s="69" t="str">
        <f>IFERROR(__xludf.DUMMYFUNCTION("""COMPUTED_VALUE"""),"elegy")</f>
        <v>elegy</v>
      </c>
      <c r="B81" s="69" t="str">
        <f>IFERROR(__xludf.DUMMYFUNCTION("""COMPUTED_VALUE"""),"Elegy Retro Custom")</f>
        <v>Elegy Retro Custom</v>
      </c>
      <c r="C81" s="70">
        <f>IFERROR(__xludf.DUMMYFUNCTION("""COMPUTED_VALUE"""),74000.0)</f>
        <v>74000</v>
      </c>
      <c r="D81" s="70" t="str">
        <f>IFERROR(__xludf.DUMMYFUNCTION("""COMPUTED_VALUE"""),"Deportivo")</f>
        <v>Deportivo</v>
      </c>
      <c r="E81" s="71" t="str">
        <f>IFERROR(__xludf.DUMMYFUNCTION("""COMPUTED_VALUE"""),"https://docs.fivem.net/vehicles/elegy.webp")</f>
        <v>https://docs.fivem.net/vehicles/elegy.webp</v>
      </c>
    </row>
    <row r="82" ht="15.75" customHeight="1">
      <c r="A82" s="69" t="str">
        <f>IFERROR(__xludf.DUMMYFUNCTION("""COMPUTED_VALUE"""),"elegy2")</f>
        <v>elegy2</v>
      </c>
      <c r="B82" s="69" t="str">
        <f>IFERROR(__xludf.DUMMYFUNCTION("""COMPUTED_VALUE"""),"Elegy RH8")</f>
        <v>Elegy RH8</v>
      </c>
      <c r="C82" s="70">
        <f>IFERROR(__xludf.DUMMYFUNCTION("""COMPUTED_VALUE"""),78000.0)</f>
        <v>78000</v>
      </c>
      <c r="D82" s="70" t="str">
        <f>IFERROR(__xludf.DUMMYFUNCTION("""COMPUTED_VALUE"""),"Deportivo")</f>
        <v>Deportivo</v>
      </c>
      <c r="E82" s="71" t="str">
        <f>IFERROR(__xludf.DUMMYFUNCTION("""COMPUTED_VALUE"""),"https://docs.fivem.net/vehicles/elegy2.webp")</f>
        <v>https://docs.fivem.net/vehicles/elegy2.webp</v>
      </c>
    </row>
    <row r="83" ht="15.75" customHeight="1">
      <c r="A83" s="69" t="str">
        <f>IFERROR(__xludf.DUMMYFUNCTION("""COMPUTED_VALUE"""),"euros")</f>
        <v>euros</v>
      </c>
      <c r="B83" s="69" t="str">
        <f>IFERROR(__xludf.DUMMYFUNCTION("""COMPUTED_VALUE"""),"Euros")</f>
        <v>Euros</v>
      </c>
      <c r="C83" s="70">
        <f>IFERROR(__xludf.DUMMYFUNCTION("""COMPUTED_VALUE"""),80000.0)</f>
        <v>80000</v>
      </c>
      <c r="D83" s="70" t="str">
        <f>IFERROR(__xludf.DUMMYFUNCTION("""COMPUTED_VALUE"""),"Deportivo")</f>
        <v>Deportivo</v>
      </c>
      <c r="E83" s="71" t="str">
        <f>IFERROR(__xludf.DUMMYFUNCTION("""COMPUTED_VALUE"""),"https://docs.fivem.net/vehicles/euros.webp")</f>
        <v>https://docs.fivem.net/vehicles/euros.webp</v>
      </c>
    </row>
    <row r="84" ht="15.75" customHeight="1">
      <c r="A84" s="69" t="str">
        <f>IFERROR(__xludf.DUMMYFUNCTION("""COMPUTED_VALUE"""),"eurosX32")</f>
        <v>eurosX32</v>
      </c>
      <c r="B84" s="69" t="str">
        <f>IFERROR(__xludf.DUMMYFUNCTION("""COMPUTED_VALUE"""),"Euros X32")</f>
        <v>Euros X32</v>
      </c>
      <c r="C84" s="70">
        <f>IFERROR(__xludf.DUMMYFUNCTION("""COMPUTED_VALUE"""),90000.0)</f>
        <v>90000</v>
      </c>
      <c r="D84" s="70" t="str">
        <f>IFERROR(__xludf.DUMMYFUNCTION("""COMPUTED_VALUE"""),"Deportivo")</f>
        <v>Deportivo</v>
      </c>
      <c r="E84" s="71" t="str">
        <f>IFERROR(__xludf.DUMMYFUNCTION("""COMPUTED_VALUE"""),"https://docs.fivem.net/vehicles/eurosx32.webp")</f>
        <v>https://docs.fivem.net/vehicles/eurosx32.webp</v>
      </c>
    </row>
    <row r="85" ht="15.75" customHeight="1">
      <c r="A85" s="69" t="str">
        <f>IFERROR(__xludf.DUMMYFUNCTION("""COMPUTED_VALUE"""),"everon2")</f>
        <v>everon2</v>
      </c>
      <c r="B85" s="69" t="str">
        <f>IFERROR(__xludf.DUMMYFUNCTION("""COMPUTED_VALUE"""),"Everon Hotring")</f>
        <v>Everon Hotring</v>
      </c>
      <c r="C85" s="70">
        <f>IFERROR(__xludf.DUMMYFUNCTION("""COMPUTED_VALUE"""),85000.0)</f>
        <v>85000</v>
      </c>
      <c r="D85" s="70" t="str">
        <f>IFERROR(__xludf.DUMMYFUNCTION("""COMPUTED_VALUE"""),"Deportivo")</f>
        <v>Deportivo</v>
      </c>
      <c r="E85" s="71" t="str">
        <f>IFERROR(__xludf.DUMMYFUNCTION("""COMPUTED_VALUE"""),"https://docs.fivem.net/vehicles/everon2.webp")</f>
        <v>https://docs.fivem.net/vehicles/everon2.webp</v>
      </c>
    </row>
    <row r="86" ht="15.75" customHeight="1">
      <c r="A86" s="69" t="str">
        <f>IFERROR(__xludf.DUMMYFUNCTION("""COMPUTED_VALUE"""),"feltzer2")</f>
        <v>feltzer2</v>
      </c>
      <c r="B86" s="69" t="str">
        <f>IFERROR(__xludf.DUMMYFUNCTION("""COMPUTED_VALUE"""),"Feltzer")</f>
        <v>Feltzer</v>
      </c>
      <c r="C86" s="70">
        <f>IFERROR(__xludf.DUMMYFUNCTION("""COMPUTED_VALUE"""),82000.0)</f>
        <v>82000</v>
      </c>
      <c r="D86" s="70" t="str">
        <f>IFERROR(__xludf.DUMMYFUNCTION("""COMPUTED_VALUE"""),"Deportivo")</f>
        <v>Deportivo</v>
      </c>
      <c r="E86" s="71" t="str">
        <f>IFERROR(__xludf.DUMMYFUNCTION("""COMPUTED_VALUE"""),"https://docs.fivem.net/vehicles/feltzer2.webp")</f>
        <v>https://docs.fivem.net/vehicles/feltzer2.webp</v>
      </c>
    </row>
    <row r="87" ht="15.75" customHeight="1">
      <c r="A87" s="69" t="str">
        <f>IFERROR(__xludf.DUMMYFUNCTION("""COMPUTED_VALUE"""),"flashgt")</f>
        <v>flashgt</v>
      </c>
      <c r="B87" s="69" t="str">
        <f>IFERROR(__xludf.DUMMYFUNCTION("""COMPUTED_VALUE"""),"Flash GT")</f>
        <v>Flash GT</v>
      </c>
      <c r="C87" s="70">
        <f>IFERROR(__xludf.DUMMYFUNCTION("""COMPUTED_VALUE"""),105000.0)</f>
        <v>105000</v>
      </c>
      <c r="D87" s="70" t="str">
        <f>IFERROR(__xludf.DUMMYFUNCTION("""COMPUTED_VALUE"""),"Deportivo")</f>
        <v>Deportivo</v>
      </c>
      <c r="E87" s="71" t="str">
        <f>IFERROR(__xludf.DUMMYFUNCTION("""COMPUTED_VALUE"""),"https://docs.fivem.net/vehicles/flashgt.webp")</f>
        <v>https://docs.fivem.net/vehicles/flashgt.webp</v>
      </c>
    </row>
    <row r="88" ht="15.75" customHeight="1">
      <c r="A88" s="69" t="str">
        <f>IFERROR(__xludf.DUMMYFUNCTION("""COMPUTED_VALUE"""),"furoregt")</f>
        <v>furoregt</v>
      </c>
      <c r="B88" s="69" t="str">
        <f>IFERROR(__xludf.DUMMYFUNCTION("""COMPUTED_VALUE"""),"Furore GT")</f>
        <v>Furore GT</v>
      </c>
      <c r="C88" s="70">
        <f>IFERROR(__xludf.DUMMYFUNCTION("""COMPUTED_VALUE"""),87500.0)</f>
        <v>87500</v>
      </c>
      <c r="D88" s="70" t="str">
        <f>IFERROR(__xludf.DUMMYFUNCTION("""COMPUTED_VALUE"""),"Deportivo")</f>
        <v>Deportivo</v>
      </c>
      <c r="E88" s="71" t="str">
        <f>IFERROR(__xludf.DUMMYFUNCTION("""COMPUTED_VALUE"""),"https://docs.fivem.net/vehicles/furoregt.webp")</f>
        <v>https://docs.fivem.net/vehicles/furoregt.webp</v>
      </c>
    </row>
    <row r="89" ht="15.75" customHeight="1">
      <c r="A89" s="69" t="str">
        <f>IFERROR(__xludf.DUMMYFUNCTION("""COMPUTED_VALUE"""),"futo2")</f>
        <v>futo2</v>
      </c>
      <c r="B89" s="69" t="str">
        <f>IFERROR(__xludf.DUMMYFUNCTION("""COMPUTED_VALUE"""),"Futo GTX")</f>
        <v>Futo GTX</v>
      </c>
      <c r="C89" s="70">
        <f>IFERROR(__xludf.DUMMYFUNCTION("""COMPUTED_VALUE"""),39000.0)</f>
        <v>39000</v>
      </c>
      <c r="D89" s="70" t="str">
        <f>IFERROR(__xludf.DUMMYFUNCTION("""COMPUTED_VALUE"""),"Deportivo")</f>
        <v>Deportivo</v>
      </c>
      <c r="E89" s="71" t="str">
        <f>IFERROR(__xludf.DUMMYFUNCTION("""COMPUTED_VALUE"""),"https://docs.fivem.net/vehicles/futo2.webp")</f>
        <v>https://docs.fivem.net/vehicles/futo2.webp</v>
      </c>
    </row>
    <row r="90" ht="15.75" customHeight="1">
      <c r="A90" s="69" t="str">
        <f>IFERROR(__xludf.DUMMYFUNCTION("""COMPUTED_VALUE"""),"gauntlet6")</f>
        <v>gauntlet6</v>
      </c>
      <c r="B90" s="69" t="str">
        <f>IFERROR(__xludf.DUMMYFUNCTION("""COMPUTED_VALUE"""),"Hotring Hellfire")</f>
        <v>Hotring Hellfire</v>
      </c>
      <c r="C90" s="70">
        <f>IFERROR(__xludf.DUMMYFUNCTION("""COMPUTED_VALUE"""),90000.0)</f>
        <v>90000</v>
      </c>
      <c r="D90" s="70" t="str">
        <f>IFERROR(__xludf.DUMMYFUNCTION("""COMPUTED_VALUE"""),"Deportivo")</f>
        <v>Deportivo</v>
      </c>
      <c r="E90" s="71" t="str">
        <f>IFERROR(__xludf.DUMMYFUNCTION("""COMPUTED_VALUE"""),"https://docs.fivem.net/vehicles/gauntlet6.webp")</f>
        <v>https://docs.fivem.net/vehicles/gauntlet6.webp</v>
      </c>
    </row>
    <row r="91" ht="15.75" customHeight="1">
      <c r="A91" s="69" t="str">
        <f>IFERROR(__xludf.DUMMYFUNCTION("""COMPUTED_VALUE"""),"gb200")</f>
        <v>gb200</v>
      </c>
      <c r="B91" s="69" t="str">
        <f>IFERROR(__xludf.DUMMYFUNCTION("""COMPUTED_VALUE"""),"GB 200")</f>
        <v>GB 200</v>
      </c>
      <c r="C91" s="70">
        <f>IFERROR(__xludf.DUMMYFUNCTION("""COMPUTED_VALUE"""),74000.0)</f>
        <v>74000</v>
      </c>
      <c r="D91" s="70" t="str">
        <f>IFERROR(__xludf.DUMMYFUNCTION("""COMPUTED_VALUE"""),"Deportivo")</f>
        <v>Deportivo</v>
      </c>
      <c r="E91" s="71" t="str">
        <f>IFERROR(__xludf.DUMMYFUNCTION("""COMPUTED_VALUE"""),"https://docs.fivem.net/vehicles/gb200.webp")</f>
        <v>https://docs.fivem.net/vehicles/gb200.webp</v>
      </c>
    </row>
    <row r="92" ht="15.75" customHeight="1">
      <c r="A92" s="69" t="str">
        <f>IFERROR(__xludf.DUMMYFUNCTION("""COMPUTED_VALUE"""),"growler")</f>
        <v>growler</v>
      </c>
      <c r="B92" s="69" t="str">
        <f>IFERROR(__xludf.DUMMYFUNCTION("""COMPUTED_VALUE"""),"Growler")</f>
        <v>Growler</v>
      </c>
      <c r="C92" s="70">
        <f>IFERROR(__xludf.DUMMYFUNCTION("""COMPUTED_VALUE"""),115000.0)</f>
        <v>115000</v>
      </c>
      <c r="D92" s="70" t="str">
        <f>IFERROR(__xludf.DUMMYFUNCTION("""COMPUTED_VALUE"""),"Deportivo")</f>
        <v>Deportivo</v>
      </c>
      <c r="E92" s="71" t="str">
        <f>IFERROR(__xludf.DUMMYFUNCTION("""COMPUTED_VALUE"""),"https://docs.fivem.net/vehicles/growler.webp")</f>
        <v>https://docs.fivem.net/vehicles/growler.webp</v>
      </c>
    </row>
    <row r="93" ht="15.75" customHeight="1">
      <c r="A93" s="69" t="str">
        <f>IFERROR(__xludf.DUMMYFUNCTION("""COMPUTED_VALUE"""),"imorgon")</f>
        <v>imorgon</v>
      </c>
      <c r="B93" s="69" t="str">
        <f>IFERROR(__xludf.DUMMYFUNCTION("""COMPUTED_VALUE"""),"Imorgon")</f>
        <v>Imorgon</v>
      </c>
      <c r="C93" s="70">
        <f>IFERROR(__xludf.DUMMYFUNCTION("""COMPUTED_VALUE"""),89000.0)</f>
        <v>89000</v>
      </c>
      <c r="D93" s="70" t="str">
        <f>IFERROR(__xludf.DUMMYFUNCTION("""COMPUTED_VALUE"""),"Deportivo")</f>
        <v>Deportivo</v>
      </c>
      <c r="E93" s="71" t="str">
        <f>IFERROR(__xludf.DUMMYFUNCTION("""COMPUTED_VALUE"""),"https://docs.fivem.net/vehicles/imorgon.webp")</f>
        <v>https://docs.fivem.net/vehicles/imorgon.webp</v>
      </c>
    </row>
    <row r="94" ht="15.75" customHeight="1">
      <c r="A94" s="69" t="str">
        <f>IFERROR(__xludf.DUMMYFUNCTION("""COMPUTED_VALUE"""),"italigto")</f>
        <v>italigto</v>
      </c>
      <c r="B94" s="69" t="str">
        <f>IFERROR(__xludf.DUMMYFUNCTION("""COMPUTED_VALUE"""),"Itali GTO")</f>
        <v>Itali GTO</v>
      </c>
      <c r="C94" s="70">
        <f>IFERROR(__xludf.DUMMYFUNCTION("""COMPUTED_VALUE"""),215000.0)</f>
        <v>215000</v>
      </c>
      <c r="D94" s="70" t="str">
        <f>IFERROR(__xludf.DUMMYFUNCTION("""COMPUTED_VALUE"""),"Deportivo")</f>
        <v>Deportivo</v>
      </c>
      <c r="E94" s="71" t="str">
        <f>IFERROR(__xludf.DUMMYFUNCTION("""COMPUTED_VALUE"""),"https://docs.fivem.net/vehicles/italigto.webp")</f>
        <v>https://docs.fivem.net/vehicles/italigto.webp</v>
      </c>
    </row>
    <row r="95" ht="15.75" customHeight="1">
      <c r="A95" s="69" t="str">
        <f>IFERROR(__xludf.DUMMYFUNCTION("""COMPUTED_VALUE"""),"jester")</f>
        <v>jester</v>
      </c>
      <c r="B95" s="69" t="str">
        <f>IFERROR(__xludf.DUMMYFUNCTION("""COMPUTED_VALUE"""),"Jester")</f>
        <v>Jester</v>
      </c>
      <c r="C95" s="70">
        <f>IFERROR(__xludf.DUMMYFUNCTION("""COMPUTED_VALUE"""),145000.0)</f>
        <v>145000</v>
      </c>
      <c r="D95" s="70" t="str">
        <f>IFERROR(__xludf.DUMMYFUNCTION("""COMPUTED_VALUE"""),"Deportivo")</f>
        <v>Deportivo</v>
      </c>
      <c r="E95" s="71" t="str">
        <f>IFERROR(__xludf.DUMMYFUNCTION("""COMPUTED_VALUE"""),"https://docs.fivem.net/vehicles/jester.webp")</f>
        <v>https://docs.fivem.net/vehicles/jester.webp</v>
      </c>
    </row>
    <row r="96" ht="15.75" customHeight="1">
      <c r="A96" s="69" t="str">
        <f>IFERROR(__xludf.DUMMYFUNCTION("""COMPUTED_VALUE"""),"jester2")</f>
        <v>jester2</v>
      </c>
      <c r="B96" s="69" t="str">
        <f>IFERROR(__xludf.DUMMYFUNCTION("""COMPUTED_VALUE"""),"Jester Racecar")</f>
        <v>Jester Racecar</v>
      </c>
      <c r="C96" s="70">
        <f>IFERROR(__xludf.DUMMYFUNCTION("""COMPUTED_VALUE"""),150000.0)</f>
        <v>150000</v>
      </c>
      <c r="D96" s="70" t="str">
        <f>IFERROR(__xludf.DUMMYFUNCTION("""COMPUTED_VALUE"""),"Deportivo")</f>
        <v>Deportivo</v>
      </c>
      <c r="E96" s="71" t="str">
        <f>IFERROR(__xludf.DUMMYFUNCTION("""COMPUTED_VALUE"""),"https://docs.fivem.net/vehicles/jester2.webp")</f>
        <v>https://docs.fivem.net/vehicles/jester2.webp</v>
      </c>
    </row>
    <row r="97" ht="15.75" customHeight="1">
      <c r="A97" s="69" t="str">
        <f>IFERROR(__xludf.DUMMYFUNCTION("""COMPUTED_VALUE"""),"jester3")</f>
        <v>jester3</v>
      </c>
      <c r="B97" s="69" t="str">
        <f>IFERROR(__xludf.DUMMYFUNCTION("""COMPUTED_VALUE"""),"Jester Classic")</f>
        <v>Jester Classic</v>
      </c>
      <c r="C97" s="70">
        <f>IFERROR(__xludf.DUMMYFUNCTION("""COMPUTED_VALUE"""),147000.0)</f>
        <v>147000</v>
      </c>
      <c r="D97" s="70" t="str">
        <f>IFERROR(__xludf.DUMMYFUNCTION("""COMPUTED_VALUE"""),"Deportivo")</f>
        <v>Deportivo</v>
      </c>
      <c r="E97" s="71" t="str">
        <f>IFERROR(__xludf.DUMMYFUNCTION("""COMPUTED_VALUE"""),"https://docs.fivem.net/vehicles/jester3.webp")</f>
        <v>https://docs.fivem.net/vehicles/jester3.webp</v>
      </c>
    </row>
    <row r="98" ht="15.75" customHeight="1">
      <c r="A98" s="69" t="str">
        <f>IFERROR(__xludf.DUMMYFUNCTION("""COMPUTED_VALUE"""),"jester4")</f>
        <v>jester4</v>
      </c>
      <c r="B98" s="69" t="str">
        <f>IFERROR(__xludf.DUMMYFUNCTION("""COMPUTED_VALUE"""),"Jester RR")</f>
        <v>Jester RR</v>
      </c>
      <c r="C98" s="70">
        <f>IFERROR(__xludf.DUMMYFUNCTION("""COMPUTED_VALUE"""),160000.0)</f>
        <v>160000</v>
      </c>
      <c r="D98" s="70" t="str">
        <f>IFERROR(__xludf.DUMMYFUNCTION("""COMPUTED_VALUE"""),"Deportivo")</f>
        <v>Deportivo</v>
      </c>
      <c r="E98" s="71" t="str">
        <f>IFERROR(__xludf.DUMMYFUNCTION("""COMPUTED_VALUE"""),"https://docs.fivem.net/vehicles/jester4.webp")</f>
        <v>https://docs.fivem.net/vehicles/jester4.webp</v>
      </c>
    </row>
    <row r="99" ht="15.75" customHeight="1">
      <c r="A99" s="69" t="str">
        <f>IFERROR(__xludf.DUMMYFUNCTION("""COMPUTED_VALUE"""),"jugular")</f>
        <v>jugular</v>
      </c>
      <c r="B99" s="69" t="str">
        <f>IFERROR(__xludf.DUMMYFUNCTION("""COMPUTED_VALUE"""),"Jugular")</f>
        <v>Jugular</v>
      </c>
      <c r="C99" s="70">
        <f>IFERROR(__xludf.DUMMYFUNCTION("""COMPUTED_VALUE"""),175000.0)</f>
        <v>175000</v>
      </c>
      <c r="D99" s="70" t="str">
        <f>IFERROR(__xludf.DUMMYFUNCTION("""COMPUTED_VALUE"""),"Deportivo")</f>
        <v>Deportivo</v>
      </c>
      <c r="E99" s="71" t="str">
        <f>IFERROR(__xludf.DUMMYFUNCTION("""COMPUTED_VALUE"""),"https://docs.fivem.net/vehicles/jugular.webp")</f>
        <v>https://docs.fivem.net/vehicles/jugular.webp</v>
      </c>
    </row>
    <row r="100" ht="15.75" customHeight="1">
      <c r="A100" s="69" t="str">
        <f>IFERROR(__xludf.DUMMYFUNCTION("""COMPUTED_VALUE"""),"khamelion")</f>
        <v>khamelion</v>
      </c>
      <c r="B100" s="69" t="str">
        <f>IFERROR(__xludf.DUMMYFUNCTION("""COMPUTED_VALUE"""),"Khamelion")</f>
        <v>Khamelion</v>
      </c>
      <c r="C100" s="70">
        <f>IFERROR(__xludf.DUMMYFUNCTION("""COMPUTED_VALUE"""),68000.0)</f>
        <v>68000</v>
      </c>
      <c r="D100" s="70" t="str">
        <f>IFERROR(__xludf.DUMMYFUNCTION("""COMPUTED_VALUE"""),"Deportivo")</f>
        <v>Deportivo</v>
      </c>
      <c r="E100" s="71" t="str">
        <f>IFERROR(__xludf.DUMMYFUNCTION("""COMPUTED_VALUE"""),"https://docs.fivem.net/vehicles/khamelion.webp")</f>
        <v>https://docs.fivem.net/vehicles/khamelion.webp</v>
      </c>
    </row>
    <row r="101" ht="15.75" customHeight="1">
      <c r="A101" s="69" t="str">
        <f>IFERROR(__xludf.DUMMYFUNCTION("""COMPUTED_VALUE"""),"komoda")</f>
        <v>komoda</v>
      </c>
      <c r="B101" s="69" t="str">
        <f>IFERROR(__xludf.DUMMYFUNCTION("""COMPUTED_VALUE"""),"Komoda")</f>
        <v>Komoda</v>
      </c>
      <c r="C101" s="70">
        <f>IFERROR(__xludf.DUMMYFUNCTION("""COMPUTED_VALUE"""),95000.0)</f>
        <v>95000</v>
      </c>
      <c r="D101" s="70" t="str">
        <f>IFERROR(__xludf.DUMMYFUNCTION("""COMPUTED_VALUE"""),"Deportivo")</f>
        <v>Deportivo</v>
      </c>
      <c r="E101" s="71" t="str">
        <f>IFERROR(__xludf.DUMMYFUNCTION("""COMPUTED_VALUE"""),"https://docs.fivem.net/vehicles/komoda.webp")</f>
        <v>https://docs.fivem.net/vehicles/komoda.webp</v>
      </c>
    </row>
    <row r="102" ht="15.75" customHeight="1">
      <c r="A102" s="69" t="str">
        <f>IFERROR(__xludf.DUMMYFUNCTION("""COMPUTED_VALUE"""),"kuruma")</f>
        <v>kuruma</v>
      </c>
      <c r="B102" s="69" t="str">
        <f>IFERROR(__xludf.DUMMYFUNCTION("""COMPUTED_VALUE"""),"Kuruma")</f>
        <v>Kuruma</v>
      </c>
      <c r="C102" s="70">
        <f>IFERROR(__xludf.DUMMYFUNCTION("""COMPUTED_VALUE"""),65000.0)</f>
        <v>65000</v>
      </c>
      <c r="D102" s="70" t="str">
        <f>IFERROR(__xludf.DUMMYFUNCTION("""COMPUTED_VALUE"""),"Deportivo")</f>
        <v>Deportivo</v>
      </c>
      <c r="E102" s="71" t="str">
        <f>IFERROR(__xludf.DUMMYFUNCTION("""COMPUTED_VALUE"""),"https://docs.fivem.net/vehicles/kuruma.webp")</f>
        <v>https://docs.fivem.net/vehicles/kuruma.webp</v>
      </c>
    </row>
    <row r="103" ht="15.75" customHeight="1">
      <c r="A103" s="69" t="str">
        <f>IFERROR(__xludf.DUMMYFUNCTION("""COMPUTED_VALUE"""),"locust")</f>
        <v>locust</v>
      </c>
      <c r="B103" s="69" t="str">
        <f>IFERROR(__xludf.DUMMYFUNCTION("""COMPUTED_VALUE"""),"Locust")</f>
        <v>Locust</v>
      </c>
      <c r="C103" s="70">
        <f>IFERROR(__xludf.DUMMYFUNCTION("""COMPUTED_VALUE"""),120000.0)</f>
        <v>120000</v>
      </c>
      <c r="D103" s="70" t="str">
        <f>IFERROR(__xludf.DUMMYFUNCTION("""COMPUTED_VALUE"""),"Deportivo")</f>
        <v>Deportivo</v>
      </c>
      <c r="E103" s="71" t="str">
        <f>IFERROR(__xludf.DUMMYFUNCTION("""COMPUTED_VALUE"""),"https://docs.fivem.net/vehicles/locust.webp")</f>
        <v>https://docs.fivem.net/vehicles/locust.webp</v>
      </c>
    </row>
    <row r="104" ht="15.75" customHeight="1">
      <c r="A104" s="69" t="str">
        <f>IFERROR(__xludf.DUMMYFUNCTION("""COMPUTED_VALUE"""),"lynx")</f>
        <v>lynx</v>
      </c>
      <c r="B104" s="69" t="str">
        <f>IFERROR(__xludf.DUMMYFUNCTION("""COMPUTED_VALUE"""),"Lynx")</f>
        <v>Lynx</v>
      </c>
      <c r="C104" s="70">
        <f>IFERROR(__xludf.DUMMYFUNCTION("""COMPUTED_VALUE"""),115000.0)</f>
        <v>115000</v>
      </c>
      <c r="D104" s="70" t="str">
        <f>IFERROR(__xludf.DUMMYFUNCTION("""COMPUTED_VALUE"""),"Deportivo")</f>
        <v>Deportivo</v>
      </c>
      <c r="E104" s="71" t="str">
        <f>IFERROR(__xludf.DUMMYFUNCTION("""COMPUTED_VALUE"""),"https://docs.fivem.net/vehicles/lynx.webp")</f>
        <v>https://docs.fivem.net/vehicles/lynx.webp</v>
      </c>
    </row>
    <row r="105" ht="15.75" customHeight="1">
      <c r="A105" s="69" t="str">
        <f>IFERROR(__xludf.DUMMYFUNCTION("""COMPUTED_VALUE"""),"massacro")</f>
        <v>massacro</v>
      </c>
      <c r="B105" s="69" t="str">
        <f>IFERROR(__xludf.DUMMYFUNCTION("""COMPUTED_VALUE"""),"Massacro")</f>
        <v>Massacro</v>
      </c>
      <c r="C105" s="70">
        <f>IFERROR(__xludf.DUMMYFUNCTION("""COMPUTED_VALUE"""),120000.0)</f>
        <v>120000</v>
      </c>
      <c r="D105" s="70" t="str">
        <f>IFERROR(__xludf.DUMMYFUNCTION("""COMPUTED_VALUE"""),"Deportivo")</f>
        <v>Deportivo</v>
      </c>
      <c r="E105" s="71" t="str">
        <f>IFERROR(__xludf.DUMMYFUNCTION("""COMPUTED_VALUE"""),"https://docs.fivem.net/vehicles/massacro.webp")</f>
        <v>https://docs.fivem.net/vehicles/massacro.webp</v>
      </c>
    </row>
    <row r="106" ht="15.75" customHeight="1">
      <c r="A106" s="69" t="str">
        <f>IFERROR(__xludf.DUMMYFUNCTION("""COMPUTED_VALUE"""),"massacro2")</f>
        <v>massacro2</v>
      </c>
      <c r="B106" s="69" t="str">
        <f>IFERROR(__xludf.DUMMYFUNCTION("""COMPUTED_VALUE"""),"Massacro Racecar")</f>
        <v>Massacro Racecar</v>
      </c>
      <c r="C106" s="70">
        <f>IFERROR(__xludf.DUMMYFUNCTION("""COMPUTED_VALUE"""),125000.0)</f>
        <v>125000</v>
      </c>
      <c r="D106" s="70" t="str">
        <f>IFERROR(__xludf.DUMMYFUNCTION("""COMPUTED_VALUE"""),"Deportivo")</f>
        <v>Deportivo</v>
      </c>
      <c r="E106" s="71" t="str">
        <f>IFERROR(__xludf.DUMMYFUNCTION("""COMPUTED_VALUE"""),"https://docs.fivem.net/vehicles/massacro2.webp")</f>
        <v>https://docs.fivem.net/vehicles/massacro2.webp</v>
      </c>
    </row>
    <row r="107" ht="15.75" customHeight="1">
      <c r="A107" s="69" t="str">
        <f>IFERROR(__xludf.DUMMYFUNCTION("""COMPUTED_VALUE"""),"neo")</f>
        <v>neo</v>
      </c>
      <c r="B107" s="69" t="str">
        <f>IFERROR(__xludf.DUMMYFUNCTION("""COMPUTED_VALUE"""),"Neo")</f>
        <v>Neo</v>
      </c>
      <c r="C107" s="70">
        <f>IFERROR(__xludf.DUMMYFUNCTION("""COMPUTED_VALUE"""),230000.0)</f>
        <v>230000</v>
      </c>
      <c r="D107" s="70" t="str">
        <f>IFERROR(__xludf.DUMMYFUNCTION("""COMPUTED_VALUE"""),"Deportivo")</f>
        <v>Deportivo</v>
      </c>
      <c r="E107" s="71" t="str">
        <f>IFERROR(__xludf.DUMMYFUNCTION("""COMPUTED_VALUE"""),"https://docs.fivem.net/vehicles/neo.webp")</f>
        <v>https://docs.fivem.net/vehicles/neo.webp</v>
      </c>
    </row>
    <row r="108" ht="15.75" customHeight="1">
      <c r="A108" s="69" t="str">
        <f>IFERROR(__xludf.DUMMYFUNCTION("""COMPUTED_VALUE"""),"neon")</f>
        <v>neon</v>
      </c>
      <c r="B108" s="69" t="str">
        <f>IFERROR(__xludf.DUMMYFUNCTION("""COMPUTED_VALUE"""),"Neon")</f>
        <v>Neon</v>
      </c>
      <c r="C108" s="70">
        <f>IFERROR(__xludf.DUMMYFUNCTION("""COMPUTED_VALUE"""),105000.0)</f>
        <v>105000</v>
      </c>
      <c r="D108" s="70" t="str">
        <f>IFERROR(__xludf.DUMMYFUNCTION("""COMPUTED_VALUE"""),"Deportivo")</f>
        <v>Deportivo</v>
      </c>
      <c r="E108" s="71" t="str">
        <f>IFERROR(__xludf.DUMMYFUNCTION("""COMPUTED_VALUE"""),"https://docs.fivem.net/vehicles/neon.webp")</f>
        <v>https://docs.fivem.net/vehicles/neon.webp</v>
      </c>
    </row>
    <row r="109" ht="15.75" customHeight="1">
      <c r="A109" s="69" t="str">
        <f>IFERROR(__xludf.DUMMYFUNCTION("""COMPUTED_VALUE"""),"ninef")</f>
        <v>ninef</v>
      </c>
      <c r="B109" s="69" t="str">
        <f>IFERROR(__xludf.DUMMYFUNCTION("""COMPUTED_VALUE"""),"9F")</f>
        <v>9F</v>
      </c>
      <c r="C109" s="70">
        <f>IFERROR(__xludf.DUMMYFUNCTION("""COMPUTED_VALUE"""),95000.0)</f>
        <v>95000</v>
      </c>
      <c r="D109" s="70" t="str">
        <f>IFERROR(__xludf.DUMMYFUNCTION("""COMPUTED_VALUE"""),"Deportivo")</f>
        <v>Deportivo</v>
      </c>
      <c r="E109" s="71" t="str">
        <f>IFERROR(__xludf.DUMMYFUNCTION("""COMPUTED_VALUE"""),"https://docs.fivem.net/vehicles/ninef.webp")</f>
        <v>https://docs.fivem.net/vehicles/ninef.webp</v>
      </c>
    </row>
    <row r="110" ht="15.75" customHeight="1">
      <c r="A110" s="69" t="str">
        <f>IFERROR(__xludf.DUMMYFUNCTION("""COMPUTED_VALUE"""),"ninef2")</f>
        <v>ninef2</v>
      </c>
      <c r="B110" s="69" t="str">
        <f>IFERROR(__xludf.DUMMYFUNCTION("""COMPUTED_VALUE"""),"9F Cabrio")</f>
        <v>9F Cabrio</v>
      </c>
      <c r="C110" s="70">
        <f>IFERROR(__xludf.DUMMYFUNCTION("""COMPUTED_VALUE"""),100000.0)</f>
        <v>100000</v>
      </c>
      <c r="D110" s="70" t="str">
        <f>IFERROR(__xludf.DUMMYFUNCTION("""COMPUTED_VALUE"""),"Deportivo")</f>
        <v>Deportivo</v>
      </c>
      <c r="E110" s="71" t="str">
        <f>IFERROR(__xludf.DUMMYFUNCTION("""COMPUTED_VALUE"""),"https://docs.fivem.net/vehicles/ninef2.webp")</f>
        <v>https://docs.fivem.net/vehicles/ninef2.webp</v>
      </c>
    </row>
    <row r="111" ht="15.75" customHeight="1">
      <c r="A111" s="69" t="str">
        <f>IFERROR(__xludf.DUMMYFUNCTION("""COMPUTED_VALUE"""),"niobe")</f>
        <v>niobe</v>
      </c>
      <c r="B111" s="69" t="str">
        <f>IFERROR(__xludf.DUMMYFUNCTION("""COMPUTED_VALUE"""),"Niobe")</f>
        <v>Niobe</v>
      </c>
      <c r="C111" s="70">
        <f>IFERROR(__xludf.DUMMYFUNCTION("""COMPUTED_VALUE"""),180000.0)</f>
        <v>180000</v>
      </c>
      <c r="D111" s="70" t="str">
        <f>IFERROR(__xludf.DUMMYFUNCTION("""COMPUTED_VALUE"""),"Deportivo")</f>
        <v>Deportivo</v>
      </c>
      <c r="E111" s="71" t="str">
        <f>IFERROR(__xludf.DUMMYFUNCTION("""COMPUTED_VALUE"""),"https://docs.fivem.net/vehicles/niobe.webp")</f>
        <v>https://docs.fivem.net/vehicles/niobe.webp</v>
      </c>
    </row>
    <row r="112" ht="15.75" customHeight="1">
      <c r="A112" s="69" t="str">
        <f>IFERROR(__xludf.DUMMYFUNCTION("""COMPUTED_VALUE"""),"omnis")</f>
        <v>omnis</v>
      </c>
      <c r="B112" s="69" t="str">
        <f>IFERROR(__xludf.DUMMYFUNCTION("""COMPUTED_VALUE"""),"Omnis")</f>
        <v>Omnis</v>
      </c>
      <c r="C112" s="70">
        <f>IFERROR(__xludf.DUMMYFUNCTION("""COMPUTED_VALUE"""),65000.0)</f>
        <v>65000</v>
      </c>
      <c r="D112" s="70" t="str">
        <f>IFERROR(__xludf.DUMMYFUNCTION("""COMPUTED_VALUE"""),"Deportivo")</f>
        <v>Deportivo</v>
      </c>
      <c r="E112" s="71" t="str">
        <f>IFERROR(__xludf.DUMMYFUNCTION("""COMPUTED_VALUE"""),"https://docs.fivem.net/vehicles/omnis.webp")</f>
        <v>https://docs.fivem.net/vehicles/omnis.webp</v>
      </c>
    </row>
    <row r="113" ht="15.75" customHeight="1">
      <c r="A113" s="69" t="str">
        <f>IFERROR(__xludf.DUMMYFUNCTION("""COMPUTED_VALUE"""),"omnisegt")</f>
        <v>omnisegt</v>
      </c>
      <c r="B113" s="69" t="str">
        <f>IFERROR(__xludf.DUMMYFUNCTION("""COMPUTED_VALUE"""),"Omnis e-GT")</f>
        <v>Omnis e-GT</v>
      </c>
      <c r="C113" s="70">
        <f>IFERROR(__xludf.DUMMYFUNCTION("""COMPUTED_VALUE"""),94000.0)</f>
        <v>94000</v>
      </c>
      <c r="D113" s="70" t="str">
        <f>IFERROR(__xludf.DUMMYFUNCTION("""COMPUTED_VALUE"""),"Deportivo")</f>
        <v>Deportivo</v>
      </c>
      <c r="E113" s="71" t="str">
        <f>IFERROR(__xludf.DUMMYFUNCTION("""COMPUTED_VALUE"""),"https://docs.fivem.net/vehicles/omnisegt.webp")</f>
        <v>https://docs.fivem.net/vehicles/omnisegt.webp</v>
      </c>
    </row>
    <row r="114" ht="15.75" customHeight="1">
      <c r="A114" s="69" t="str">
        <f>IFERROR(__xludf.DUMMYFUNCTION("""COMPUTED_VALUE"""),"panthere")</f>
        <v>panthere</v>
      </c>
      <c r="B114" s="69" t="str">
        <f>IFERROR(__xludf.DUMMYFUNCTION("""COMPUTED_VALUE"""),"Panthere")</f>
        <v>Panthere</v>
      </c>
      <c r="C114" s="70">
        <f>IFERROR(__xludf.DUMMYFUNCTION("""COMPUTED_VALUE"""),68000.0)</f>
        <v>68000</v>
      </c>
      <c r="D114" s="70" t="str">
        <f>IFERROR(__xludf.DUMMYFUNCTION("""COMPUTED_VALUE"""),"Deportivo")</f>
        <v>Deportivo</v>
      </c>
      <c r="E114" s="71" t="str">
        <f>IFERROR(__xludf.DUMMYFUNCTION("""COMPUTED_VALUE"""),"https://docs.fivem.net/vehicles/panthere.webp")</f>
        <v>https://docs.fivem.net/vehicles/panthere.webp</v>
      </c>
    </row>
    <row r="115" ht="15.75" customHeight="1">
      <c r="A115" s="69" t="str">
        <f>IFERROR(__xludf.DUMMYFUNCTION("""COMPUTED_VALUE"""),"paragon")</f>
        <v>paragon</v>
      </c>
      <c r="B115" s="69" t="str">
        <f>IFERROR(__xludf.DUMMYFUNCTION("""COMPUTED_VALUE"""),"Paragon")</f>
        <v>Paragon</v>
      </c>
      <c r="C115" s="70">
        <f>IFERROR(__xludf.DUMMYFUNCTION("""COMPUTED_VALUE"""),98000.0)</f>
        <v>98000</v>
      </c>
      <c r="D115" s="70" t="str">
        <f>IFERROR(__xludf.DUMMYFUNCTION("""COMPUTED_VALUE"""),"Deportivo")</f>
        <v>Deportivo</v>
      </c>
      <c r="E115" s="71" t="str">
        <f>IFERROR(__xludf.DUMMYFUNCTION("""COMPUTED_VALUE"""),"https://docs.fivem.net/vehicles/paragon.webp")</f>
        <v>https://docs.fivem.net/vehicles/paragon.webp</v>
      </c>
    </row>
    <row r="116" ht="15.75" customHeight="1">
      <c r="A116" s="69" t="str">
        <f>IFERROR(__xludf.DUMMYFUNCTION("""COMPUTED_VALUE"""),"paragon3")</f>
        <v>paragon3</v>
      </c>
      <c r="B116" s="69" t="str">
        <f>IFERROR(__xludf.DUMMYFUNCTION("""COMPUTED_VALUE"""),"Paragon S")</f>
        <v>Paragon S</v>
      </c>
      <c r="C116" s="70">
        <f>IFERROR(__xludf.DUMMYFUNCTION("""COMPUTED_VALUE"""),125000.0)</f>
        <v>125000</v>
      </c>
      <c r="D116" s="70" t="str">
        <f>IFERROR(__xludf.DUMMYFUNCTION("""COMPUTED_VALUE"""),"Deportivo")</f>
        <v>Deportivo</v>
      </c>
      <c r="E116" s="71" t="str">
        <f>IFERROR(__xludf.DUMMYFUNCTION("""COMPUTED_VALUE"""),"https://docs.fivem.net/vehicles/paragon3.webp")</f>
        <v>https://docs.fivem.net/vehicles/paragon3.webp</v>
      </c>
    </row>
    <row r="117" ht="15.75" customHeight="1">
      <c r="A117" s="69" t="str">
        <f>IFERROR(__xludf.DUMMYFUNCTION("""COMPUTED_VALUE"""),"pariah")</f>
        <v>pariah</v>
      </c>
      <c r="B117" s="69" t="str">
        <f>IFERROR(__xludf.DUMMYFUNCTION("""COMPUTED_VALUE"""),"Pariah")</f>
        <v>Pariah</v>
      </c>
      <c r="C117" s="70">
        <f>IFERROR(__xludf.DUMMYFUNCTION("""COMPUTED_VALUE"""),108000.0)</f>
        <v>108000</v>
      </c>
      <c r="D117" s="70" t="str">
        <f>IFERROR(__xludf.DUMMYFUNCTION("""COMPUTED_VALUE"""),"Deportivo")</f>
        <v>Deportivo</v>
      </c>
      <c r="E117" s="71" t="str">
        <f>IFERROR(__xludf.DUMMYFUNCTION("""COMPUTED_VALUE"""),"https://docs.fivem.net/vehicles/pariah.webp")</f>
        <v>https://docs.fivem.net/vehicles/pariah.webp</v>
      </c>
    </row>
    <row r="118" ht="15.75" customHeight="1">
      <c r="A118" s="69" t="str">
        <f>IFERROR(__xludf.DUMMYFUNCTION("""COMPUTED_VALUE"""),"penumbra")</f>
        <v>penumbra</v>
      </c>
      <c r="B118" s="69" t="str">
        <f>IFERROR(__xludf.DUMMYFUNCTION("""COMPUTED_VALUE"""),"Penumbra")</f>
        <v>Penumbra</v>
      </c>
      <c r="C118" s="70">
        <f>IFERROR(__xludf.DUMMYFUNCTION("""COMPUTED_VALUE"""),45000.0)</f>
        <v>45000</v>
      </c>
      <c r="D118" s="70" t="str">
        <f>IFERROR(__xludf.DUMMYFUNCTION("""COMPUTED_VALUE"""),"Deportivo")</f>
        <v>Deportivo</v>
      </c>
      <c r="E118" s="71" t="str">
        <f>IFERROR(__xludf.DUMMYFUNCTION("""COMPUTED_VALUE"""),"https://docs.fivem.net/vehicles/penumbra.webp")</f>
        <v>https://docs.fivem.net/vehicles/penumbra.webp</v>
      </c>
    </row>
    <row r="119" ht="15.75" customHeight="1">
      <c r="A119" s="69" t="str">
        <f>IFERROR(__xludf.DUMMYFUNCTION("""COMPUTED_VALUE"""),"penumbra2")</f>
        <v>penumbra2</v>
      </c>
      <c r="B119" s="69" t="str">
        <f>IFERROR(__xludf.DUMMYFUNCTION("""COMPUTED_VALUE"""),"Penumbra FF")</f>
        <v>Penumbra FF</v>
      </c>
      <c r="C119" s="70">
        <f>IFERROR(__xludf.DUMMYFUNCTION("""COMPUTED_VALUE"""),50000.0)</f>
        <v>50000</v>
      </c>
      <c r="D119" s="70" t="str">
        <f>IFERROR(__xludf.DUMMYFUNCTION("""COMPUTED_VALUE"""),"Deportivo")</f>
        <v>Deportivo</v>
      </c>
      <c r="E119" s="71" t="str">
        <f>IFERROR(__xludf.DUMMYFUNCTION("""COMPUTED_VALUE"""),"https://docs.fivem.net/vehicles/penumbra2.webp")</f>
        <v>https://docs.fivem.net/vehicles/penumbra2.webp</v>
      </c>
    </row>
    <row r="120" ht="15.75" customHeight="1">
      <c r="A120" s="69" t="str">
        <f>IFERROR(__xludf.DUMMYFUNCTION("""COMPUTED_VALUE"""),"pipistrello")</f>
        <v>pipistrello</v>
      </c>
      <c r="B120" s="69" t="str">
        <f>IFERROR(__xludf.DUMMYFUNCTION("""COMPUTED_VALUE"""),"Pipistrello")</f>
        <v>Pipistrello</v>
      </c>
      <c r="C120" s="70">
        <f>IFERROR(__xludf.DUMMYFUNCTION("""COMPUTED_VALUE"""),195000.0)</f>
        <v>195000</v>
      </c>
      <c r="D120" s="70" t="str">
        <f>IFERROR(__xludf.DUMMYFUNCTION("""COMPUTED_VALUE"""),"Deportivo")</f>
        <v>Deportivo</v>
      </c>
      <c r="E120" s="71" t="str">
        <f>IFERROR(__xludf.DUMMYFUNCTION("""COMPUTED_VALUE"""),"https://docs.fivem.net/vehicles/pipistrello.webp")</f>
        <v>https://docs.fivem.net/vehicles/pipistrello.webp</v>
      </c>
    </row>
    <row r="121" ht="15.75" customHeight="1">
      <c r="A121" s="69" t="str">
        <f>IFERROR(__xludf.DUMMYFUNCTION("""COMPUTED_VALUE"""),"r300")</f>
        <v>r300</v>
      </c>
      <c r="B121" s="69" t="str">
        <f>IFERROR(__xludf.DUMMYFUNCTION("""COMPUTED_VALUE"""),"300R")</f>
        <v>300R</v>
      </c>
      <c r="C121" s="70">
        <f>IFERROR(__xludf.DUMMYFUNCTION("""COMPUTED_VALUE"""),65000.0)</f>
        <v>65000</v>
      </c>
      <c r="D121" s="70" t="str">
        <f>IFERROR(__xludf.DUMMYFUNCTION("""COMPUTED_VALUE"""),"Deportivo")</f>
        <v>Deportivo</v>
      </c>
      <c r="E121" s="71" t="str">
        <f>IFERROR(__xludf.DUMMYFUNCTION("""COMPUTED_VALUE"""),"https://docs.fivem.net/vehicles/r300.webp")</f>
        <v>https://docs.fivem.net/vehicles/r300.webp</v>
      </c>
    </row>
    <row r="122" ht="15.75" customHeight="1">
      <c r="A122" s="69" t="str">
        <f>IFERROR(__xludf.DUMMYFUNCTION("""COMPUTED_VALUE"""),"rapidgt")</f>
        <v>rapidgt</v>
      </c>
      <c r="B122" s="69" t="str">
        <f>IFERROR(__xludf.DUMMYFUNCTION("""COMPUTED_VALUE"""),"Rapid GT")</f>
        <v>Rapid GT</v>
      </c>
      <c r="C122" s="70">
        <f>IFERROR(__xludf.DUMMYFUNCTION("""COMPUTED_VALUE"""),80000.0)</f>
        <v>80000</v>
      </c>
      <c r="D122" s="70" t="str">
        <f>IFERROR(__xludf.DUMMYFUNCTION("""COMPUTED_VALUE"""),"Deportivo")</f>
        <v>Deportivo</v>
      </c>
      <c r="E122" s="71" t="str">
        <f>IFERROR(__xludf.DUMMYFUNCTION("""COMPUTED_VALUE"""),"https://docs.fivem.net/vehicles/rapidgt.webp")</f>
        <v>https://docs.fivem.net/vehicles/rapidgt.webp</v>
      </c>
    </row>
    <row r="123" ht="15.75" customHeight="1">
      <c r="A123" s="69" t="str">
        <f>IFERROR(__xludf.DUMMYFUNCTION("""COMPUTED_VALUE"""),"rapidgt2")</f>
        <v>rapidgt2</v>
      </c>
      <c r="B123" s="69" t="str">
        <f>IFERROR(__xludf.DUMMYFUNCTION("""COMPUTED_VALUE"""),"Rapid GT Convertible")</f>
        <v>Rapid GT Convertible</v>
      </c>
      <c r="C123" s="70">
        <f>IFERROR(__xludf.DUMMYFUNCTION("""COMPUTED_VALUE"""),22000.0)</f>
        <v>22000</v>
      </c>
      <c r="D123" s="70" t="str">
        <f>IFERROR(__xludf.DUMMYFUNCTION("""COMPUTED_VALUE"""),"Deportivo")</f>
        <v>Deportivo</v>
      </c>
      <c r="E123" s="71" t="str">
        <f>IFERROR(__xludf.DUMMYFUNCTION("""COMPUTED_VALUE"""),"https://docs.fivem.net/vehicles/rapidgt2.webp")</f>
        <v>https://docs.fivem.net/vehicles/rapidgt2.webp</v>
      </c>
    </row>
    <row r="124" ht="15.75" customHeight="1">
      <c r="A124" s="69" t="str">
        <f>IFERROR(__xludf.DUMMYFUNCTION("""COMPUTED_VALUE"""),"raptor")</f>
        <v>raptor</v>
      </c>
      <c r="B124" s="69" t="str">
        <f>IFERROR(__xludf.DUMMYFUNCTION("""COMPUTED_VALUE"""),"Raptor")</f>
        <v>Raptor</v>
      </c>
      <c r="C124" s="70">
        <f>IFERROR(__xludf.DUMMYFUNCTION("""COMPUTED_VALUE"""),42500.0)</f>
        <v>42500</v>
      </c>
      <c r="D124" s="70" t="str">
        <f>IFERROR(__xludf.DUMMYFUNCTION("""COMPUTED_VALUE"""),"Deportivo")</f>
        <v>Deportivo</v>
      </c>
      <c r="E124" s="71" t="str">
        <f>IFERROR(__xludf.DUMMYFUNCTION("""COMPUTED_VALUE"""),"https://docs.fivem.net/vehicles/raptor.webp")</f>
        <v>https://docs.fivem.net/vehicles/raptor.webp</v>
      </c>
    </row>
    <row r="125" ht="15.75" customHeight="1">
      <c r="A125" s="69" t="str">
        <f>IFERROR(__xludf.DUMMYFUNCTION("""COMPUTED_VALUE"""),"remus")</f>
        <v>remus</v>
      </c>
      <c r="B125" s="69" t="str">
        <f>IFERROR(__xludf.DUMMYFUNCTION("""COMPUTED_VALUE"""),"Remus")</f>
        <v>Remus</v>
      </c>
      <c r="C125" s="70">
        <f>IFERROR(__xludf.DUMMYFUNCTION("""COMPUTED_VALUE"""),48000.0)</f>
        <v>48000</v>
      </c>
      <c r="D125" s="70" t="str">
        <f>IFERROR(__xludf.DUMMYFUNCTION("""COMPUTED_VALUE"""),"Deportivo")</f>
        <v>Deportivo</v>
      </c>
      <c r="E125" s="71" t="str">
        <f>IFERROR(__xludf.DUMMYFUNCTION("""COMPUTED_VALUE"""),"https://docs.fivem.net/vehicles/remus.webp")</f>
        <v>https://docs.fivem.net/vehicles/remus.webp</v>
      </c>
    </row>
    <row r="126" ht="15.75" customHeight="1">
      <c r="A126" s="69" t="str">
        <f>IFERROR(__xludf.DUMMYFUNCTION("""COMPUTED_VALUE"""),"revolter")</f>
        <v>revolter</v>
      </c>
      <c r="B126" s="69" t="str">
        <f>IFERROR(__xludf.DUMMYFUNCTION("""COMPUTED_VALUE"""),"Revolter")</f>
        <v>Revolter</v>
      </c>
      <c r="C126" s="70">
        <f>IFERROR(__xludf.DUMMYFUNCTION("""COMPUTED_VALUE"""),92000.0)</f>
        <v>92000</v>
      </c>
      <c r="D126" s="70" t="str">
        <f>IFERROR(__xludf.DUMMYFUNCTION("""COMPUTED_VALUE"""),"Deportivo")</f>
        <v>Deportivo</v>
      </c>
      <c r="E126" s="71" t="str">
        <f>IFERROR(__xludf.DUMMYFUNCTION("""COMPUTED_VALUE"""),"https://docs.fivem.net/vehicles/revolter.webp")</f>
        <v>https://docs.fivem.net/vehicles/revolter.webp</v>
      </c>
    </row>
    <row r="127" ht="15.75" customHeight="1">
      <c r="A127" s="69" t="str">
        <f>IFERROR(__xludf.DUMMYFUNCTION("""COMPUTED_VALUE"""),"rt3000")</f>
        <v>rt3000</v>
      </c>
      <c r="B127" s="69" t="str">
        <f>IFERROR(__xludf.DUMMYFUNCTION("""COMPUTED_VALUE"""),"RT3000")</f>
        <v>RT3000</v>
      </c>
      <c r="C127" s="70">
        <f>IFERROR(__xludf.DUMMYFUNCTION("""COMPUTED_VALUE"""),69500.0)</f>
        <v>69500</v>
      </c>
      <c r="D127" s="70" t="str">
        <f>IFERROR(__xludf.DUMMYFUNCTION("""COMPUTED_VALUE"""),"Deportivo")</f>
        <v>Deportivo</v>
      </c>
      <c r="E127" s="71" t="str">
        <f>IFERROR(__xludf.DUMMYFUNCTION("""COMPUTED_VALUE"""),"https://docs.fivem.net/vehicles/rt3000.webp")</f>
        <v>https://docs.fivem.net/vehicles/rt3000.webp</v>
      </c>
    </row>
    <row r="128" ht="15.75" customHeight="1">
      <c r="A128" s="69" t="str">
        <f>IFERROR(__xludf.DUMMYFUNCTION("""COMPUTED_VALUE"""),"ruston")</f>
        <v>ruston</v>
      </c>
      <c r="B128" s="69" t="str">
        <f>IFERROR(__xludf.DUMMYFUNCTION("""COMPUTED_VALUE"""),"Ruston")</f>
        <v>Ruston</v>
      </c>
      <c r="C128" s="70">
        <f>IFERROR(__xludf.DUMMYFUNCTION("""COMPUTED_VALUE"""),119000.0)</f>
        <v>119000</v>
      </c>
      <c r="D128" s="70" t="str">
        <f>IFERROR(__xludf.DUMMYFUNCTION("""COMPUTED_VALUE"""),"Deportivo")</f>
        <v>Deportivo</v>
      </c>
      <c r="E128" s="71" t="str">
        <f>IFERROR(__xludf.DUMMYFUNCTION("""COMPUTED_VALUE"""),"https://docs.fivem.net/vehicles/ruston.webp")</f>
        <v>https://docs.fivem.net/vehicles/ruston.webp</v>
      </c>
    </row>
    <row r="129" ht="15.75" customHeight="1">
      <c r="A129" s="69" t="str">
        <f>IFERROR(__xludf.DUMMYFUNCTION("""COMPUTED_VALUE"""),"schafter3")</f>
        <v>schafter3</v>
      </c>
      <c r="B129" s="69" t="str">
        <f>IFERROR(__xludf.DUMMYFUNCTION("""COMPUTED_VALUE"""),"Schafter V12")</f>
        <v>Schafter V12</v>
      </c>
      <c r="C129" s="70">
        <f>IFERROR(__xludf.DUMMYFUNCTION("""COMPUTED_VALUE"""),46000.0)</f>
        <v>46000</v>
      </c>
      <c r="D129" s="70" t="str">
        <f>IFERROR(__xludf.DUMMYFUNCTION("""COMPUTED_VALUE"""),"Deportivo")</f>
        <v>Deportivo</v>
      </c>
      <c r="E129" s="71" t="str">
        <f>IFERROR(__xludf.DUMMYFUNCTION("""COMPUTED_VALUE"""),"https://docs.fivem.net/vehicles/schafter3.webp")</f>
        <v>https://docs.fivem.net/vehicles/schafter3.webp</v>
      </c>
    </row>
    <row r="130" ht="15.75" customHeight="1">
      <c r="A130" s="69" t="str">
        <f>IFERROR(__xludf.DUMMYFUNCTION("""COMPUTED_VALUE"""),"schafter4")</f>
        <v>schafter4</v>
      </c>
      <c r="B130" s="69" t="str">
        <f>IFERROR(__xludf.DUMMYFUNCTION("""COMPUTED_VALUE"""),"Schafter LWB")</f>
        <v>Schafter LWB</v>
      </c>
      <c r="C130" s="70">
        <f>IFERROR(__xludf.DUMMYFUNCTION("""COMPUTED_VALUE"""),42500.0)</f>
        <v>42500</v>
      </c>
      <c r="D130" s="70" t="str">
        <f>IFERROR(__xludf.DUMMYFUNCTION("""COMPUTED_VALUE"""),"Deportivo")</f>
        <v>Deportivo</v>
      </c>
      <c r="E130" s="71" t="str">
        <f>IFERROR(__xludf.DUMMYFUNCTION("""COMPUTED_VALUE"""),"https://docs.fivem.net/vehicles/schafter4.webp")</f>
        <v>https://docs.fivem.net/vehicles/schafter4.webp</v>
      </c>
    </row>
    <row r="131" ht="15.75" customHeight="1">
      <c r="A131" s="69" t="str">
        <f>IFERROR(__xludf.DUMMYFUNCTION("""COMPUTED_VALUE"""),"schlagen")</f>
        <v>schlagen</v>
      </c>
      <c r="B131" s="69" t="str">
        <f>IFERROR(__xludf.DUMMYFUNCTION("""COMPUTED_VALUE"""),"Schlagen GT")</f>
        <v>Schlagen GT</v>
      </c>
      <c r="C131" s="70">
        <f>IFERROR(__xludf.DUMMYFUNCTION("""COMPUTED_VALUE"""),128000.0)</f>
        <v>128000</v>
      </c>
      <c r="D131" s="70" t="str">
        <f>IFERROR(__xludf.DUMMYFUNCTION("""COMPUTED_VALUE"""),"Deportivo")</f>
        <v>Deportivo</v>
      </c>
      <c r="E131" s="71" t="str">
        <f>IFERROR(__xludf.DUMMYFUNCTION("""COMPUTED_VALUE"""),"https://docs.fivem.net/vehicles/schlagen.webp")</f>
        <v>https://docs.fivem.net/vehicles/schlagen.webp</v>
      </c>
    </row>
    <row r="132" ht="15.75" customHeight="1">
      <c r="A132" s="69" t="str">
        <f>IFERROR(__xludf.DUMMYFUNCTION("""COMPUTED_VALUE"""),"schwarzer")</f>
        <v>schwarzer</v>
      </c>
      <c r="B132" s="69" t="str">
        <f>IFERROR(__xludf.DUMMYFUNCTION("""COMPUTED_VALUE"""),"Schwartzer")</f>
        <v>Schwartzer</v>
      </c>
      <c r="C132" s="70">
        <f>IFERROR(__xludf.DUMMYFUNCTION("""COMPUTED_VALUE"""),48500.0)</f>
        <v>48500</v>
      </c>
      <c r="D132" s="70" t="str">
        <f>IFERROR(__xludf.DUMMYFUNCTION("""COMPUTED_VALUE"""),"Deportivo")</f>
        <v>Deportivo</v>
      </c>
      <c r="E132" s="71" t="str">
        <f>IFERROR(__xludf.DUMMYFUNCTION("""COMPUTED_VALUE"""),"https://docs.fivem.net/vehicles/schwarzer.webp")</f>
        <v>https://docs.fivem.net/vehicles/schwarzer.webp</v>
      </c>
    </row>
    <row r="133" ht="15.75" customHeight="1">
      <c r="A133" s="69" t="str">
        <f>IFERROR(__xludf.DUMMYFUNCTION("""COMPUTED_VALUE"""),"sentinel4")</f>
        <v>sentinel4</v>
      </c>
      <c r="B133" s="69" t="str">
        <f>IFERROR(__xludf.DUMMYFUNCTION("""COMPUTED_VALUE"""),"Sentinel Classic Widebody")</f>
        <v>Sentinel Classic Widebody</v>
      </c>
      <c r="C133" s="70">
        <f>IFERROR(__xludf.DUMMYFUNCTION("""COMPUTED_VALUE"""),80000.0)</f>
        <v>80000</v>
      </c>
      <c r="D133" s="70" t="str">
        <f>IFERROR(__xludf.DUMMYFUNCTION("""COMPUTED_VALUE"""),"Deportivo")</f>
        <v>Deportivo</v>
      </c>
      <c r="E133" s="71" t="str">
        <f>IFERROR(__xludf.DUMMYFUNCTION("""COMPUTED_VALUE"""),"https://docs.fivem.net/vehicles/sentinel4.webp")</f>
        <v>https://docs.fivem.net/vehicles/sentinel4.webp</v>
      </c>
    </row>
    <row r="134" ht="15.75" customHeight="1">
      <c r="A134" s="69" t="str">
        <f>IFERROR(__xludf.DUMMYFUNCTION("""COMPUTED_VALUE"""),"seven70")</f>
        <v>seven70</v>
      </c>
      <c r="B134" s="69" t="str">
        <f>IFERROR(__xludf.DUMMYFUNCTION("""COMPUTED_VALUE"""),"Seven-70")</f>
        <v>Seven-70</v>
      </c>
      <c r="C134" s="70">
        <f>IFERROR(__xludf.DUMMYFUNCTION("""COMPUTED_VALUE"""),140000.0)</f>
        <v>140000</v>
      </c>
      <c r="D134" s="70" t="str">
        <f>IFERROR(__xludf.DUMMYFUNCTION("""COMPUTED_VALUE"""),"Deportivo")</f>
        <v>Deportivo</v>
      </c>
      <c r="E134" s="71" t="str">
        <f>IFERROR(__xludf.DUMMYFUNCTION("""COMPUTED_VALUE"""),"https://docs.fivem.net/vehicles/seven70.webp")</f>
        <v>https://docs.fivem.net/vehicles/seven70.webp</v>
      </c>
    </row>
    <row r="135" ht="15.75" customHeight="1">
      <c r="A135" s="69" t="str">
        <f>IFERROR(__xludf.DUMMYFUNCTION("""COMPUTED_VALUE"""),"sm722")</f>
        <v>sm722</v>
      </c>
      <c r="B135" s="69" t="str">
        <f>IFERROR(__xludf.DUMMYFUNCTION("""COMPUTED_VALUE"""),"SM722")</f>
        <v>SM722</v>
      </c>
      <c r="C135" s="70">
        <f>IFERROR(__xludf.DUMMYFUNCTION("""COMPUTED_VALUE"""),195000.0)</f>
        <v>195000</v>
      </c>
      <c r="D135" s="70" t="str">
        <f>IFERROR(__xludf.DUMMYFUNCTION("""COMPUTED_VALUE"""),"Deportivo")</f>
        <v>Deportivo</v>
      </c>
      <c r="E135" s="71" t="str">
        <f>IFERROR(__xludf.DUMMYFUNCTION("""COMPUTED_VALUE"""),"https://docs.fivem.net/vehicles/sm722.webp")</f>
        <v>https://docs.fivem.net/vehicles/sm722.webp</v>
      </c>
    </row>
    <row r="136" ht="15.75" customHeight="1">
      <c r="A136" s="69" t="str">
        <f>IFERROR(__xludf.DUMMYFUNCTION("""COMPUTED_VALUE"""),"specter")</f>
        <v>specter</v>
      </c>
      <c r="B136" s="69" t="str">
        <f>IFERROR(__xludf.DUMMYFUNCTION("""COMPUTED_VALUE"""),"Specter")</f>
        <v>Specter</v>
      </c>
      <c r="C136" s="70">
        <f>IFERROR(__xludf.DUMMYFUNCTION("""COMPUTED_VALUE"""),165000.0)</f>
        <v>165000</v>
      </c>
      <c r="D136" s="70" t="str">
        <f>IFERROR(__xludf.DUMMYFUNCTION("""COMPUTED_VALUE"""),"Deportivo")</f>
        <v>Deportivo</v>
      </c>
      <c r="E136" s="71" t="str">
        <f>IFERROR(__xludf.DUMMYFUNCTION("""COMPUTED_VALUE"""),"https://docs.fivem.net/vehicles/specter.webp")</f>
        <v>https://docs.fivem.net/vehicles/specter.webp</v>
      </c>
    </row>
    <row r="137" ht="15.75" customHeight="1">
      <c r="A137" s="69" t="str">
        <f>IFERROR(__xludf.DUMMYFUNCTION("""COMPUTED_VALUE"""),"streiter")</f>
        <v>streiter</v>
      </c>
      <c r="B137" s="69" t="str">
        <f>IFERROR(__xludf.DUMMYFUNCTION("""COMPUTED_VALUE"""),"Streiter")</f>
        <v>Streiter</v>
      </c>
      <c r="C137" s="70">
        <f>IFERROR(__xludf.DUMMYFUNCTION("""COMPUTED_VALUE"""),68000.0)</f>
        <v>68000</v>
      </c>
      <c r="D137" s="70" t="str">
        <f>IFERROR(__xludf.DUMMYFUNCTION("""COMPUTED_VALUE"""),"Deportivo")</f>
        <v>Deportivo</v>
      </c>
      <c r="E137" s="71" t="str">
        <f>IFERROR(__xludf.DUMMYFUNCTION("""COMPUTED_VALUE"""),"https://docs.fivem.net/vehicles/streiter.webp")</f>
        <v>https://docs.fivem.net/vehicles/streiter.webp</v>
      </c>
    </row>
    <row r="138" ht="15.75" customHeight="1">
      <c r="A138" s="69" t="str">
        <f>IFERROR(__xludf.DUMMYFUNCTION("""COMPUTED_VALUE"""),"sugoi")</f>
        <v>sugoi</v>
      </c>
      <c r="B138" s="69" t="str">
        <f>IFERROR(__xludf.DUMMYFUNCTION("""COMPUTED_VALUE"""),"Sugoi")</f>
        <v>Sugoi</v>
      </c>
      <c r="C138" s="70">
        <f>IFERROR(__xludf.DUMMYFUNCTION("""COMPUTED_VALUE"""),85000.0)</f>
        <v>85000</v>
      </c>
      <c r="D138" s="70" t="str">
        <f>IFERROR(__xludf.DUMMYFUNCTION("""COMPUTED_VALUE"""),"Deportivo")</f>
        <v>Deportivo</v>
      </c>
      <c r="E138" s="71" t="str">
        <f>IFERROR(__xludf.DUMMYFUNCTION("""COMPUTED_VALUE"""),"https://docs.fivem.net/vehicles/sugoi.webp")</f>
        <v>https://docs.fivem.net/vehicles/sugoi.webp</v>
      </c>
    </row>
    <row r="139" ht="15.75" customHeight="1">
      <c r="A139" s="69" t="str">
        <f>IFERROR(__xludf.DUMMYFUNCTION("""COMPUTED_VALUE"""),"sultan")</f>
        <v>sultan</v>
      </c>
      <c r="B139" s="69" t="str">
        <f>IFERROR(__xludf.DUMMYFUNCTION("""COMPUTED_VALUE"""),"Sultan")</f>
        <v>Sultan</v>
      </c>
      <c r="C139" s="70">
        <f>IFERROR(__xludf.DUMMYFUNCTION("""COMPUTED_VALUE"""),68000.0)</f>
        <v>68000</v>
      </c>
      <c r="D139" s="70" t="str">
        <f>IFERROR(__xludf.DUMMYFUNCTION("""COMPUTED_VALUE"""),"Deportivo")</f>
        <v>Deportivo</v>
      </c>
      <c r="E139" s="71" t="str">
        <f>IFERROR(__xludf.DUMMYFUNCTION("""COMPUTED_VALUE"""),"https://docs.fivem.net/vehicles/sultan.webp")</f>
        <v>https://docs.fivem.net/vehicles/sultan.webp</v>
      </c>
    </row>
    <row r="140" ht="15.75" customHeight="1">
      <c r="A140" s="69" t="str">
        <f>IFERROR(__xludf.DUMMYFUNCTION("""COMPUTED_VALUE"""),"sultan2")</f>
        <v>sultan2</v>
      </c>
      <c r="B140" s="69" t="str">
        <f>IFERROR(__xludf.DUMMYFUNCTION("""COMPUTED_VALUE"""),"Sultan Custom")</f>
        <v>Sultan Custom</v>
      </c>
      <c r="C140" s="70">
        <f>IFERROR(__xludf.DUMMYFUNCTION("""COMPUTED_VALUE"""),92000.0)</f>
        <v>92000</v>
      </c>
      <c r="D140" s="70" t="str">
        <f>IFERROR(__xludf.DUMMYFUNCTION("""COMPUTED_VALUE"""),"Deportivo")</f>
        <v>Deportivo</v>
      </c>
      <c r="E140" s="71" t="str">
        <f>IFERROR(__xludf.DUMMYFUNCTION("""COMPUTED_VALUE"""),"https://docs.fivem.net/vehicles/sultan2.webp")</f>
        <v>https://docs.fivem.net/vehicles/sultan2.webp</v>
      </c>
    </row>
    <row r="141" ht="15.75" customHeight="1">
      <c r="A141" s="69" t="str">
        <f>IFERROR(__xludf.DUMMYFUNCTION("""COMPUTED_VALUE"""),"sultan3")</f>
        <v>sultan3</v>
      </c>
      <c r="B141" s="69" t="str">
        <f>IFERROR(__xludf.DUMMYFUNCTION("""COMPUTED_VALUE"""),"Sultan Classic Custom")</f>
        <v>Sultan Classic Custom</v>
      </c>
      <c r="C141" s="70">
        <f>IFERROR(__xludf.DUMMYFUNCTION("""COMPUTED_VALUE"""),65000.0)</f>
        <v>65000</v>
      </c>
      <c r="D141" s="70" t="str">
        <f>IFERROR(__xludf.DUMMYFUNCTION("""COMPUTED_VALUE"""),"Deportivo")</f>
        <v>Deportivo</v>
      </c>
      <c r="E141" s="71" t="str">
        <f>IFERROR(__xludf.DUMMYFUNCTION("""COMPUTED_VALUE"""),"https://docs.fivem.net/vehicles/sultan3.webp")</f>
        <v>https://docs.fivem.net/vehicles/sultan3.webp</v>
      </c>
    </row>
    <row r="142" ht="15.75" customHeight="1">
      <c r="A142" s="69" t="str">
        <f>IFERROR(__xludf.DUMMYFUNCTION("""COMPUTED_VALUE"""),"sultanrs")</f>
        <v>sultanrs</v>
      </c>
      <c r="B142" s="69" t="str">
        <f>IFERROR(__xludf.DUMMYFUNCTION("""COMPUTED_VALUE"""),"Sultan RS")</f>
        <v>Sultan RS</v>
      </c>
      <c r="C142" s="70">
        <f>IFERROR(__xludf.DUMMYFUNCTION("""COMPUTED_VALUE"""),89000.0)</f>
        <v>89000</v>
      </c>
      <c r="D142" s="70" t="str">
        <f>IFERROR(__xludf.DUMMYFUNCTION("""COMPUTED_VALUE"""),"Deportivo")</f>
        <v>Deportivo</v>
      </c>
      <c r="E142" s="71" t="str">
        <f>IFERROR(__xludf.DUMMYFUNCTION("""COMPUTED_VALUE"""),"https://docs.fivem.net/vehicles/sultanrs.webp")</f>
        <v>https://docs.fivem.net/vehicles/sultanrs.webp</v>
      </c>
    </row>
    <row r="143" ht="15.75" customHeight="1">
      <c r="A143" s="69" t="str">
        <f>IFERROR(__xludf.DUMMYFUNCTION("""COMPUTED_VALUE"""),"surano")</f>
        <v>surano</v>
      </c>
      <c r="B143" s="69" t="str">
        <f>IFERROR(__xludf.DUMMYFUNCTION("""COMPUTED_VALUE"""),"Surano")</f>
        <v>Surano</v>
      </c>
      <c r="C143" s="70">
        <f>IFERROR(__xludf.DUMMYFUNCTION("""COMPUTED_VALUE"""),127000.0)</f>
        <v>127000</v>
      </c>
      <c r="D143" s="70" t="str">
        <f>IFERROR(__xludf.DUMMYFUNCTION("""COMPUTED_VALUE"""),"Deportivo")</f>
        <v>Deportivo</v>
      </c>
      <c r="E143" s="71" t="str">
        <f>IFERROR(__xludf.DUMMYFUNCTION("""COMPUTED_VALUE"""),"https://docs.fivem.net/vehicles/surano.webp")</f>
        <v>https://docs.fivem.net/vehicles/surano.webp</v>
      </c>
    </row>
    <row r="144" ht="15.75" customHeight="1">
      <c r="A144" s="69" t="str">
        <f>IFERROR(__xludf.DUMMYFUNCTION("""COMPUTED_VALUE"""),"tenf")</f>
        <v>tenf</v>
      </c>
      <c r="B144" s="69" t="str">
        <f>IFERROR(__xludf.DUMMYFUNCTION("""COMPUTED_VALUE"""),"10F")</f>
        <v>10F</v>
      </c>
      <c r="C144" s="70">
        <f>IFERROR(__xludf.DUMMYFUNCTION("""COMPUTED_VALUE"""),190000.0)</f>
        <v>190000</v>
      </c>
      <c r="D144" s="70" t="str">
        <f>IFERROR(__xludf.DUMMYFUNCTION("""COMPUTED_VALUE"""),"Deportivo")</f>
        <v>Deportivo</v>
      </c>
      <c r="E144" s="71" t="str">
        <f>IFERROR(__xludf.DUMMYFUNCTION("""COMPUTED_VALUE"""),"https://docs.fivem.net/vehicles/tenf.webp")</f>
        <v>https://docs.fivem.net/vehicles/tenf.webp</v>
      </c>
    </row>
    <row r="145" ht="15.75" customHeight="1">
      <c r="A145" s="69" t="str">
        <f>IFERROR(__xludf.DUMMYFUNCTION("""COMPUTED_VALUE"""),"tenf2")</f>
        <v>tenf2</v>
      </c>
      <c r="B145" s="69" t="str">
        <f>IFERROR(__xludf.DUMMYFUNCTION("""COMPUTED_VALUE"""),"10F Widebody")</f>
        <v>10F Widebody</v>
      </c>
      <c r="C145" s="70">
        <f>IFERROR(__xludf.DUMMYFUNCTION("""COMPUTED_VALUE"""),205000.0)</f>
        <v>205000</v>
      </c>
      <c r="D145" s="70" t="str">
        <f>IFERROR(__xludf.DUMMYFUNCTION("""COMPUTED_VALUE"""),"Deportivo")</f>
        <v>Deportivo</v>
      </c>
      <c r="E145" s="71" t="str">
        <f>IFERROR(__xludf.DUMMYFUNCTION("""COMPUTED_VALUE"""),"https://docs.fivem.net/vehicles/tenf2.webp")</f>
        <v>https://docs.fivem.net/vehicles/tenf2.webp</v>
      </c>
    </row>
    <row r="146" ht="15.75" customHeight="1">
      <c r="A146" s="69" t="str">
        <f>IFERROR(__xludf.DUMMYFUNCTION("""COMPUTED_VALUE"""),"tropos")</f>
        <v>tropos</v>
      </c>
      <c r="B146" s="69" t="str">
        <f>IFERROR(__xludf.DUMMYFUNCTION("""COMPUTED_VALUE"""),"Tropos Rallye")</f>
        <v>Tropos Rallye</v>
      </c>
      <c r="C146" s="70">
        <f>IFERROR(__xludf.DUMMYFUNCTION("""COMPUTED_VALUE"""),68500.0)</f>
        <v>68500</v>
      </c>
      <c r="D146" s="70" t="str">
        <f>IFERROR(__xludf.DUMMYFUNCTION("""COMPUTED_VALUE"""),"Deportivo")</f>
        <v>Deportivo</v>
      </c>
      <c r="E146" s="71" t="str">
        <f>IFERROR(__xludf.DUMMYFUNCTION("""COMPUTED_VALUE"""),"https://docs.fivem.net/vehicles/tropos.webp")</f>
        <v>https://docs.fivem.net/vehicles/tropos.webp</v>
      </c>
    </row>
    <row r="147" ht="15.75" customHeight="1">
      <c r="A147" s="69" t="str">
        <f>IFERROR(__xludf.DUMMYFUNCTION("""COMPUTED_VALUE"""),"vectre")</f>
        <v>vectre</v>
      </c>
      <c r="B147" s="69" t="str">
        <f>IFERROR(__xludf.DUMMYFUNCTION("""COMPUTED_VALUE"""),"Vectre")</f>
        <v>Vectre</v>
      </c>
      <c r="C147" s="70">
        <f>IFERROR(__xludf.DUMMYFUNCTION("""COMPUTED_VALUE"""),91000.0)</f>
        <v>91000</v>
      </c>
      <c r="D147" s="70" t="str">
        <f>IFERROR(__xludf.DUMMYFUNCTION("""COMPUTED_VALUE"""),"Deportivo")</f>
        <v>Deportivo</v>
      </c>
      <c r="E147" s="71" t="str">
        <f>IFERROR(__xludf.DUMMYFUNCTION("""COMPUTED_VALUE"""),"https://docs.fivem.net/vehicles/vectre.webp")</f>
        <v>https://docs.fivem.net/vehicles/vectre.webp</v>
      </c>
    </row>
    <row r="148" ht="15.75" customHeight="1">
      <c r="A148" s="69" t="str">
        <f>IFERROR(__xludf.DUMMYFUNCTION("""COMPUTED_VALUE"""),"verlierer2")</f>
        <v>verlierer2</v>
      </c>
      <c r="B148" s="69" t="str">
        <f>IFERROR(__xludf.DUMMYFUNCTION("""COMPUTED_VALUE"""),"Verlierer")</f>
        <v>Verlierer</v>
      </c>
      <c r="C148" s="70">
        <f>IFERROR(__xludf.DUMMYFUNCTION("""COMPUTED_VALUE"""),92500.0)</f>
        <v>92500</v>
      </c>
      <c r="D148" s="70" t="str">
        <f>IFERROR(__xludf.DUMMYFUNCTION("""COMPUTED_VALUE"""),"Deportivo")</f>
        <v>Deportivo</v>
      </c>
      <c r="E148" s="71" t="str">
        <f>IFERROR(__xludf.DUMMYFUNCTION("""COMPUTED_VALUE"""),"https://docs.fivem.net/vehicles/verlierer2.webp")</f>
        <v>https://docs.fivem.net/vehicles/verlierer2.webp</v>
      </c>
    </row>
    <row r="149" ht="15.75" customHeight="1">
      <c r="A149" s="69" t="str">
        <f>IFERROR(__xludf.DUMMYFUNCTION("""COMPUTED_VALUE"""),"visione")</f>
        <v>visione</v>
      </c>
      <c r="B149" s="69" t="str">
        <f>IFERROR(__xludf.DUMMYFUNCTION("""COMPUTED_VALUE"""),"Visione")</f>
        <v>Visione</v>
      </c>
      <c r="C149" s="70">
        <f>IFERROR(__xludf.DUMMYFUNCTION("""COMPUTED_VALUE"""),198000.0)</f>
        <v>198000</v>
      </c>
      <c r="D149" s="70" t="str">
        <f>IFERROR(__xludf.DUMMYFUNCTION("""COMPUTED_VALUE"""),"Deportivo")</f>
        <v>Deportivo</v>
      </c>
      <c r="E149" s="71" t="str">
        <f>IFERROR(__xludf.DUMMYFUNCTION("""COMPUTED_VALUE"""),"https://docs.fivem.net/vehicles/visione.webp")</f>
        <v>https://docs.fivem.net/vehicles/visione.webp</v>
      </c>
    </row>
    <row r="150" ht="15.75" customHeight="1">
      <c r="A150" s="69" t="str">
        <f>IFERROR(__xludf.DUMMYFUNCTION("""COMPUTED_VALUE"""),"vorschlaghammer")</f>
        <v>vorschlaghammer</v>
      </c>
      <c r="B150" s="69" t="str">
        <f>IFERROR(__xludf.DUMMYFUNCTION("""COMPUTED_VALUE"""),"Vorschlaghammer")</f>
        <v>Vorschlaghammer</v>
      </c>
      <c r="C150" s="70">
        <f>IFERROR(__xludf.DUMMYFUNCTION("""COMPUTED_VALUE"""),65000.0)</f>
        <v>65000</v>
      </c>
      <c r="D150" s="70" t="str">
        <f>IFERROR(__xludf.DUMMYFUNCTION("""COMPUTED_VALUE"""),"Deportivo")</f>
        <v>Deportivo</v>
      </c>
      <c r="E150" s="71" t="str">
        <f>IFERROR(__xludf.DUMMYFUNCTION("""COMPUTED_VALUE"""),"https://docs.fivem.net/vehicles/vorschlaghammer.webp")</f>
        <v>https://docs.fivem.net/vehicles/vorschlaghammer.webp</v>
      </c>
    </row>
    <row r="151" ht="15.75" customHeight="1">
      <c r="A151" s="69" t="str">
        <f>IFERROR(__xludf.DUMMYFUNCTION("""COMPUTED_VALUE"""),"vstr")</f>
        <v>vstr</v>
      </c>
      <c r="B151" s="69" t="str">
        <f>IFERROR(__xludf.DUMMYFUNCTION("""COMPUTED_VALUE"""),"V-STR")</f>
        <v>V-STR</v>
      </c>
      <c r="C151" s="70">
        <f>IFERROR(__xludf.DUMMYFUNCTION("""COMPUTED_VALUE"""),88500.0)</f>
        <v>88500</v>
      </c>
      <c r="D151" s="70" t="str">
        <f>IFERROR(__xludf.DUMMYFUNCTION("""COMPUTED_VALUE"""),"Deportivo")</f>
        <v>Deportivo</v>
      </c>
      <c r="E151" s="71" t="str">
        <f>IFERROR(__xludf.DUMMYFUNCTION("""COMPUTED_VALUE"""),"https://docs.fivem.net/vehicles/vstr.webp")</f>
        <v>https://docs.fivem.net/vehicles/vstr.webp</v>
      </c>
    </row>
    <row r="152" ht="15.75" customHeight="1">
      <c r="A152" s="69" t="str">
        <f>IFERROR(__xludf.DUMMYFUNCTION("""COMPUTED_VALUE"""),"zr350")</f>
        <v>zr350</v>
      </c>
      <c r="B152" s="69" t="str">
        <f>IFERROR(__xludf.DUMMYFUNCTION("""COMPUTED_VALUE"""),"ZR350")</f>
        <v>ZR350</v>
      </c>
      <c r="C152" s="70">
        <f>IFERROR(__xludf.DUMMYFUNCTION("""COMPUTED_VALUE"""),83500.0)</f>
        <v>83500</v>
      </c>
      <c r="D152" s="70" t="str">
        <f>IFERROR(__xludf.DUMMYFUNCTION("""COMPUTED_VALUE"""),"Deportivo")</f>
        <v>Deportivo</v>
      </c>
      <c r="E152" s="71" t="str">
        <f>IFERROR(__xludf.DUMMYFUNCTION("""COMPUTED_VALUE"""),"https://docs.fivem.net/vehicles/zr350.webp")</f>
        <v>https://docs.fivem.net/vehicles/zr350.webp</v>
      </c>
    </row>
    <row r="153" ht="15.75" customHeight="1">
      <c r="A153" s="69" t="str">
        <f>IFERROR(__xludf.DUMMYFUNCTION("""COMPUTED_VALUE"""),"btype")</f>
        <v>btype</v>
      </c>
      <c r="B153" s="69" t="str">
        <f>IFERROR(__xludf.DUMMYFUNCTION("""COMPUTED_VALUE"""),"Roosevelt")</f>
        <v>Roosevelt</v>
      </c>
      <c r="C153" s="70">
        <f>IFERROR(__xludf.DUMMYFUNCTION("""COMPUTED_VALUE"""),64000.0)</f>
        <v>64000</v>
      </c>
      <c r="D153" s="70" t="str">
        <f>IFERROR(__xludf.DUMMYFUNCTION("""COMPUTED_VALUE"""),"Deportivo clasico")</f>
        <v>Deportivo clasico</v>
      </c>
      <c r="E153" s="71" t="str">
        <f>IFERROR(__xludf.DUMMYFUNCTION("""COMPUTED_VALUE"""),"https://docs.fivem.net/vehicles/btype.webp")</f>
        <v>https://docs.fivem.net/vehicles/btype.webp</v>
      </c>
    </row>
    <row r="154" ht="15.75" customHeight="1">
      <c r="A154" s="69" t="str">
        <f>IFERROR(__xludf.DUMMYFUNCTION("""COMPUTED_VALUE"""),"btype")</f>
        <v>btype</v>
      </c>
      <c r="B154" s="69" t="str">
        <f>IFERROR(__xludf.DUMMYFUNCTION("""COMPUTED_VALUE"""),"Roosevelt")</f>
        <v>Roosevelt</v>
      </c>
      <c r="C154" s="70">
        <f>IFERROR(__xludf.DUMMYFUNCTION("""COMPUTED_VALUE"""),64000.0)</f>
        <v>64000</v>
      </c>
      <c r="D154" s="70" t="str">
        <f>IFERROR(__xludf.DUMMYFUNCTION("""COMPUTED_VALUE"""),"Deportivo clasico")</f>
        <v>Deportivo clasico</v>
      </c>
      <c r="E154" s="71" t="str">
        <f>IFERROR(__xludf.DUMMYFUNCTION("""COMPUTED_VALUE"""),"https://docs.fivem.net/vehicles/btype.webp")</f>
        <v>https://docs.fivem.net/vehicles/btype.webp</v>
      </c>
    </row>
    <row r="155" ht="15.75" customHeight="1">
      <c r="A155" s="69" t="str">
        <f>IFERROR(__xludf.DUMMYFUNCTION("""COMPUTED_VALUE"""),"btype2")</f>
        <v>btype2</v>
      </c>
      <c r="B155" s="69" t="str">
        <f>IFERROR(__xludf.DUMMYFUNCTION("""COMPUTED_VALUE"""),"Franken Stange")</f>
        <v>Franken Stange</v>
      </c>
      <c r="C155" s="70">
        <f>IFERROR(__xludf.DUMMYFUNCTION("""COMPUTED_VALUE"""),75000.0)</f>
        <v>75000</v>
      </c>
      <c r="D155" s="70" t="str">
        <f>IFERROR(__xludf.DUMMYFUNCTION("""COMPUTED_VALUE"""),"Deportivo clasico")</f>
        <v>Deportivo clasico</v>
      </c>
      <c r="E155" s="71" t="str">
        <f>IFERROR(__xludf.DUMMYFUNCTION("""COMPUTED_VALUE"""),"https://docs.fivem.net/vehicles/btype2.webp")</f>
        <v>https://docs.fivem.net/vehicles/btype2.webp</v>
      </c>
    </row>
    <row r="156" ht="15.75" customHeight="1">
      <c r="A156" s="69" t="str">
        <f>IFERROR(__xludf.DUMMYFUNCTION("""COMPUTED_VALUE"""),"btype3")</f>
        <v>btype3</v>
      </c>
      <c r="B156" s="69" t="str">
        <f>IFERROR(__xludf.DUMMYFUNCTION("""COMPUTED_VALUE"""),"Roosevelt Valor")</f>
        <v>Roosevelt Valor</v>
      </c>
      <c r="C156" s="70">
        <f>IFERROR(__xludf.DUMMYFUNCTION("""COMPUTED_VALUE"""),65000.0)</f>
        <v>65000</v>
      </c>
      <c r="D156" s="70" t="str">
        <f>IFERROR(__xludf.DUMMYFUNCTION("""COMPUTED_VALUE"""),"Deportivo clasico")</f>
        <v>Deportivo clasico</v>
      </c>
      <c r="E156" s="71" t="str">
        <f>IFERROR(__xludf.DUMMYFUNCTION("""COMPUTED_VALUE"""),"https://docs.fivem.net/vehicles/btype3.webp")</f>
        <v>https://docs.fivem.net/vehicles/btype3.webp</v>
      </c>
    </row>
    <row r="157" ht="15.75" customHeight="1">
      <c r="A157" s="69" t="str">
        <f>IFERROR(__xludf.DUMMYFUNCTION("""COMPUTED_VALUE"""),"casco")</f>
        <v>casco</v>
      </c>
      <c r="B157" s="69" t="str">
        <f>IFERROR(__xludf.DUMMYFUNCTION("""COMPUTED_VALUE"""),"Casco")</f>
        <v>Casco</v>
      </c>
      <c r="C157" s="70">
        <f>IFERROR(__xludf.DUMMYFUNCTION("""COMPUTED_VALUE"""),85000.0)</f>
        <v>85000</v>
      </c>
      <c r="D157" s="70" t="str">
        <f>IFERROR(__xludf.DUMMYFUNCTION("""COMPUTED_VALUE"""),"Deportivo clasico")</f>
        <v>Deportivo clasico</v>
      </c>
      <c r="E157" s="71" t="str">
        <f>IFERROR(__xludf.DUMMYFUNCTION("""COMPUTED_VALUE"""),"https://docs.fivem.net/vehicles/casco.webp")</f>
        <v>https://docs.fivem.net/vehicles/casco.webp</v>
      </c>
    </row>
    <row r="158" ht="15.75" customHeight="1">
      <c r="A158" s="69" t="str">
        <f>IFERROR(__xludf.DUMMYFUNCTION("""COMPUTED_VALUE"""),"cheburek")</f>
        <v>cheburek</v>
      </c>
      <c r="B158" s="69" t="str">
        <f>IFERROR(__xludf.DUMMYFUNCTION("""COMPUTED_VALUE"""),"Cheburek")</f>
        <v>Cheburek</v>
      </c>
      <c r="C158" s="70">
        <f>IFERROR(__xludf.DUMMYFUNCTION("""COMPUTED_VALUE"""),28000.0)</f>
        <v>28000</v>
      </c>
      <c r="D158" s="70" t="str">
        <f>IFERROR(__xludf.DUMMYFUNCTION("""COMPUTED_VALUE"""),"Deportivo clasico")</f>
        <v>Deportivo clasico</v>
      </c>
      <c r="E158" s="71" t="str">
        <f>IFERROR(__xludf.DUMMYFUNCTION("""COMPUTED_VALUE"""),"https://docs.fivem.net/vehicles/cheburek.webp")</f>
        <v>https://docs.fivem.net/vehicles/cheburek.webp</v>
      </c>
    </row>
    <row r="159" ht="15.75" customHeight="1">
      <c r="A159" s="69" t="str">
        <f>IFERROR(__xludf.DUMMYFUNCTION("""COMPUTED_VALUE"""),"coquette2")</f>
        <v>coquette2</v>
      </c>
      <c r="B159" s="69" t="str">
        <f>IFERROR(__xludf.DUMMYFUNCTION("""COMPUTED_VALUE"""),"Coquette Classic")</f>
        <v>Coquette Classic</v>
      </c>
      <c r="C159" s="70">
        <f>IFERROR(__xludf.DUMMYFUNCTION("""COMPUTED_VALUE"""),115000.0)</f>
        <v>115000</v>
      </c>
      <c r="D159" s="70" t="str">
        <f>IFERROR(__xludf.DUMMYFUNCTION("""COMPUTED_VALUE"""),"Deportivo clasico")</f>
        <v>Deportivo clasico</v>
      </c>
      <c r="E159" s="71" t="str">
        <f>IFERROR(__xludf.DUMMYFUNCTION("""COMPUTED_VALUE"""),"https://docs.fivem.net/vehicles/coquette2.webp")</f>
        <v>https://docs.fivem.net/vehicles/coquette2.webp</v>
      </c>
    </row>
    <row r="160" ht="15.75" customHeight="1">
      <c r="A160" s="69" t="str">
        <f>IFERROR(__xludf.DUMMYFUNCTION("""COMPUTED_VALUE"""),"coquette3")</f>
        <v>coquette3</v>
      </c>
      <c r="B160" s="69" t="str">
        <f>IFERROR(__xludf.DUMMYFUNCTION("""COMPUTED_VALUE"""),"Coquette BlackFin")</f>
        <v>Coquette BlackFin</v>
      </c>
      <c r="C160" s="70">
        <f>IFERROR(__xludf.DUMMYFUNCTION("""COMPUTED_VALUE"""),98500.0)</f>
        <v>98500</v>
      </c>
      <c r="D160" s="70" t="str">
        <f>IFERROR(__xludf.DUMMYFUNCTION("""COMPUTED_VALUE"""),"Deportivo clasico")</f>
        <v>Deportivo clasico</v>
      </c>
      <c r="E160" s="71" t="str">
        <f>IFERROR(__xludf.DUMMYFUNCTION("""COMPUTED_VALUE"""),"https://docs.fivem.net/vehicles/coquette3.webp")</f>
        <v>https://docs.fivem.net/vehicles/coquette3.webp</v>
      </c>
    </row>
    <row r="161" ht="15.75" customHeight="1">
      <c r="A161" s="69" t="str">
        <f>IFERROR(__xludf.DUMMYFUNCTION("""COMPUTED_VALUE"""),"driftnebula")</f>
        <v>driftnebula</v>
      </c>
      <c r="B161" s="69" t="str">
        <f>IFERROR(__xludf.DUMMYFUNCTION("""COMPUTED_VALUE"""),"Nebula Turbo")</f>
        <v>Nebula Turbo</v>
      </c>
      <c r="C161" s="70">
        <f>IFERROR(__xludf.DUMMYFUNCTION("""COMPUTED_VALUE"""),38500.0)</f>
        <v>38500</v>
      </c>
      <c r="D161" s="70" t="str">
        <f>IFERROR(__xludf.DUMMYFUNCTION("""COMPUTED_VALUE"""),"Deportivo clasico")</f>
        <v>Deportivo clasico</v>
      </c>
      <c r="E161" s="71" t="str">
        <f>IFERROR(__xludf.DUMMYFUNCTION("""COMPUTED_VALUE"""),"https://docs.fivem.net/vehicles/driftnebula.webp")</f>
        <v>https://docs.fivem.net/vehicles/driftnebula.webp</v>
      </c>
    </row>
    <row r="162" ht="15.75" customHeight="1">
      <c r="A162" s="69" t="str">
        <f>IFERROR(__xludf.DUMMYFUNCTION("""COMPUTED_VALUE"""),"dynasty")</f>
        <v>dynasty</v>
      </c>
      <c r="B162" s="69" t="str">
        <f>IFERROR(__xludf.DUMMYFUNCTION("""COMPUTED_VALUE"""),"Dynasty")</f>
        <v>Dynasty</v>
      </c>
      <c r="C162" s="70">
        <f>IFERROR(__xludf.DUMMYFUNCTION("""COMPUTED_VALUE"""),12000.0)</f>
        <v>12000</v>
      </c>
      <c r="D162" s="70" t="str">
        <f>IFERROR(__xludf.DUMMYFUNCTION("""COMPUTED_VALUE"""),"Deportivo clasico")</f>
        <v>Deportivo clasico</v>
      </c>
      <c r="E162" s="71" t="str">
        <f>IFERROR(__xludf.DUMMYFUNCTION("""COMPUTED_VALUE"""),"https://docs.fivem.net/vehicles/dynasty.webp")</f>
        <v>https://docs.fivem.net/vehicles/dynasty.webp</v>
      </c>
    </row>
    <row r="163" ht="15.75" customHeight="1">
      <c r="A163" s="69" t="str">
        <f>IFERROR(__xludf.DUMMYFUNCTION("""COMPUTED_VALUE"""),"envisage")</f>
        <v>envisage</v>
      </c>
      <c r="B163" s="69" t="str">
        <f>IFERROR(__xludf.DUMMYFUNCTION("""COMPUTED_VALUE"""),"Envisage")</f>
        <v>Envisage</v>
      </c>
      <c r="C163" s="70">
        <f>IFERROR(__xludf.DUMMYFUNCTION("""COMPUTED_VALUE"""),96500.0)</f>
        <v>96500</v>
      </c>
      <c r="D163" s="70" t="str">
        <f>IFERROR(__xludf.DUMMYFUNCTION("""COMPUTED_VALUE"""),"Deportivo clasico")</f>
        <v>Deportivo clasico</v>
      </c>
      <c r="E163" s="71" t="str">
        <f>IFERROR(__xludf.DUMMYFUNCTION("""COMPUTED_VALUE"""),"https://docs.fivem.net/vehicles/envisage.webp")</f>
        <v>https://docs.fivem.net/vehicles/envisage.webp</v>
      </c>
    </row>
    <row r="164" ht="15.75" customHeight="1">
      <c r="A164" s="69" t="str">
        <f>IFERROR(__xludf.DUMMYFUNCTION("""COMPUTED_VALUE"""),"fagaloa")</f>
        <v>fagaloa</v>
      </c>
      <c r="B164" s="69" t="str">
        <f>IFERROR(__xludf.DUMMYFUNCTION("""COMPUTED_VALUE"""),"Fagaloa")</f>
        <v>Fagaloa</v>
      </c>
      <c r="C164" s="70">
        <f>IFERROR(__xludf.DUMMYFUNCTION("""COMPUTED_VALUE"""),9000.0)</f>
        <v>9000</v>
      </c>
      <c r="D164" s="70" t="str">
        <f>IFERROR(__xludf.DUMMYFUNCTION("""COMPUTED_VALUE"""),"Deportivo clasico")</f>
        <v>Deportivo clasico</v>
      </c>
      <c r="E164" s="71" t="str">
        <f>IFERROR(__xludf.DUMMYFUNCTION("""COMPUTED_VALUE"""),"https://docs.fivem.net/vehicles/fagaloa.webp")</f>
        <v>https://docs.fivem.net/vehicles/fagaloa.webp</v>
      </c>
    </row>
    <row r="165" ht="15.75" customHeight="1">
      <c r="A165" s="69" t="str">
        <f>IFERROR(__xludf.DUMMYFUNCTION("""COMPUTED_VALUE"""),"feltzer3")</f>
        <v>feltzer3</v>
      </c>
      <c r="B165" s="69" t="str">
        <f>IFERROR(__xludf.DUMMYFUNCTION("""COMPUTED_VALUE"""),"Stirling GT")</f>
        <v>Stirling GT</v>
      </c>
      <c r="C165" s="70">
        <f>IFERROR(__xludf.DUMMYFUNCTION("""COMPUTED_VALUE"""),82000.0)</f>
        <v>82000</v>
      </c>
      <c r="D165" s="70" t="str">
        <f>IFERROR(__xludf.DUMMYFUNCTION("""COMPUTED_VALUE"""),"Deportivo clasico")</f>
        <v>Deportivo clasico</v>
      </c>
      <c r="E165" s="71" t="str">
        <f>IFERROR(__xludf.DUMMYFUNCTION("""COMPUTED_VALUE"""),"https://docs.fivem.net/vehicles/feltzer3.webp")</f>
        <v>https://docs.fivem.net/vehicles/feltzer3.webp</v>
      </c>
    </row>
    <row r="166" ht="15.75" customHeight="1">
      <c r="A166" s="69" t="str">
        <f>IFERROR(__xludf.DUMMYFUNCTION("""COMPUTED_VALUE"""),"gt500")</f>
        <v>gt500</v>
      </c>
      <c r="B166" s="69" t="str">
        <f>IFERROR(__xludf.DUMMYFUNCTION("""COMPUTED_VALUE"""),"GT500")</f>
        <v>GT500</v>
      </c>
      <c r="C166" s="70">
        <f>IFERROR(__xludf.DUMMYFUNCTION("""COMPUTED_VALUE"""),72000.0)</f>
        <v>72000</v>
      </c>
      <c r="D166" s="70" t="str">
        <f>IFERROR(__xludf.DUMMYFUNCTION("""COMPUTED_VALUE"""),"Deportivo clasico")</f>
        <v>Deportivo clasico</v>
      </c>
      <c r="E166" s="71" t="str">
        <f>IFERROR(__xludf.DUMMYFUNCTION("""COMPUTED_VALUE"""),"https://docs.fivem.net/vehicles/gt500.webp")</f>
        <v>https://docs.fivem.net/vehicles/gt500.webp</v>
      </c>
    </row>
    <row r="167" ht="15.75" customHeight="1">
      <c r="A167" s="69" t="str">
        <f>IFERROR(__xludf.DUMMYFUNCTION("""COMPUTED_VALUE"""),"infernus2")</f>
        <v>infernus2</v>
      </c>
      <c r="B167" s="69" t="str">
        <f>IFERROR(__xludf.DUMMYFUNCTION("""COMPUTED_VALUE"""),"Infernus Classic")</f>
        <v>Infernus Classic</v>
      </c>
      <c r="C167" s="70">
        <f>IFERROR(__xludf.DUMMYFUNCTION("""COMPUTED_VALUE"""),158000.0)</f>
        <v>158000</v>
      </c>
      <c r="D167" s="70" t="str">
        <f>IFERROR(__xludf.DUMMYFUNCTION("""COMPUTED_VALUE"""),"Deportivo clasico")</f>
        <v>Deportivo clasico</v>
      </c>
      <c r="E167" s="71" t="str">
        <f>IFERROR(__xludf.DUMMYFUNCTION("""COMPUTED_VALUE"""),"https://docs.fivem.net/vehicles/infernus2.webp")</f>
        <v>https://docs.fivem.net/vehicles/infernus2.webp</v>
      </c>
    </row>
    <row r="168" ht="15.75" customHeight="1">
      <c r="A168" s="69" t="str">
        <f>IFERROR(__xludf.DUMMYFUNCTION("""COMPUTED_VALUE"""),"jb7002")</f>
        <v>jb7002</v>
      </c>
      <c r="B168" s="69" t="str">
        <f>IFERROR(__xludf.DUMMYFUNCTION("""COMPUTED_VALUE"""),"JB 700W")</f>
        <v>JB 700W</v>
      </c>
      <c r="C168" s="70">
        <f>IFERROR(__xludf.DUMMYFUNCTION("""COMPUTED_VALUE"""),65000.0)</f>
        <v>65000</v>
      </c>
      <c r="D168" s="70" t="str">
        <f>IFERROR(__xludf.DUMMYFUNCTION("""COMPUTED_VALUE"""),"Deportivo clasico")</f>
        <v>Deportivo clasico</v>
      </c>
      <c r="E168" s="71" t="str">
        <f>IFERROR(__xludf.DUMMYFUNCTION("""COMPUTED_VALUE"""),"https://docs.fivem.net/vehicles/jb7002.webp")</f>
        <v>https://docs.fivem.net/vehicles/jb7002.webp</v>
      </c>
    </row>
    <row r="169" ht="15.75" customHeight="1">
      <c r="A169" s="69" t="str">
        <f>IFERROR(__xludf.DUMMYFUNCTION("""COMPUTED_VALUE"""),"mamba")</f>
        <v>mamba</v>
      </c>
      <c r="B169" s="69" t="str">
        <f>IFERROR(__xludf.DUMMYFUNCTION("""COMPUTED_VALUE"""),"Mamba")</f>
        <v>Mamba</v>
      </c>
      <c r="C169" s="70">
        <f>IFERROR(__xludf.DUMMYFUNCTION("""COMPUTED_VALUE"""),140000.0)</f>
        <v>140000</v>
      </c>
      <c r="D169" s="70" t="str">
        <f>IFERROR(__xludf.DUMMYFUNCTION("""COMPUTED_VALUE"""),"Deportivo clasico")</f>
        <v>Deportivo clasico</v>
      </c>
      <c r="E169" s="71" t="str">
        <f>IFERROR(__xludf.DUMMYFUNCTION("""COMPUTED_VALUE"""),"https://docs.fivem.net/vehicles/mamba.webp")</f>
        <v>https://docs.fivem.net/vehicles/mamba.webp</v>
      </c>
    </row>
    <row r="170" ht="15.75" customHeight="1">
      <c r="A170" s="69" t="str">
        <f>IFERROR(__xludf.DUMMYFUNCTION("""COMPUTED_VALUE"""),"michelli")</f>
        <v>michelli</v>
      </c>
      <c r="B170" s="69" t="str">
        <f>IFERROR(__xludf.DUMMYFUNCTION("""COMPUTED_VALUE"""),"Michelli GT")</f>
        <v>Michelli GT</v>
      </c>
      <c r="C170" s="70">
        <f>IFERROR(__xludf.DUMMYFUNCTION("""COMPUTED_VALUE"""),34000.0)</f>
        <v>34000</v>
      </c>
      <c r="D170" s="70" t="str">
        <f>IFERROR(__xludf.DUMMYFUNCTION("""COMPUTED_VALUE"""),"Deportivo clasico")</f>
        <v>Deportivo clasico</v>
      </c>
      <c r="E170" s="71" t="str">
        <f>IFERROR(__xludf.DUMMYFUNCTION("""COMPUTED_VALUE"""),"https://docs.fivem.net/vehicles/michelli.webp")</f>
        <v>https://docs.fivem.net/vehicles/michelli.webp</v>
      </c>
    </row>
    <row r="171" ht="15.75" customHeight="1">
      <c r="A171" s="69" t="str">
        <f>IFERROR(__xludf.DUMMYFUNCTION("""COMPUTED_VALUE"""),"monroe")</f>
        <v>monroe</v>
      </c>
      <c r="B171" s="69" t="str">
        <f>IFERROR(__xludf.DUMMYFUNCTION("""COMPUTED_VALUE"""),"Monroe")</f>
        <v>Monroe</v>
      </c>
      <c r="C171" s="70">
        <f>IFERROR(__xludf.DUMMYFUNCTION("""COMPUTED_VALUE"""),115000.0)</f>
        <v>115000</v>
      </c>
      <c r="D171" s="70" t="str">
        <f>IFERROR(__xludf.DUMMYFUNCTION("""COMPUTED_VALUE"""),"Deportivo clasico")</f>
        <v>Deportivo clasico</v>
      </c>
      <c r="E171" s="71" t="str">
        <f>IFERROR(__xludf.DUMMYFUNCTION("""COMPUTED_VALUE"""),"https://docs.fivem.net/vehicles/monroe.webp")</f>
        <v>https://docs.fivem.net/vehicles/monroe.webp</v>
      </c>
    </row>
    <row r="172" ht="15.75" customHeight="1">
      <c r="A172" s="69" t="str">
        <f>IFERROR(__xludf.DUMMYFUNCTION("""COMPUTED_VALUE"""),"nebula")</f>
        <v>nebula</v>
      </c>
      <c r="B172" s="69" t="str">
        <f>IFERROR(__xludf.DUMMYFUNCTION("""COMPUTED_VALUE"""),"Nebula")</f>
        <v>Nebula</v>
      </c>
      <c r="C172" s="70">
        <f>IFERROR(__xludf.DUMMYFUNCTION("""COMPUTED_VALUE"""),34000.0)</f>
        <v>34000</v>
      </c>
      <c r="D172" s="70" t="str">
        <f>IFERROR(__xludf.DUMMYFUNCTION("""COMPUTED_VALUE"""),"Deportivo clasico")</f>
        <v>Deportivo clasico</v>
      </c>
      <c r="E172" s="71" t="str">
        <f>IFERROR(__xludf.DUMMYFUNCTION("""COMPUTED_VALUE"""),"https://docs.fivem.net/vehicles/nebula.webp")</f>
        <v>https://docs.fivem.net/vehicles/nebula.webp</v>
      </c>
    </row>
    <row r="173" ht="15.75" customHeight="1">
      <c r="A173" s="69" t="str">
        <f>IFERROR(__xludf.DUMMYFUNCTION("""COMPUTED_VALUE"""),"peyote")</f>
        <v>peyote</v>
      </c>
      <c r="B173" s="69" t="str">
        <f>IFERROR(__xludf.DUMMYFUNCTION("""COMPUTED_VALUE"""),"Peyote")</f>
        <v>Peyote</v>
      </c>
      <c r="C173" s="70">
        <f>IFERROR(__xludf.DUMMYFUNCTION("""COMPUTED_VALUE"""),23500.0)</f>
        <v>23500</v>
      </c>
      <c r="D173" s="70" t="str">
        <f>IFERROR(__xludf.DUMMYFUNCTION("""COMPUTED_VALUE"""),"Deportivo clasico")</f>
        <v>Deportivo clasico</v>
      </c>
      <c r="E173" s="71" t="str">
        <f>IFERROR(__xludf.DUMMYFUNCTION("""COMPUTED_VALUE"""),"https://docs.fivem.net/vehicles/peyote.webp")</f>
        <v>https://docs.fivem.net/vehicles/peyote.webp</v>
      </c>
    </row>
    <row r="174" ht="15.75" customHeight="1">
      <c r="A174" s="69" t="str">
        <f>IFERROR(__xludf.DUMMYFUNCTION("""COMPUTED_VALUE"""),"peyote2")</f>
        <v>peyote2</v>
      </c>
      <c r="B174" s="69" t="str">
        <f>IFERROR(__xludf.DUMMYFUNCTION("""COMPUTED_VALUE"""),"Peyote Gasser")</f>
        <v>Peyote Gasser</v>
      </c>
      <c r="C174" s="70">
        <f>IFERROR(__xludf.DUMMYFUNCTION("""COMPUTED_VALUE"""),64500.0)</f>
        <v>64500</v>
      </c>
      <c r="D174" s="70" t="str">
        <f>IFERROR(__xludf.DUMMYFUNCTION("""COMPUTED_VALUE"""),"Deportivo clasico")</f>
        <v>Deportivo clasico</v>
      </c>
      <c r="E174" s="71" t="str">
        <f>IFERROR(__xludf.DUMMYFUNCTION("""COMPUTED_VALUE"""),"https://docs.fivem.net/vehicles/peyote2.webp")</f>
        <v>https://docs.fivem.net/vehicles/peyote2.webp</v>
      </c>
    </row>
    <row r="175" ht="15.75" customHeight="1">
      <c r="A175" s="69" t="str">
        <f>IFERROR(__xludf.DUMMYFUNCTION("""COMPUTED_VALUE"""),"peyote3")</f>
        <v>peyote3</v>
      </c>
      <c r="B175" s="69" t="str">
        <f>IFERROR(__xludf.DUMMYFUNCTION("""COMPUTED_VALUE"""),"Peyote Custom")</f>
        <v>Peyote Custom</v>
      </c>
      <c r="C175" s="70">
        <f>IFERROR(__xludf.DUMMYFUNCTION("""COMPUTED_VALUE"""),35000.0)</f>
        <v>35000</v>
      </c>
      <c r="D175" s="70" t="str">
        <f>IFERROR(__xludf.DUMMYFUNCTION("""COMPUTED_VALUE"""),"Deportivo clasico")</f>
        <v>Deportivo clasico</v>
      </c>
      <c r="E175" s="71" t="str">
        <f>IFERROR(__xludf.DUMMYFUNCTION("""COMPUTED_VALUE"""),"https://docs.fivem.net/vehicles/peyote3.webp")</f>
        <v>https://docs.fivem.net/vehicles/peyote3.webp</v>
      </c>
    </row>
    <row r="176" ht="15.75" customHeight="1">
      <c r="A176" s="69" t="str">
        <f>IFERROR(__xludf.DUMMYFUNCTION("""COMPUTED_VALUE"""),"pigalle")</f>
        <v>pigalle</v>
      </c>
      <c r="B176" s="69" t="str">
        <f>IFERROR(__xludf.DUMMYFUNCTION("""COMPUTED_VALUE"""),"Pigalle")</f>
        <v>Pigalle</v>
      </c>
      <c r="C176" s="70">
        <f>IFERROR(__xludf.DUMMYFUNCTION("""COMPUTED_VALUE"""),82000.0)</f>
        <v>82000</v>
      </c>
      <c r="D176" s="70" t="str">
        <f>IFERROR(__xludf.DUMMYFUNCTION("""COMPUTED_VALUE"""),"Deportivo clasico")</f>
        <v>Deportivo clasico</v>
      </c>
      <c r="E176" s="71" t="str">
        <f>IFERROR(__xludf.DUMMYFUNCTION("""COMPUTED_VALUE"""),"https://docs.fivem.net/vehicles/pigalle.webp")</f>
        <v>https://docs.fivem.net/vehicles/pigalle.webp</v>
      </c>
    </row>
    <row r="177" ht="15.75" customHeight="1">
      <c r="A177" s="69" t="str">
        <f>IFERROR(__xludf.DUMMYFUNCTION("""COMPUTED_VALUE"""),"rapidgt3")</f>
        <v>rapidgt3</v>
      </c>
      <c r="B177" s="69" t="str">
        <f>IFERROR(__xludf.DUMMYFUNCTION("""COMPUTED_VALUE"""),"Rapid GT Classic")</f>
        <v>Rapid GT Classic</v>
      </c>
      <c r="C177" s="70">
        <f>IFERROR(__xludf.DUMMYFUNCTION("""COMPUTED_VALUE"""),48000.0)</f>
        <v>48000</v>
      </c>
      <c r="D177" s="70" t="str">
        <f>IFERROR(__xludf.DUMMYFUNCTION("""COMPUTED_VALUE"""),"Deportivo clasico")</f>
        <v>Deportivo clasico</v>
      </c>
      <c r="E177" s="71" t="str">
        <f>IFERROR(__xludf.DUMMYFUNCTION("""COMPUTED_VALUE"""),"https://docs.fivem.net/vehicles/rapidgt3.webp")</f>
        <v>https://docs.fivem.net/vehicles/rapidgt3.webp</v>
      </c>
    </row>
    <row r="178" ht="15.75" customHeight="1">
      <c r="A178" s="69" t="str">
        <f>IFERROR(__xludf.DUMMYFUNCTION("""COMPUTED_VALUE"""),"retinue")</f>
        <v>retinue</v>
      </c>
      <c r="B178" s="69" t="str">
        <f>IFERROR(__xludf.DUMMYFUNCTION("""COMPUTED_VALUE"""),"Retinue")</f>
        <v>Retinue</v>
      </c>
      <c r="C178" s="70">
        <f>IFERROR(__xludf.DUMMYFUNCTION("""COMPUTED_VALUE"""),38500.0)</f>
        <v>38500</v>
      </c>
      <c r="D178" s="70" t="str">
        <f>IFERROR(__xludf.DUMMYFUNCTION("""COMPUTED_VALUE"""),"Deportivo clasico")</f>
        <v>Deportivo clasico</v>
      </c>
      <c r="E178" s="71" t="str">
        <f>IFERROR(__xludf.DUMMYFUNCTION("""COMPUTED_VALUE"""),"https://docs.fivem.net/vehicles/retinue.webp")</f>
        <v>https://docs.fivem.net/vehicles/retinue.webp</v>
      </c>
    </row>
    <row r="179" ht="15.75" customHeight="1">
      <c r="A179" s="69" t="str">
        <f>IFERROR(__xludf.DUMMYFUNCTION("""COMPUTED_VALUE"""),"retinue2")</f>
        <v>retinue2</v>
      </c>
      <c r="B179" s="69" t="str">
        <f>IFERROR(__xludf.DUMMYFUNCTION("""COMPUTED_VALUE"""),"Retinue MKII")</f>
        <v>Retinue MKII</v>
      </c>
      <c r="C179" s="70">
        <f>IFERROR(__xludf.DUMMYFUNCTION("""COMPUTED_VALUE"""),41500.0)</f>
        <v>41500</v>
      </c>
      <c r="D179" s="70" t="str">
        <f>IFERROR(__xludf.DUMMYFUNCTION("""COMPUTED_VALUE"""),"Deportivo clasico")</f>
        <v>Deportivo clasico</v>
      </c>
      <c r="E179" s="71" t="str">
        <f>IFERROR(__xludf.DUMMYFUNCTION("""COMPUTED_VALUE"""),"https://docs.fivem.net/vehicles/retinue2.webp")</f>
        <v>https://docs.fivem.net/vehicles/retinue2.webp</v>
      </c>
    </row>
    <row r="180" ht="15.75" customHeight="1">
      <c r="A180" s="69" t="str">
        <f>IFERROR(__xludf.DUMMYFUNCTION("""COMPUTED_VALUE"""),"savestra")</f>
        <v>savestra</v>
      </c>
      <c r="B180" s="69" t="str">
        <f>IFERROR(__xludf.DUMMYFUNCTION("""COMPUTED_VALUE"""),"Savestra")</f>
        <v>Savestra</v>
      </c>
      <c r="C180" s="70">
        <f>IFERROR(__xludf.DUMMYFUNCTION("""COMPUTED_VALUE"""),48000.0)</f>
        <v>48000</v>
      </c>
      <c r="D180" s="70" t="str">
        <f>IFERROR(__xludf.DUMMYFUNCTION("""COMPUTED_VALUE"""),"Deportivo clasico")</f>
        <v>Deportivo clasico</v>
      </c>
      <c r="E180" s="71" t="str">
        <f>IFERROR(__xludf.DUMMYFUNCTION("""COMPUTED_VALUE"""),"https://docs.fivem.net/vehicles/savestra.webp")</f>
        <v>https://docs.fivem.net/vehicles/savestra.webp</v>
      </c>
    </row>
    <row r="181" ht="15.75" customHeight="1">
      <c r="A181" s="69" t="str">
        <f>IFERROR(__xludf.DUMMYFUNCTION("""COMPUTED_VALUE"""),"stinger")</f>
        <v>stinger</v>
      </c>
      <c r="B181" s="69" t="str">
        <f>IFERROR(__xludf.DUMMYFUNCTION("""COMPUTED_VALUE"""),"Stinger")</f>
        <v>Stinger</v>
      </c>
      <c r="C181" s="70">
        <f>IFERROR(__xludf.DUMMYFUNCTION("""COMPUTED_VALUE"""),46500.0)</f>
        <v>46500</v>
      </c>
      <c r="D181" s="70" t="str">
        <f>IFERROR(__xludf.DUMMYFUNCTION("""COMPUTED_VALUE"""),"Deportivo clasico")</f>
        <v>Deportivo clasico</v>
      </c>
      <c r="E181" s="71" t="str">
        <f>IFERROR(__xludf.DUMMYFUNCTION("""COMPUTED_VALUE"""),"https://docs.fivem.net/vehicles/stinger.webp")</f>
        <v>https://docs.fivem.net/vehicles/stinger.webp</v>
      </c>
    </row>
    <row r="182" ht="15.75" customHeight="1">
      <c r="A182" s="69" t="str">
        <f>IFERROR(__xludf.DUMMYFUNCTION("""COMPUTED_VALUE"""),"stingergt")</f>
        <v>stingergt</v>
      </c>
      <c r="B182" s="69" t="str">
        <f>IFERROR(__xludf.DUMMYFUNCTION("""COMPUTED_VALUE"""),"Stinger GT")</f>
        <v>Stinger GT</v>
      </c>
      <c r="C182" s="70">
        <f>IFERROR(__xludf.DUMMYFUNCTION("""COMPUTED_VALUE"""),48000.0)</f>
        <v>48000</v>
      </c>
      <c r="D182" s="70" t="str">
        <f>IFERROR(__xludf.DUMMYFUNCTION("""COMPUTED_VALUE"""),"Deportivo clasico")</f>
        <v>Deportivo clasico</v>
      </c>
      <c r="E182" s="71" t="str">
        <f>IFERROR(__xludf.DUMMYFUNCTION("""COMPUTED_VALUE"""),"https://docs.fivem.net/vehicles/stingergt.webp")</f>
        <v>https://docs.fivem.net/vehicles/stingergt.webp</v>
      </c>
    </row>
    <row r="183" ht="15.75" customHeight="1">
      <c r="A183" s="69" t="str">
        <f>IFERROR(__xludf.DUMMYFUNCTION("""COMPUTED_VALUE"""),"swinger")</f>
        <v>swinger</v>
      </c>
      <c r="B183" s="69" t="str">
        <f>IFERROR(__xludf.DUMMYFUNCTION("""COMPUTED_VALUE"""),"Swinger")</f>
        <v>Swinger</v>
      </c>
      <c r="C183" s="70">
        <f>IFERROR(__xludf.DUMMYFUNCTION("""COMPUTED_VALUE"""),115000.0)</f>
        <v>115000</v>
      </c>
      <c r="D183" s="70" t="str">
        <f>IFERROR(__xludf.DUMMYFUNCTION("""COMPUTED_VALUE"""),"Deportivo clasico")</f>
        <v>Deportivo clasico</v>
      </c>
      <c r="E183" s="71" t="str">
        <f>IFERROR(__xludf.DUMMYFUNCTION("""COMPUTED_VALUE"""),"https://docs.fivem.net/vehicles/swinger.webp")</f>
        <v>https://docs.fivem.net/vehicles/swinger.webp</v>
      </c>
    </row>
    <row r="184" ht="15.75" customHeight="1">
      <c r="A184" s="69" t="str">
        <f>IFERROR(__xludf.DUMMYFUNCTION("""COMPUTED_VALUE"""),"torero")</f>
        <v>torero</v>
      </c>
      <c r="B184" s="69" t="str">
        <f>IFERROR(__xludf.DUMMYFUNCTION("""COMPUTED_VALUE"""),"Torero")</f>
        <v>Torero</v>
      </c>
      <c r="C184" s="70">
        <f>IFERROR(__xludf.DUMMYFUNCTION("""COMPUTED_VALUE"""),148000.0)</f>
        <v>148000</v>
      </c>
      <c r="D184" s="70" t="str">
        <f>IFERROR(__xludf.DUMMYFUNCTION("""COMPUTED_VALUE"""),"Deportivo clasico")</f>
        <v>Deportivo clasico</v>
      </c>
      <c r="E184" s="71" t="str">
        <f>IFERROR(__xludf.DUMMYFUNCTION("""COMPUTED_VALUE"""),"https://docs.fivem.net/vehicles/torero.webp")</f>
        <v>https://docs.fivem.net/vehicles/torero.webp</v>
      </c>
    </row>
    <row r="185" ht="15.75" customHeight="1">
      <c r="A185" s="69" t="str">
        <f>IFERROR(__xludf.DUMMYFUNCTION("""COMPUTED_VALUE"""),"tornado")</f>
        <v>tornado</v>
      </c>
      <c r="B185" s="69" t="str">
        <f>IFERROR(__xludf.DUMMYFUNCTION("""COMPUTED_VALUE"""),"Tornado")</f>
        <v>Tornado</v>
      </c>
      <c r="C185" s="70">
        <f>IFERROR(__xludf.DUMMYFUNCTION("""COMPUTED_VALUE"""),21000.0)</f>
        <v>21000</v>
      </c>
      <c r="D185" s="70" t="str">
        <f>IFERROR(__xludf.DUMMYFUNCTION("""COMPUTED_VALUE"""),"Deportivo clasico")</f>
        <v>Deportivo clasico</v>
      </c>
      <c r="E185" s="71" t="str">
        <f>IFERROR(__xludf.DUMMYFUNCTION("""COMPUTED_VALUE"""),"https://docs.fivem.net/vehicles/tornado.webp")</f>
        <v>https://docs.fivem.net/vehicles/tornado.webp</v>
      </c>
    </row>
    <row r="186" ht="15.75" customHeight="1">
      <c r="A186" s="69" t="str">
        <f>IFERROR(__xludf.DUMMYFUNCTION("""COMPUTED_VALUE"""),"tornado2")</f>
        <v>tornado2</v>
      </c>
      <c r="B186" s="69" t="str">
        <f>IFERROR(__xludf.DUMMYFUNCTION("""COMPUTED_VALUE"""),"Tornado Convertible")</f>
        <v>Tornado Convertible</v>
      </c>
      <c r="C186" s="70">
        <f>IFERROR(__xludf.DUMMYFUNCTION("""COMPUTED_VALUE"""),22000.0)</f>
        <v>22000</v>
      </c>
      <c r="D186" s="70" t="str">
        <f>IFERROR(__xludf.DUMMYFUNCTION("""COMPUTED_VALUE"""),"Deportivo clasico")</f>
        <v>Deportivo clasico</v>
      </c>
      <c r="E186" s="71" t="str">
        <f>IFERROR(__xludf.DUMMYFUNCTION("""COMPUTED_VALUE"""),"https://docs.fivem.net/vehicles/tornado2.webp")</f>
        <v>https://docs.fivem.net/vehicles/tornado2.webp</v>
      </c>
    </row>
    <row r="187" ht="15.75" customHeight="1">
      <c r="A187" s="69" t="str">
        <f>IFERROR(__xludf.DUMMYFUNCTION("""COMPUTED_VALUE"""),"tornado5")</f>
        <v>tornado5</v>
      </c>
      <c r="B187" s="69" t="str">
        <f>IFERROR(__xludf.DUMMYFUNCTION("""COMPUTED_VALUE"""),"Tornado Custom")</f>
        <v>Tornado Custom</v>
      </c>
      <c r="C187" s="70">
        <f>IFERROR(__xludf.DUMMYFUNCTION("""COMPUTED_VALUE"""),22000.0)</f>
        <v>22000</v>
      </c>
      <c r="D187" s="70" t="str">
        <f>IFERROR(__xludf.DUMMYFUNCTION("""COMPUTED_VALUE"""),"Deportivo clasico")</f>
        <v>Deportivo clasico</v>
      </c>
      <c r="E187" s="71" t="str">
        <f>IFERROR(__xludf.DUMMYFUNCTION("""COMPUTED_VALUE"""),"https://docs.fivem.net/vehicles/tornado5.webp")</f>
        <v>https://docs.fivem.net/vehicles/tornado5.webp</v>
      </c>
    </row>
    <row r="188" ht="15.75" customHeight="1">
      <c r="A188" s="69" t="str">
        <f>IFERROR(__xludf.DUMMYFUNCTION("""COMPUTED_VALUE"""),"turismo2")</f>
        <v>turismo2</v>
      </c>
      <c r="B188" s="69" t="str">
        <f>IFERROR(__xludf.DUMMYFUNCTION("""COMPUTED_VALUE"""),"Turismo Classic")</f>
        <v>Turismo Classic</v>
      </c>
      <c r="C188" s="70">
        <f>IFERROR(__xludf.DUMMYFUNCTION("""COMPUTED_VALUE"""),150000.0)</f>
        <v>150000</v>
      </c>
      <c r="D188" s="70" t="str">
        <f>IFERROR(__xludf.DUMMYFUNCTION("""COMPUTED_VALUE"""),"Deportivo clasico")</f>
        <v>Deportivo clasico</v>
      </c>
      <c r="E188" s="71" t="str">
        <f>IFERROR(__xludf.DUMMYFUNCTION("""COMPUTED_VALUE"""),"https://docs.fivem.net/vehicles/turismo2.webp")</f>
        <v>https://docs.fivem.net/vehicles/turismo2.webp</v>
      </c>
    </row>
    <row r="189" ht="15.75" customHeight="1">
      <c r="A189" s="69" t="str">
        <f>IFERROR(__xludf.DUMMYFUNCTION("""COMPUTED_VALUE"""),"viseris")</f>
        <v>viseris</v>
      </c>
      <c r="B189" s="69" t="str">
        <f>IFERROR(__xludf.DUMMYFUNCTION("""COMPUTED_VALUE"""),"Viseris")</f>
        <v>Viseris</v>
      </c>
      <c r="C189" s="70">
        <f>IFERROR(__xludf.DUMMYFUNCTION("""COMPUTED_VALUE"""),155000.0)</f>
        <v>155000</v>
      </c>
      <c r="D189" s="70" t="str">
        <f>IFERROR(__xludf.DUMMYFUNCTION("""COMPUTED_VALUE"""),"Deportivo clasico")</f>
        <v>Deportivo clasico</v>
      </c>
      <c r="E189" s="71" t="str">
        <f>IFERROR(__xludf.DUMMYFUNCTION("""COMPUTED_VALUE"""),"https://docs.fivem.net/vehicles/viseris.webp")</f>
        <v>https://docs.fivem.net/vehicles/viseris.webp</v>
      </c>
    </row>
    <row r="190" ht="15.75" customHeight="1">
      <c r="A190" s="69" t="str">
        <f>IFERROR(__xludf.DUMMYFUNCTION("""COMPUTED_VALUE"""),"z190")</f>
        <v>z190</v>
      </c>
      <c r="B190" s="69" t="str">
        <f>IFERROR(__xludf.DUMMYFUNCTION("""COMPUTED_VALUE"""),"190Z")</f>
        <v>190Z</v>
      </c>
      <c r="C190" s="70">
        <f>IFERROR(__xludf.DUMMYFUNCTION("""COMPUTED_VALUE"""),88000.0)</f>
        <v>88000</v>
      </c>
      <c r="D190" s="70" t="str">
        <f>IFERROR(__xludf.DUMMYFUNCTION("""COMPUTED_VALUE"""),"Deportivo clasico")</f>
        <v>Deportivo clasico</v>
      </c>
      <c r="E190" s="71" t="str">
        <f>IFERROR(__xludf.DUMMYFUNCTION("""COMPUTED_VALUE"""),"https://docs.fivem.net/vehicles/z190.webp")</f>
        <v>https://docs.fivem.net/vehicles/z190.webp</v>
      </c>
    </row>
    <row r="191" ht="15.75" customHeight="1">
      <c r="A191" s="69" t="str">
        <f>IFERROR(__xludf.DUMMYFUNCTION("""COMPUTED_VALUE"""),"zion3")</f>
        <v>zion3</v>
      </c>
      <c r="B191" s="69" t="str">
        <f>IFERROR(__xludf.DUMMYFUNCTION("""COMPUTED_VALUE"""),"Zion Classic")</f>
        <v>Zion Classic</v>
      </c>
      <c r="C191" s="70">
        <f>IFERROR(__xludf.DUMMYFUNCTION("""COMPUTED_VALUE"""),46500.0)</f>
        <v>46500</v>
      </c>
      <c r="D191" s="70" t="str">
        <f>IFERROR(__xludf.DUMMYFUNCTION("""COMPUTED_VALUE"""),"Deportivo clasico")</f>
        <v>Deportivo clasico</v>
      </c>
      <c r="E191" s="71" t="str">
        <f>IFERROR(__xludf.DUMMYFUNCTION("""COMPUTED_VALUE"""),"https://docs.fivem.net/vehicles/zion3.webp")</f>
        <v>https://docs.fivem.net/vehicles/zion3.webp</v>
      </c>
    </row>
    <row r="192" ht="15.75" customHeight="1">
      <c r="A192" s="69" t="str">
        <f>IFERROR(__xludf.DUMMYFUNCTION("""COMPUTED_VALUE"""),"bison")</f>
        <v>bison</v>
      </c>
      <c r="B192" s="69" t="str">
        <f>IFERROR(__xludf.DUMMYFUNCTION("""COMPUTED_VALUE"""),"Bison")</f>
        <v>Bison</v>
      </c>
      <c r="C192" s="70">
        <f>IFERROR(__xludf.DUMMYFUNCTION("""COMPUTED_VALUE"""),15000.0)</f>
        <v>15000</v>
      </c>
      <c r="D192" s="70" t="str">
        <f>IFERROR(__xludf.DUMMYFUNCTION("""COMPUTED_VALUE"""),"Furgonetas")</f>
        <v>Furgonetas</v>
      </c>
      <c r="E192" s="71" t="str">
        <f>IFERROR(__xludf.DUMMYFUNCTION("""COMPUTED_VALUE"""),"https://docs.fivem.net/vehicles/bison.webp")</f>
        <v>https://docs.fivem.net/vehicles/bison.webp</v>
      </c>
    </row>
    <row r="193" ht="15.75" customHeight="1">
      <c r="A193" s="69" t="str">
        <f>IFERROR(__xludf.DUMMYFUNCTION("""COMPUTED_VALUE"""),"bobcatxl")</f>
        <v>bobcatxl</v>
      </c>
      <c r="B193" s="69" t="str">
        <f>IFERROR(__xludf.DUMMYFUNCTION("""COMPUTED_VALUE"""),"Bobcat XL Open")</f>
        <v>Bobcat XL Open</v>
      </c>
      <c r="C193" s="70">
        <f>IFERROR(__xludf.DUMMYFUNCTION("""COMPUTED_VALUE"""),5000.0)</f>
        <v>5000</v>
      </c>
      <c r="D193" s="70" t="str">
        <f>IFERROR(__xludf.DUMMYFUNCTION("""COMPUTED_VALUE"""),"Furgonetas")</f>
        <v>Furgonetas</v>
      </c>
      <c r="E193" s="71" t="str">
        <f>IFERROR(__xludf.DUMMYFUNCTION("""COMPUTED_VALUE"""),"https://docs.fivem.net/vehicles/bobcatxl.webp")</f>
        <v>https://docs.fivem.net/vehicles/bobcatxl.webp</v>
      </c>
    </row>
    <row r="194" ht="15.75" customHeight="1">
      <c r="A194" s="69" t="str">
        <f>IFERROR(__xludf.DUMMYFUNCTION("""COMPUTED_VALUE"""),"gburrito2")</f>
        <v>gburrito2</v>
      </c>
      <c r="B194" s="69" t="str">
        <f>IFERROR(__xludf.DUMMYFUNCTION("""COMPUTED_VALUE"""),"Burrito Custom")</f>
        <v>Burrito Custom</v>
      </c>
      <c r="C194" s="70">
        <f>IFERROR(__xludf.DUMMYFUNCTION("""COMPUTED_VALUE"""),35000.0)</f>
        <v>35000</v>
      </c>
      <c r="D194" s="70" t="str">
        <f>IFERROR(__xludf.DUMMYFUNCTION("""COMPUTED_VALUE"""),"Furgonetas")</f>
        <v>Furgonetas</v>
      </c>
      <c r="E194" s="71" t="str">
        <f>IFERROR(__xludf.DUMMYFUNCTION("""COMPUTED_VALUE"""),"https://docs.fivem.net/vehicles/gburrito2.webp")</f>
        <v>https://docs.fivem.net/vehicles/gburrito2.webp</v>
      </c>
    </row>
    <row r="195" ht="15.75" customHeight="1">
      <c r="A195" s="69" t="str">
        <f>IFERROR(__xludf.DUMMYFUNCTION("""COMPUTED_VALUE"""),"journey")</f>
        <v>journey</v>
      </c>
      <c r="B195" s="69" t="str">
        <f>IFERROR(__xludf.DUMMYFUNCTION("""COMPUTED_VALUE"""),"Journey")</f>
        <v>Journey</v>
      </c>
      <c r="C195" s="70">
        <f>IFERROR(__xludf.DUMMYFUNCTION("""COMPUTED_VALUE"""),3500.0)</f>
        <v>3500</v>
      </c>
      <c r="D195" s="70" t="str">
        <f>IFERROR(__xludf.DUMMYFUNCTION("""COMPUTED_VALUE"""),"Furgonetas")</f>
        <v>Furgonetas</v>
      </c>
      <c r="E195" s="71" t="str">
        <f>IFERROR(__xludf.DUMMYFUNCTION("""COMPUTED_VALUE"""),"https://docs.fivem.net/vehicles/journey.webp")</f>
        <v>https://docs.fivem.net/vehicles/journey.webp</v>
      </c>
    </row>
    <row r="196" ht="15.75" customHeight="1">
      <c r="A196" s="69" t="str">
        <f>IFERROR(__xludf.DUMMYFUNCTION("""COMPUTED_VALUE"""),"journey2")</f>
        <v>journey2</v>
      </c>
      <c r="B196" s="69" t="str">
        <f>IFERROR(__xludf.DUMMYFUNCTION("""COMPUTED_VALUE"""),"Journey II")</f>
        <v>Journey II</v>
      </c>
      <c r="C196" s="70">
        <f>IFERROR(__xludf.DUMMYFUNCTION("""COMPUTED_VALUE"""),10000.0)</f>
        <v>10000</v>
      </c>
      <c r="D196" s="70" t="str">
        <f>IFERROR(__xludf.DUMMYFUNCTION("""COMPUTED_VALUE"""),"Furgonetas")</f>
        <v>Furgonetas</v>
      </c>
      <c r="E196" s="71" t="str">
        <f>IFERROR(__xludf.DUMMYFUNCTION("""COMPUTED_VALUE"""),"https://docs.fivem.net/vehicles/journey2.webp")</f>
        <v>https://docs.fivem.net/vehicles/journey2.webp</v>
      </c>
    </row>
    <row r="197" ht="15.75" customHeight="1">
      <c r="A197" s="69" t="str">
        <f>IFERROR(__xludf.DUMMYFUNCTION("""COMPUTED_VALUE"""),"moonbeam")</f>
        <v>moonbeam</v>
      </c>
      <c r="B197" s="69" t="str">
        <f>IFERROR(__xludf.DUMMYFUNCTION("""COMPUTED_VALUE"""),"Moonbeam")</f>
        <v>Moonbeam</v>
      </c>
      <c r="C197" s="70">
        <f>IFERROR(__xludf.DUMMYFUNCTION("""COMPUTED_VALUE"""),18000.0)</f>
        <v>18000</v>
      </c>
      <c r="D197" s="70" t="str">
        <f>IFERROR(__xludf.DUMMYFUNCTION("""COMPUTED_VALUE"""),"Furgonetas")</f>
        <v>Furgonetas</v>
      </c>
      <c r="E197" s="71" t="str">
        <f>IFERROR(__xludf.DUMMYFUNCTION("""COMPUTED_VALUE"""),"https://docs.fivem.net/vehicles/moonbeam.webp")</f>
        <v>https://docs.fivem.net/vehicles/moonbeam.webp</v>
      </c>
    </row>
    <row r="198" ht="15.75" customHeight="1">
      <c r="A198" s="69" t="str">
        <f>IFERROR(__xludf.DUMMYFUNCTION("""COMPUTED_VALUE"""),"rumpo3")</f>
        <v>rumpo3</v>
      </c>
      <c r="B198" s="69" t="str">
        <f>IFERROR(__xludf.DUMMYFUNCTION("""COMPUTED_VALUE"""),"Rumpo Custom")</f>
        <v>Rumpo Custom</v>
      </c>
      <c r="C198" s="70">
        <f>IFERROR(__xludf.DUMMYFUNCTION("""COMPUTED_VALUE"""),36000.0)</f>
        <v>36000</v>
      </c>
      <c r="D198" s="70" t="str">
        <f>IFERROR(__xludf.DUMMYFUNCTION("""COMPUTED_VALUE"""),"Furgonetas")</f>
        <v>Furgonetas</v>
      </c>
      <c r="E198" s="71" t="str">
        <f>IFERROR(__xludf.DUMMYFUNCTION("""COMPUTED_VALUE"""),"https://docs.fivem.net/vehicles/rumpo3.webp")</f>
        <v>https://docs.fivem.net/vehicles/rumpo3.webp</v>
      </c>
    </row>
    <row r="199" ht="15.75" customHeight="1">
      <c r="A199" s="69" t="str">
        <f>IFERROR(__xludf.DUMMYFUNCTION("""COMPUTED_VALUE"""),"sadler")</f>
        <v>sadler</v>
      </c>
      <c r="B199" s="69" t="str">
        <f>IFERROR(__xludf.DUMMYFUNCTION("""COMPUTED_VALUE"""),"Sadler")</f>
        <v>Sadler</v>
      </c>
      <c r="C199" s="70">
        <f>IFERROR(__xludf.DUMMYFUNCTION("""COMPUTED_VALUE"""),16000.0)</f>
        <v>16000</v>
      </c>
      <c r="D199" s="70" t="str">
        <f>IFERROR(__xludf.DUMMYFUNCTION("""COMPUTED_VALUE"""),"Furgonetas")</f>
        <v>Furgonetas</v>
      </c>
      <c r="E199" s="71" t="str">
        <f>IFERROR(__xludf.DUMMYFUNCTION("""COMPUTED_VALUE"""),"https://docs.fivem.net/vehicles/sadler.webp")</f>
        <v>https://docs.fivem.net/vehicles/sadler.webp</v>
      </c>
    </row>
    <row r="200" ht="15.75" customHeight="1">
      <c r="A200" s="69" t="str">
        <f>IFERROR(__xludf.DUMMYFUNCTION("""COMPUTED_VALUE"""),"surfer")</f>
        <v>surfer</v>
      </c>
      <c r="B200" s="69" t="str">
        <f>IFERROR(__xludf.DUMMYFUNCTION("""COMPUTED_VALUE"""),"Surfer")</f>
        <v>Surfer</v>
      </c>
      <c r="C200" s="70">
        <f>IFERROR(__xludf.DUMMYFUNCTION("""COMPUTED_VALUE"""),12000.0)</f>
        <v>12000</v>
      </c>
      <c r="D200" s="70" t="str">
        <f>IFERROR(__xludf.DUMMYFUNCTION("""COMPUTED_VALUE"""),"Furgonetas")</f>
        <v>Furgonetas</v>
      </c>
      <c r="E200" s="71" t="str">
        <f>IFERROR(__xludf.DUMMYFUNCTION("""COMPUTED_VALUE"""),"https://docs.fivem.net/vehicles/surfer.webp")</f>
        <v>https://docs.fivem.net/vehicles/surfer.webp</v>
      </c>
    </row>
    <row r="201" ht="15.75" customHeight="1">
      <c r="A201" s="69" t="str">
        <f>IFERROR(__xludf.DUMMYFUNCTION("""COMPUTED_VALUE"""),"youga2")</f>
        <v>youga2</v>
      </c>
      <c r="B201" s="69" t="str">
        <f>IFERROR(__xludf.DUMMYFUNCTION("""COMPUTED_VALUE"""),"Youga Classic")</f>
        <v>Youga Classic</v>
      </c>
      <c r="C201" s="70">
        <f>IFERROR(__xludf.DUMMYFUNCTION("""COMPUTED_VALUE"""),15000.0)</f>
        <v>15000</v>
      </c>
      <c r="D201" s="70" t="str">
        <f>IFERROR(__xludf.DUMMYFUNCTION("""COMPUTED_VALUE"""),"Furgonetas")</f>
        <v>Furgonetas</v>
      </c>
      <c r="E201" s="71" t="str">
        <f>IFERROR(__xludf.DUMMYFUNCTION("""COMPUTED_VALUE"""),"https://docs.fivem.net/vehicles/youga2.webp")</f>
        <v>https://docs.fivem.net/vehicles/youga2.webp</v>
      </c>
    </row>
    <row r="202" ht="15.75" customHeight="1">
      <c r="A202" s="69" t="str">
        <f>IFERROR(__xludf.DUMMYFUNCTION("""COMPUTED_VALUE"""),"youga3")</f>
        <v>youga3</v>
      </c>
      <c r="B202" s="69" t="str">
        <f>IFERROR(__xludf.DUMMYFUNCTION("""COMPUTED_VALUE"""),"Youga Classic 4x4")</f>
        <v>Youga Classic 4x4</v>
      </c>
      <c r="C202" s="70">
        <f>IFERROR(__xludf.DUMMYFUNCTION("""COMPUTED_VALUE"""),20000.0)</f>
        <v>20000</v>
      </c>
      <c r="D202" s="70" t="str">
        <f>IFERROR(__xludf.DUMMYFUNCTION("""COMPUTED_VALUE"""),"Furgonetas")</f>
        <v>Furgonetas</v>
      </c>
      <c r="E202" s="71" t="str">
        <f>IFERROR(__xludf.DUMMYFUNCTION("""COMPUTED_VALUE"""),"https://docs.fivem.net/vehicles/youga3.webp")</f>
        <v>https://docs.fivem.net/vehicles/youga3.webp</v>
      </c>
    </row>
    <row r="203" ht="15.75" customHeight="1">
      <c r="A203" s="69" t="str">
        <f>IFERROR(__xludf.DUMMYFUNCTION("""COMPUTED_VALUE"""),"youga4")</f>
        <v>youga4</v>
      </c>
      <c r="B203" s="69" t="str">
        <f>IFERROR(__xludf.DUMMYFUNCTION("""COMPUTED_VALUE"""),"Youga Custom")</f>
        <v>Youga Custom</v>
      </c>
      <c r="C203" s="70">
        <f>IFERROR(__xludf.DUMMYFUNCTION("""COMPUTED_VALUE"""),23500.0)</f>
        <v>23500</v>
      </c>
      <c r="D203" s="70" t="str">
        <f>IFERROR(__xludf.DUMMYFUNCTION("""COMPUTED_VALUE"""),"Furgonetas")</f>
        <v>Furgonetas</v>
      </c>
      <c r="E203" s="71" t="str">
        <f>IFERROR(__xludf.DUMMYFUNCTION("""COMPUTED_VALUE"""),"https://docs.fivem.net/vehicles/youga4.webp")</f>
        <v>https://docs.fivem.net/vehicles/youga4.webp</v>
      </c>
    </row>
    <row r="204" ht="15.75" customHeight="1">
      <c r="A204" s="69" t="str">
        <f>IFERROR(__xludf.DUMMYFUNCTION("""COMPUTED_VALUE"""),"akuma")</f>
        <v>akuma</v>
      </c>
      <c r="B204" s="69" t="str">
        <f>IFERROR(__xludf.DUMMYFUNCTION("""COMPUTED_VALUE"""),"Akuma")</f>
        <v>Akuma</v>
      </c>
      <c r="C204" s="70">
        <f>IFERROR(__xludf.DUMMYFUNCTION("""COMPUTED_VALUE"""),52000.0)</f>
        <v>52000</v>
      </c>
      <c r="D204" s="70" t="str">
        <f>IFERROR(__xludf.DUMMYFUNCTION("""COMPUTED_VALUE"""),"Motos")</f>
        <v>Motos</v>
      </c>
      <c r="E204" s="71" t="str">
        <f>IFERROR(__xludf.DUMMYFUNCTION("""COMPUTED_VALUE"""),"https://docs.fivem.net/vehicles/akuma.webp")</f>
        <v>https://docs.fivem.net/vehicles/akuma.webp</v>
      </c>
    </row>
    <row r="205" ht="15.75" customHeight="1">
      <c r="A205" s="69" t="str">
        <f>IFERROR(__xludf.DUMMYFUNCTION("""COMPUTED_VALUE"""),"avarus")</f>
        <v>avarus</v>
      </c>
      <c r="B205" s="69" t="str">
        <f>IFERROR(__xludf.DUMMYFUNCTION("""COMPUTED_VALUE"""),"Avarus")</f>
        <v>Avarus</v>
      </c>
      <c r="C205" s="70">
        <f>IFERROR(__xludf.DUMMYFUNCTION("""COMPUTED_VALUE"""),29000.0)</f>
        <v>29000</v>
      </c>
      <c r="D205" s="70" t="str">
        <f>IFERROR(__xludf.DUMMYFUNCTION("""COMPUTED_VALUE"""),"Motos")</f>
        <v>Motos</v>
      </c>
      <c r="E205" s="71" t="str">
        <f>IFERROR(__xludf.DUMMYFUNCTION("""COMPUTED_VALUE"""),"https://docs.fivem.net/vehicles/avarus.webp")</f>
        <v>https://docs.fivem.net/vehicles/avarus.webp</v>
      </c>
    </row>
    <row r="206" ht="15.75" customHeight="1">
      <c r="A206" s="69" t="str">
        <f>IFERROR(__xludf.DUMMYFUNCTION("""COMPUTED_VALUE"""),"bagger")</f>
        <v>bagger</v>
      </c>
      <c r="B206" s="69" t="str">
        <f>IFERROR(__xludf.DUMMYFUNCTION("""COMPUTED_VALUE"""),"Bagger")</f>
        <v>Bagger</v>
      </c>
      <c r="C206" s="70">
        <f>IFERROR(__xludf.DUMMYFUNCTION("""COMPUTED_VALUE"""),17500.0)</f>
        <v>17500</v>
      </c>
      <c r="D206" s="70" t="str">
        <f>IFERROR(__xludf.DUMMYFUNCTION("""COMPUTED_VALUE"""),"Motos")</f>
        <v>Motos</v>
      </c>
      <c r="E206" s="71" t="str">
        <f>IFERROR(__xludf.DUMMYFUNCTION("""COMPUTED_VALUE"""),"https://docs.fivem.net/vehicles/bagger.webp")</f>
        <v>https://docs.fivem.net/vehicles/bagger.webp</v>
      </c>
    </row>
    <row r="207" ht="15.75" customHeight="1">
      <c r="A207" s="69" t="str">
        <f>IFERROR(__xludf.DUMMYFUNCTION("""COMPUTED_VALUE"""),"bati")</f>
        <v>bati</v>
      </c>
      <c r="B207" s="69" t="str">
        <f>IFERROR(__xludf.DUMMYFUNCTION("""COMPUTED_VALUE"""),"Bati 801")</f>
        <v>Bati 801</v>
      </c>
      <c r="C207" s="70">
        <f>IFERROR(__xludf.DUMMYFUNCTION("""COMPUTED_VALUE"""),70000.0)</f>
        <v>70000</v>
      </c>
      <c r="D207" s="70" t="str">
        <f>IFERROR(__xludf.DUMMYFUNCTION("""COMPUTED_VALUE"""),"Motos")</f>
        <v>Motos</v>
      </c>
      <c r="E207" s="71" t="str">
        <f>IFERROR(__xludf.DUMMYFUNCTION("""COMPUTED_VALUE"""),"https://docs.fivem.net/vehicles/bati.webp")</f>
        <v>https://docs.fivem.net/vehicles/bati.webp</v>
      </c>
    </row>
    <row r="208" ht="15.75" customHeight="1">
      <c r="A208" s="69" t="str">
        <f>IFERROR(__xludf.DUMMYFUNCTION("""COMPUTED_VALUE"""),"bati2")</f>
        <v>bati2</v>
      </c>
      <c r="B208" s="69" t="str">
        <f>IFERROR(__xludf.DUMMYFUNCTION("""COMPUTED_VALUE"""),"Bati 801RR")</f>
        <v>Bati 801RR</v>
      </c>
      <c r="C208" s="70">
        <f>IFERROR(__xludf.DUMMYFUNCTION("""COMPUTED_VALUE"""),76000.0)</f>
        <v>76000</v>
      </c>
      <c r="D208" s="70" t="str">
        <f>IFERROR(__xludf.DUMMYFUNCTION("""COMPUTED_VALUE"""),"Motos")</f>
        <v>Motos</v>
      </c>
      <c r="E208" s="71" t="str">
        <f>IFERROR(__xludf.DUMMYFUNCTION("""COMPUTED_VALUE"""),"https://docs.fivem.net/vehicles/bati2.webp")</f>
        <v>https://docs.fivem.net/vehicles/bati2.webp</v>
      </c>
    </row>
    <row r="209" ht="15.75" customHeight="1">
      <c r="A209" s="69" t="str">
        <f>IFERROR(__xludf.DUMMYFUNCTION("""COMPUTED_VALUE"""),"bf400")</f>
        <v>bf400</v>
      </c>
      <c r="B209" s="69" t="str">
        <f>IFERROR(__xludf.DUMMYFUNCTION("""COMPUTED_VALUE"""),"BF400")</f>
        <v>BF400</v>
      </c>
      <c r="C209" s="70">
        <f>IFERROR(__xludf.DUMMYFUNCTION("""COMPUTED_VALUE"""),49000.0)</f>
        <v>49000</v>
      </c>
      <c r="D209" s="70" t="str">
        <f>IFERROR(__xludf.DUMMYFUNCTION("""COMPUTED_VALUE"""),"Motos")</f>
        <v>Motos</v>
      </c>
      <c r="E209" s="71" t="str">
        <f>IFERROR(__xludf.DUMMYFUNCTION("""COMPUTED_VALUE"""),"https://docs.fivem.net/vehicles/bf400.webp")</f>
        <v>https://docs.fivem.net/vehicles/bf400.webp</v>
      </c>
    </row>
    <row r="210" ht="15.75" customHeight="1">
      <c r="A210" s="69" t="str">
        <f>IFERROR(__xludf.DUMMYFUNCTION("""COMPUTED_VALUE"""),"carbonrs")</f>
        <v>carbonrs</v>
      </c>
      <c r="B210" s="69" t="str">
        <f>IFERROR(__xludf.DUMMYFUNCTION("""COMPUTED_VALUE"""),"Carbon RS")</f>
        <v>Carbon RS</v>
      </c>
      <c r="C210" s="70">
        <f>IFERROR(__xludf.DUMMYFUNCTION("""COMPUTED_VALUE"""),54000.0)</f>
        <v>54000</v>
      </c>
      <c r="D210" s="70" t="str">
        <f>IFERROR(__xludf.DUMMYFUNCTION("""COMPUTED_VALUE"""),"Motos")</f>
        <v>Motos</v>
      </c>
      <c r="E210" s="71" t="str">
        <f>IFERROR(__xludf.DUMMYFUNCTION("""COMPUTED_VALUE"""),"https://docs.fivem.net/vehicles/carbonrs.webp")</f>
        <v>https://docs.fivem.net/vehicles/carbonrs.webp</v>
      </c>
    </row>
    <row r="211" ht="15.75" customHeight="1">
      <c r="A211" s="69" t="str">
        <f>IFERROR(__xludf.DUMMYFUNCTION("""COMPUTED_VALUE"""),"chimera")</f>
        <v>chimera</v>
      </c>
      <c r="B211" s="69" t="str">
        <f>IFERROR(__xludf.DUMMYFUNCTION("""COMPUTED_VALUE"""),"Chimera")</f>
        <v>Chimera</v>
      </c>
      <c r="C211" s="70">
        <f>IFERROR(__xludf.DUMMYFUNCTION("""COMPUTED_VALUE"""),40000.0)</f>
        <v>40000</v>
      </c>
      <c r="D211" s="70" t="str">
        <f>IFERROR(__xludf.DUMMYFUNCTION("""COMPUTED_VALUE"""),"Motos")</f>
        <v>Motos</v>
      </c>
      <c r="E211" s="71" t="str">
        <f>IFERROR(__xludf.DUMMYFUNCTION("""COMPUTED_VALUE"""),"https://docs.fivem.net/vehicles/chimera.webp")</f>
        <v>https://docs.fivem.net/vehicles/chimera.webp</v>
      </c>
    </row>
    <row r="212" ht="15.75" customHeight="1">
      <c r="A212" s="69" t="str">
        <f>IFERROR(__xludf.DUMMYFUNCTION("""COMPUTED_VALUE"""),"cliffhanger")</f>
        <v>cliffhanger</v>
      </c>
      <c r="B212" s="69" t="str">
        <f>IFERROR(__xludf.DUMMYFUNCTION("""COMPUTED_VALUE"""),"Cliffhanger")</f>
        <v>Cliffhanger</v>
      </c>
      <c r="C212" s="70">
        <f>IFERROR(__xludf.DUMMYFUNCTION("""COMPUTED_VALUE"""),45000.0)</f>
        <v>45000</v>
      </c>
      <c r="D212" s="70" t="str">
        <f>IFERROR(__xludf.DUMMYFUNCTION("""COMPUTED_VALUE"""),"Motos")</f>
        <v>Motos</v>
      </c>
      <c r="E212" s="71" t="str">
        <f>IFERROR(__xludf.DUMMYFUNCTION("""COMPUTED_VALUE"""),"https://docs.fivem.net/vehicles/cliffhanger.webp")</f>
        <v>https://docs.fivem.net/vehicles/cliffhanger.webp</v>
      </c>
    </row>
    <row r="213" ht="15.75" customHeight="1">
      <c r="A213" s="69" t="str">
        <f>IFERROR(__xludf.DUMMYFUNCTION("""COMPUTED_VALUE"""),"daemon")</f>
        <v>daemon</v>
      </c>
      <c r="B213" s="69" t="str">
        <f>IFERROR(__xludf.DUMMYFUNCTION("""COMPUTED_VALUE"""),"Daemon")</f>
        <v>Daemon</v>
      </c>
      <c r="C213" s="70">
        <f>IFERROR(__xludf.DUMMYFUNCTION("""COMPUTED_VALUE"""),25000.0)</f>
        <v>25000</v>
      </c>
      <c r="D213" s="70" t="str">
        <f>IFERROR(__xludf.DUMMYFUNCTION("""COMPUTED_VALUE"""),"Motos")</f>
        <v>Motos</v>
      </c>
      <c r="E213" s="71" t="str">
        <f>IFERROR(__xludf.DUMMYFUNCTION("""COMPUTED_VALUE"""),"https://docs.fivem.net/vehicles/daemon.webp")</f>
        <v>https://docs.fivem.net/vehicles/daemon.webp</v>
      </c>
    </row>
    <row r="214" ht="15.75" customHeight="1">
      <c r="A214" s="69" t="str">
        <f>IFERROR(__xludf.DUMMYFUNCTION("""COMPUTED_VALUE"""),"daemon2")</f>
        <v>daemon2</v>
      </c>
      <c r="B214" s="69" t="str">
        <f>IFERROR(__xludf.DUMMYFUNCTION("""COMPUTED_VALUE"""),"Daemon Custom")</f>
        <v>Daemon Custom</v>
      </c>
      <c r="C214" s="70">
        <f>IFERROR(__xludf.DUMMYFUNCTION("""COMPUTED_VALUE"""),28000.0)</f>
        <v>28000</v>
      </c>
      <c r="D214" s="70" t="str">
        <f>IFERROR(__xludf.DUMMYFUNCTION("""COMPUTED_VALUE"""),"Motos")</f>
        <v>Motos</v>
      </c>
      <c r="E214" s="71" t="str">
        <f>IFERROR(__xludf.DUMMYFUNCTION("""COMPUTED_VALUE"""),"https://docs.fivem.net/vehicles/daemon2.webp")</f>
        <v>https://docs.fivem.net/vehicles/daemon2.webp</v>
      </c>
    </row>
    <row r="215" ht="15.75" customHeight="1">
      <c r="A215" s="69" t="str">
        <f>IFERROR(__xludf.DUMMYFUNCTION("""COMPUTED_VALUE"""),"deathbike")</f>
        <v>deathbike</v>
      </c>
      <c r="B215" s="69" t="str">
        <f>IFERROR(__xludf.DUMMYFUNCTION("""COMPUTED_VALUE"""),"Deathbike Apocalypse")</f>
        <v>Deathbike Apocalypse</v>
      </c>
      <c r="C215" s="70">
        <f>IFERROR(__xludf.DUMMYFUNCTION("""COMPUTED_VALUE"""),80000.0)</f>
        <v>80000</v>
      </c>
      <c r="D215" s="70" t="str">
        <f>IFERROR(__xludf.DUMMYFUNCTION("""COMPUTED_VALUE"""),"Motos")</f>
        <v>Motos</v>
      </c>
      <c r="E215" s="71" t="str">
        <f>IFERROR(__xludf.DUMMYFUNCTION("""COMPUTED_VALUE"""),"https://docs.fivem.net/vehicles/deathbike.webp")</f>
        <v>https://docs.fivem.net/vehicles/deathbike.webp</v>
      </c>
    </row>
    <row r="216" ht="15.75" customHeight="1">
      <c r="A216" s="69" t="str">
        <f>IFERROR(__xludf.DUMMYFUNCTION("""COMPUTED_VALUE"""),"deathbike2")</f>
        <v>deathbike2</v>
      </c>
      <c r="B216" s="69" t="str">
        <f>IFERROR(__xludf.DUMMYFUNCTION("""COMPUTED_VALUE"""),"Deathbike Future Shock")</f>
        <v>Deathbike Future Shock</v>
      </c>
      <c r="C216" s="70">
        <f>IFERROR(__xludf.DUMMYFUNCTION("""COMPUTED_VALUE"""),110000.0)</f>
        <v>110000</v>
      </c>
      <c r="D216" s="70" t="str">
        <f>IFERROR(__xludf.DUMMYFUNCTION("""COMPUTED_VALUE"""),"Motos")</f>
        <v>Motos</v>
      </c>
      <c r="E216" s="71" t="str">
        <f>IFERROR(__xludf.DUMMYFUNCTION("""COMPUTED_VALUE"""),"https://docs.fivem.net/vehicles/deathbike2.webp")</f>
        <v>https://docs.fivem.net/vehicles/deathbike2.webp</v>
      </c>
    </row>
    <row r="217" ht="15.75" customHeight="1">
      <c r="A217" s="69" t="str">
        <f>IFERROR(__xludf.DUMMYFUNCTION("""COMPUTED_VALUE"""),"deathbike3")</f>
        <v>deathbike3</v>
      </c>
      <c r="B217" s="69" t="str">
        <f>IFERROR(__xludf.DUMMYFUNCTION("""COMPUTED_VALUE"""),"Deathbike Nightmare")</f>
        <v>Deathbike Nightmare</v>
      </c>
      <c r="C217" s="70">
        <f>IFERROR(__xludf.DUMMYFUNCTION("""COMPUTED_VALUE"""),83000.0)</f>
        <v>83000</v>
      </c>
      <c r="D217" s="70" t="str">
        <f>IFERROR(__xludf.DUMMYFUNCTION("""COMPUTED_VALUE"""),"Motos")</f>
        <v>Motos</v>
      </c>
      <c r="E217" s="71" t="str">
        <f>IFERROR(__xludf.DUMMYFUNCTION("""COMPUTED_VALUE"""),"https://docs.fivem.net/vehicles/deathbike3.webp")</f>
        <v>https://docs.fivem.net/vehicles/deathbike3.webp</v>
      </c>
    </row>
    <row r="218" ht="15.75" customHeight="1">
      <c r="A218" s="69" t="str">
        <f>IFERROR(__xludf.DUMMYFUNCTION("""COMPUTED_VALUE"""),"defiler")</f>
        <v>defiler</v>
      </c>
      <c r="B218" s="69" t="str">
        <f>IFERROR(__xludf.DUMMYFUNCTION("""COMPUTED_VALUE"""),"Defiler")</f>
        <v>Defiler</v>
      </c>
      <c r="C218" s="70">
        <f>IFERROR(__xludf.DUMMYFUNCTION("""COMPUTED_VALUE"""),45000.0)</f>
        <v>45000</v>
      </c>
      <c r="D218" s="70" t="str">
        <f>IFERROR(__xludf.DUMMYFUNCTION("""COMPUTED_VALUE"""),"Motos")</f>
        <v>Motos</v>
      </c>
      <c r="E218" s="71" t="str">
        <f>IFERROR(__xludf.DUMMYFUNCTION("""COMPUTED_VALUE"""),"https://docs.fivem.net/vehicles/defiler.webp")</f>
        <v>https://docs.fivem.net/vehicles/defiler.webp</v>
      </c>
    </row>
    <row r="219" ht="15.75" customHeight="1">
      <c r="A219" s="69" t="str">
        <f>IFERROR(__xludf.DUMMYFUNCTION("""COMPUTED_VALUE"""),"diablous")</f>
        <v>diablous</v>
      </c>
      <c r="B219" s="69" t="str">
        <f>IFERROR(__xludf.DUMMYFUNCTION("""COMPUTED_VALUE"""),"Diablous")</f>
        <v>Diablous</v>
      </c>
      <c r="C219" s="70">
        <f>IFERROR(__xludf.DUMMYFUNCTION("""COMPUTED_VALUE"""),45000.0)</f>
        <v>45000</v>
      </c>
      <c r="D219" s="70" t="str">
        <f>IFERROR(__xludf.DUMMYFUNCTION("""COMPUTED_VALUE"""),"Motos")</f>
        <v>Motos</v>
      </c>
      <c r="E219" s="71" t="str">
        <f>IFERROR(__xludf.DUMMYFUNCTION("""COMPUTED_VALUE"""),"https://docs.fivem.net/vehicles/diablous.webp")</f>
        <v>https://docs.fivem.net/vehicles/diablous.webp</v>
      </c>
    </row>
    <row r="220" ht="15.75" customHeight="1">
      <c r="A220" s="69" t="str">
        <f>IFERROR(__xludf.DUMMYFUNCTION("""COMPUTED_VALUE"""),"diablous2")</f>
        <v>diablous2</v>
      </c>
      <c r="B220" s="69" t="str">
        <f>IFERROR(__xludf.DUMMYFUNCTION("""COMPUTED_VALUE"""),"Diablous Custom")</f>
        <v>Diablous Custom</v>
      </c>
      <c r="C220" s="70">
        <f>IFERROR(__xludf.DUMMYFUNCTION("""COMPUTED_VALUE"""),52000.0)</f>
        <v>52000</v>
      </c>
      <c r="D220" s="70" t="str">
        <f>IFERROR(__xludf.DUMMYFUNCTION("""COMPUTED_VALUE"""),"Motos")</f>
        <v>Motos</v>
      </c>
      <c r="E220" s="71" t="str">
        <f>IFERROR(__xludf.DUMMYFUNCTION("""COMPUTED_VALUE"""),"https://docs.fivem.net/vehicles/diablous2.webp")</f>
        <v>https://docs.fivem.net/vehicles/diablous2.webp</v>
      </c>
    </row>
    <row r="221" ht="15.75" customHeight="1">
      <c r="A221" s="69" t="str">
        <f>IFERROR(__xludf.DUMMYFUNCTION("""COMPUTED_VALUE"""),"double")</f>
        <v>double</v>
      </c>
      <c r="B221" s="69" t="str">
        <f>IFERROR(__xludf.DUMMYFUNCTION("""COMPUTED_VALUE"""),"Double-T")</f>
        <v>Double-T</v>
      </c>
      <c r="C221" s="70">
        <f>IFERROR(__xludf.DUMMYFUNCTION("""COMPUTED_VALUE"""),52000.0)</f>
        <v>52000</v>
      </c>
      <c r="D221" s="70" t="str">
        <f>IFERROR(__xludf.DUMMYFUNCTION("""COMPUTED_VALUE"""),"Motos")</f>
        <v>Motos</v>
      </c>
      <c r="E221" s="71" t="str">
        <f>IFERROR(__xludf.DUMMYFUNCTION("""COMPUTED_VALUE"""),"https://docs.fivem.net/vehicles/double.webp")</f>
        <v>https://docs.fivem.net/vehicles/double.webp</v>
      </c>
    </row>
    <row r="222" ht="15.75" customHeight="1">
      <c r="A222" s="69" t="str">
        <f>IFERROR(__xludf.DUMMYFUNCTION("""COMPUTED_VALUE"""),"enduro")</f>
        <v>enduro</v>
      </c>
      <c r="B222" s="69" t="str">
        <f>IFERROR(__xludf.DUMMYFUNCTION("""COMPUTED_VALUE"""),"Enduro")</f>
        <v>Enduro</v>
      </c>
      <c r="C222" s="70">
        <f>IFERROR(__xludf.DUMMYFUNCTION("""COMPUTED_VALUE"""),20500.0)</f>
        <v>20500</v>
      </c>
      <c r="D222" s="70" t="str">
        <f>IFERROR(__xludf.DUMMYFUNCTION("""COMPUTED_VALUE"""),"Motos")</f>
        <v>Motos</v>
      </c>
      <c r="E222" s="71" t="str">
        <f>IFERROR(__xludf.DUMMYFUNCTION("""COMPUTED_VALUE"""),"https://docs.fivem.net/vehicles/enduro.webp")</f>
        <v>https://docs.fivem.net/vehicles/enduro.webp</v>
      </c>
    </row>
    <row r="223" ht="15.75" customHeight="1">
      <c r="A223" s="69" t="str">
        <f>IFERROR(__xludf.DUMMYFUNCTION("""COMPUTED_VALUE"""),"esskey")</f>
        <v>esskey</v>
      </c>
      <c r="B223" s="69" t="str">
        <f>IFERROR(__xludf.DUMMYFUNCTION("""COMPUTED_VALUE"""),"Esskey")</f>
        <v>Esskey</v>
      </c>
      <c r="C223" s="70">
        <f>IFERROR(__xludf.DUMMYFUNCTION("""COMPUTED_VALUE"""),26000.0)</f>
        <v>26000</v>
      </c>
      <c r="D223" s="70" t="str">
        <f>IFERROR(__xludf.DUMMYFUNCTION("""COMPUTED_VALUE"""),"Motos")</f>
        <v>Motos</v>
      </c>
      <c r="E223" s="71" t="str">
        <f>IFERROR(__xludf.DUMMYFUNCTION("""COMPUTED_VALUE"""),"https://docs.fivem.net/vehicles/esskey.webp")</f>
        <v>https://docs.fivem.net/vehicles/esskey.webp</v>
      </c>
    </row>
    <row r="224" ht="15.75" customHeight="1">
      <c r="A224" s="69" t="str">
        <f>IFERROR(__xludf.DUMMYFUNCTION("""COMPUTED_VALUE"""),"faggio")</f>
        <v>faggio</v>
      </c>
      <c r="B224" s="69" t="str">
        <f>IFERROR(__xludf.DUMMYFUNCTION("""COMPUTED_VALUE"""),"Faggio Sport")</f>
        <v>Faggio Sport</v>
      </c>
      <c r="C224" s="70">
        <f>IFERROR(__xludf.DUMMYFUNCTION("""COMPUTED_VALUE"""),3800.0)</f>
        <v>3800</v>
      </c>
      <c r="D224" s="70" t="str">
        <f>IFERROR(__xludf.DUMMYFUNCTION("""COMPUTED_VALUE"""),"Motos")</f>
        <v>Motos</v>
      </c>
      <c r="E224" s="71" t="str">
        <f>IFERROR(__xludf.DUMMYFUNCTION("""COMPUTED_VALUE"""),"https://docs.fivem.net/vehicles/faggio.webp")</f>
        <v>https://docs.fivem.net/vehicles/faggio.webp</v>
      </c>
    </row>
    <row r="225" ht="15.75" customHeight="1">
      <c r="A225" s="69" t="str">
        <f>IFERROR(__xludf.DUMMYFUNCTION("""COMPUTED_VALUE"""),"faggio2")</f>
        <v>faggio2</v>
      </c>
      <c r="B225" s="69" t="str">
        <f>IFERROR(__xludf.DUMMYFUNCTION("""COMPUTED_VALUE"""),"Faggio")</f>
        <v>Faggio</v>
      </c>
      <c r="C225" s="70">
        <f>IFERROR(__xludf.DUMMYFUNCTION("""COMPUTED_VALUE"""),2000.0)</f>
        <v>2000</v>
      </c>
      <c r="D225" s="70" t="str">
        <f>IFERROR(__xludf.DUMMYFUNCTION("""COMPUTED_VALUE"""),"Motos")</f>
        <v>Motos</v>
      </c>
      <c r="E225" s="71" t="str">
        <f>IFERROR(__xludf.DUMMYFUNCTION("""COMPUTED_VALUE"""),"https://docs.fivem.net/vehicles/faggio2.webp")</f>
        <v>https://docs.fivem.net/vehicles/faggio2.webp</v>
      </c>
    </row>
    <row r="226" ht="15.75" customHeight="1">
      <c r="A226" s="69" t="str">
        <f>IFERROR(__xludf.DUMMYFUNCTION("""COMPUTED_VALUE"""),"faggio3")</f>
        <v>faggio3</v>
      </c>
      <c r="B226" s="69" t="str">
        <f>IFERROR(__xludf.DUMMYFUNCTION("""COMPUTED_VALUE"""),"Faggio Mod")</f>
        <v>Faggio Mod</v>
      </c>
      <c r="C226" s="70">
        <f>IFERROR(__xludf.DUMMYFUNCTION("""COMPUTED_VALUE"""),3000.0)</f>
        <v>3000</v>
      </c>
      <c r="D226" s="70" t="str">
        <f>IFERROR(__xludf.DUMMYFUNCTION("""COMPUTED_VALUE"""),"Motos")</f>
        <v>Motos</v>
      </c>
      <c r="E226" s="71" t="str">
        <f>IFERROR(__xludf.DUMMYFUNCTION("""COMPUTED_VALUE"""),"https://docs.fivem.net/vehicles/faggio3.webp")</f>
        <v>https://docs.fivem.net/vehicles/faggio3.webp</v>
      </c>
    </row>
    <row r="227" ht="15.75" customHeight="1">
      <c r="A227" s="69" t="str">
        <f>IFERROR(__xludf.DUMMYFUNCTION("""COMPUTED_VALUE"""),"fcr")</f>
        <v>fcr</v>
      </c>
      <c r="B227" s="69" t="str">
        <f>IFERROR(__xludf.DUMMYFUNCTION("""COMPUTED_VALUE"""),"FCR 1000")</f>
        <v>FCR 1000</v>
      </c>
      <c r="C227" s="70">
        <f>IFERROR(__xludf.DUMMYFUNCTION("""COMPUTED_VALUE"""),32000.0)</f>
        <v>32000</v>
      </c>
      <c r="D227" s="70" t="str">
        <f>IFERROR(__xludf.DUMMYFUNCTION("""COMPUTED_VALUE"""),"Motos")</f>
        <v>Motos</v>
      </c>
      <c r="E227" s="71" t="str">
        <f>IFERROR(__xludf.DUMMYFUNCTION("""COMPUTED_VALUE"""),"https://docs.fivem.net/vehicles/fcr.webp")</f>
        <v>https://docs.fivem.net/vehicles/fcr.webp</v>
      </c>
    </row>
    <row r="228" ht="15.75" customHeight="1">
      <c r="A228" s="69" t="str">
        <f>IFERROR(__xludf.DUMMYFUNCTION("""COMPUTED_VALUE"""),"fcr2")</f>
        <v>fcr2</v>
      </c>
      <c r="B228" s="69" t="str">
        <f>IFERROR(__xludf.DUMMYFUNCTION("""COMPUTED_VALUE"""),"FCR 1000 Custom")</f>
        <v>FCR 1000 Custom</v>
      </c>
      <c r="C228" s="70">
        <f>IFERROR(__xludf.DUMMYFUNCTION("""COMPUTED_VALUE"""),29000.0)</f>
        <v>29000</v>
      </c>
      <c r="D228" s="70" t="str">
        <f>IFERROR(__xludf.DUMMYFUNCTION("""COMPUTED_VALUE"""),"Motos")</f>
        <v>Motos</v>
      </c>
      <c r="E228" s="71" t="str">
        <f>IFERROR(__xludf.DUMMYFUNCTION("""COMPUTED_VALUE"""),"https://docs.fivem.net/vehicles/fcr2.webp")</f>
        <v>https://docs.fivem.net/vehicles/fcr2.webp</v>
      </c>
    </row>
    <row r="229" ht="15.75" customHeight="1">
      <c r="A229" s="69" t="str">
        <f>IFERROR(__xludf.DUMMYFUNCTION("""COMPUTED_VALUE"""),"gargoyle")</f>
        <v>gargoyle</v>
      </c>
      <c r="B229" s="69" t="str">
        <f>IFERROR(__xludf.DUMMYFUNCTION("""COMPUTED_VALUE"""),"Gargoyle")</f>
        <v>Gargoyle</v>
      </c>
      <c r="C229" s="70">
        <f>IFERROR(__xludf.DUMMYFUNCTION("""COMPUTED_VALUE"""),75000.0)</f>
        <v>75000</v>
      </c>
      <c r="D229" s="70" t="str">
        <f>IFERROR(__xludf.DUMMYFUNCTION("""COMPUTED_VALUE"""),"Motos")</f>
        <v>Motos</v>
      </c>
      <c r="E229" s="71" t="str">
        <f>IFERROR(__xludf.DUMMYFUNCTION("""COMPUTED_VALUE"""),"https://docs.fivem.net/vehicles/gargoyle.webp")</f>
        <v>https://docs.fivem.net/vehicles/gargoyle.webp</v>
      </c>
    </row>
    <row r="230" ht="15.75" customHeight="1">
      <c r="A230" s="69" t="str">
        <f>IFERROR(__xludf.DUMMYFUNCTION("""COMPUTED_VALUE"""),"hakuchou")</f>
        <v>hakuchou</v>
      </c>
      <c r="B230" s="69" t="str">
        <f>IFERROR(__xludf.DUMMYFUNCTION("""COMPUTED_VALUE"""),"Hakuchou")</f>
        <v>Hakuchou</v>
      </c>
      <c r="C230" s="70">
        <f>IFERROR(__xludf.DUMMYFUNCTION("""COMPUTED_VALUE"""),125000.0)</f>
        <v>125000</v>
      </c>
      <c r="D230" s="70" t="str">
        <f>IFERROR(__xludf.DUMMYFUNCTION("""COMPUTED_VALUE"""),"Motos")</f>
        <v>Motos</v>
      </c>
      <c r="E230" s="71" t="str">
        <f>IFERROR(__xludf.DUMMYFUNCTION("""COMPUTED_VALUE"""),"https://docs.fivem.net/vehicles/hakuchou.webp")</f>
        <v>https://docs.fivem.net/vehicles/hakuchou.webp</v>
      </c>
    </row>
    <row r="231" ht="15.75" customHeight="1">
      <c r="A231" s="69" t="str">
        <f>IFERROR(__xludf.DUMMYFUNCTION("""COMPUTED_VALUE"""),"hakuchou2")</f>
        <v>hakuchou2</v>
      </c>
      <c r="B231" s="69" t="str">
        <f>IFERROR(__xludf.DUMMYFUNCTION("""COMPUTED_VALUE"""),"Hakuchou Drag")</f>
        <v>Hakuchou Drag</v>
      </c>
      <c r="C231" s="70">
        <f>IFERROR(__xludf.DUMMYFUNCTION("""COMPUTED_VALUE"""),140000.0)</f>
        <v>140000</v>
      </c>
      <c r="D231" s="70" t="str">
        <f>IFERROR(__xludf.DUMMYFUNCTION("""COMPUTED_VALUE"""),"Motos")</f>
        <v>Motos</v>
      </c>
      <c r="E231" s="71" t="str">
        <f>IFERROR(__xludf.DUMMYFUNCTION("""COMPUTED_VALUE"""),"https://docs.fivem.net/vehicles/hakuchou2.webp")</f>
        <v>https://docs.fivem.net/vehicles/hakuchou2.webp</v>
      </c>
    </row>
    <row r="232" ht="15.75" customHeight="1">
      <c r="A232" s="69" t="str">
        <f>IFERROR(__xludf.DUMMYFUNCTION("""COMPUTED_VALUE"""),"hexer")</f>
        <v>hexer</v>
      </c>
      <c r="B232" s="69" t="str">
        <f>IFERROR(__xludf.DUMMYFUNCTION("""COMPUTED_VALUE"""),"Hexer")</f>
        <v>Hexer</v>
      </c>
      <c r="C232" s="70">
        <f>IFERROR(__xludf.DUMMYFUNCTION("""COMPUTED_VALUE"""),16000.0)</f>
        <v>16000</v>
      </c>
      <c r="D232" s="70" t="str">
        <f>IFERROR(__xludf.DUMMYFUNCTION("""COMPUTED_VALUE"""),"Motos")</f>
        <v>Motos</v>
      </c>
      <c r="E232" s="71" t="str">
        <f>IFERROR(__xludf.DUMMYFUNCTION("""COMPUTED_VALUE"""),"https://docs.fivem.net/vehicles/hexer.webp")</f>
        <v>https://docs.fivem.net/vehicles/hexer.webp</v>
      </c>
    </row>
    <row r="233" ht="15.75" customHeight="1">
      <c r="A233" s="69" t="str">
        <f>IFERROR(__xludf.DUMMYFUNCTION("""COMPUTED_VALUE"""),"innovation")</f>
        <v>innovation</v>
      </c>
      <c r="B233" s="69" t="str">
        <f>IFERROR(__xludf.DUMMYFUNCTION("""COMPUTED_VALUE"""),"Innovation")</f>
        <v>Innovation</v>
      </c>
      <c r="C233" s="70">
        <f>IFERROR(__xludf.DUMMYFUNCTION("""COMPUTED_VALUE"""),55000.0)</f>
        <v>55000</v>
      </c>
      <c r="D233" s="70" t="str">
        <f>IFERROR(__xludf.DUMMYFUNCTION("""COMPUTED_VALUE"""),"Motos")</f>
        <v>Motos</v>
      </c>
      <c r="E233" s="71" t="str">
        <f>IFERROR(__xludf.DUMMYFUNCTION("""COMPUTED_VALUE"""),"https://docs.fivem.net/vehicles/innovation.webp")</f>
        <v>https://docs.fivem.net/vehicles/innovation.webp</v>
      </c>
    </row>
    <row r="234" ht="15.75" customHeight="1">
      <c r="A234" s="69" t="str">
        <f>IFERROR(__xludf.DUMMYFUNCTION("""COMPUTED_VALUE"""),"lectro")</f>
        <v>lectro</v>
      </c>
      <c r="B234" s="69" t="str">
        <f>IFERROR(__xludf.DUMMYFUNCTION("""COMPUTED_VALUE"""),"Lectro")</f>
        <v>Lectro</v>
      </c>
      <c r="C234" s="70">
        <f>IFERROR(__xludf.DUMMYFUNCTION("""COMPUTED_VALUE"""),65000.0)</f>
        <v>65000</v>
      </c>
      <c r="D234" s="70" t="str">
        <f>IFERROR(__xludf.DUMMYFUNCTION("""COMPUTED_VALUE"""),"Motos")</f>
        <v>Motos</v>
      </c>
      <c r="E234" s="71" t="str">
        <f>IFERROR(__xludf.DUMMYFUNCTION("""COMPUTED_VALUE"""),"https://docs.fivem.net/vehicles/lectro.webp")</f>
        <v>https://docs.fivem.net/vehicles/lectro.webp</v>
      </c>
    </row>
    <row r="235" ht="15.75" customHeight="1">
      <c r="A235" s="69" t="str">
        <f>IFERROR(__xludf.DUMMYFUNCTION("""COMPUTED_VALUE"""),"manchez")</f>
        <v>manchez</v>
      </c>
      <c r="B235" s="69" t="str">
        <f>IFERROR(__xludf.DUMMYFUNCTION("""COMPUTED_VALUE"""),"Manchez")</f>
        <v>Manchez</v>
      </c>
      <c r="C235" s="70">
        <f>IFERROR(__xludf.DUMMYFUNCTION("""COMPUTED_VALUE"""),32000.0)</f>
        <v>32000</v>
      </c>
      <c r="D235" s="70" t="str">
        <f>IFERROR(__xludf.DUMMYFUNCTION("""COMPUTED_VALUE"""),"Motos")</f>
        <v>Motos</v>
      </c>
      <c r="E235" s="71" t="str">
        <f>IFERROR(__xludf.DUMMYFUNCTION("""COMPUTED_VALUE"""),"https://docs.fivem.net/vehicles/manchez.webp")</f>
        <v>https://docs.fivem.net/vehicles/manchez.webp</v>
      </c>
    </row>
    <row r="236" ht="15.75" customHeight="1">
      <c r="A236" s="69" t="str">
        <f>IFERROR(__xludf.DUMMYFUNCTION("""COMPUTED_VALUE"""),"manchez2")</f>
        <v>manchez2</v>
      </c>
      <c r="B236" s="69" t="str">
        <f>IFERROR(__xludf.DUMMYFUNCTION("""COMPUTED_VALUE"""),"Manchez Scout")</f>
        <v>Manchez Scout</v>
      </c>
      <c r="C236" s="70">
        <f>IFERROR(__xludf.DUMMYFUNCTION("""COMPUTED_VALUE"""),47000.0)</f>
        <v>47000</v>
      </c>
      <c r="D236" s="70" t="str">
        <f>IFERROR(__xludf.DUMMYFUNCTION("""COMPUTED_VALUE"""),"Motos")</f>
        <v>Motos</v>
      </c>
      <c r="E236" s="71" t="str">
        <f>IFERROR(__xludf.DUMMYFUNCTION("""COMPUTED_VALUE"""),"https://docs.fivem.net/vehicles/manchez2.webp")</f>
        <v>https://docs.fivem.net/vehicles/manchez2.webp</v>
      </c>
    </row>
    <row r="237" ht="15.75" customHeight="1">
      <c r="A237" s="69" t="str">
        <f>IFERROR(__xludf.DUMMYFUNCTION("""COMPUTED_VALUE"""),"nemesis")</f>
        <v>nemesis</v>
      </c>
      <c r="B237" s="69" t="str">
        <f>IFERROR(__xludf.DUMMYFUNCTION("""COMPUTED_VALUE"""),"Nemesis")</f>
        <v>Nemesis</v>
      </c>
      <c r="C237" s="70">
        <f>IFERROR(__xludf.DUMMYFUNCTION("""COMPUTED_VALUE"""),29500.0)</f>
        <v>29500</v>
      </c>
      <c r="D237" s="70" t="str">
        <f>IFERROR(__xludf.DUMMYFUNCTION("""COMPUTED_VALUE"""),"Motos")</f>
        <v>Motos</v>
      </c>
      <c r="E237" s="71" t="str">
        <f>IFERROR(__xludf.DUMMYFUNCTION("""COMPUTED_VALUE"""),"https://docs.fivem.net/vehicles/nemesis.webp")</f>
        <v>https://docs.fivem.net/vehicles/nemesis.webp</v>
      </c>
    </row>
    <row r="238" ht="15.75" customHeight="1">
      <c r="A238" s="69" t="str">
        <f>IFERROR(__xludf.DUMMYFUNCTION("""COMPUTED_VALUE"""),"nightblade")</f>
        <v>nightblade</v>
      </c>
      <c r="B238" s="69" t="str">
        <f>IFERROR(__xludf.DUMMYFUNCTION("""COMPUTED_VALUE"""),"Nightblade")</f>
        <v>Nightblade</v>
      </c>
      <c r="C238" s="70">
        <f>IFERROR(__xludf.DUMMYFUNCTION("""COMPUTED_VALUE"""),72000.0)</f>
        <v>72000</v>
      </c>
      <c r="D238" s="70" t="str">
        <f>IFERROR(__xludf.DUMMYFUNCTION("""COMPUTED_VALUE"""),"Motos")</f>
        <v>Motos</v>
      </c>
      <c r="E238" s="71" t="str">
        <f>IFERROR(__xludf.DUMMYFUNCTION("""COMPUTED_VALUE"""),"https://docs.fivem.net/vehicles/nightblade.webp")</f>
        <v>https://docs.fivem.net/vehicles/nightblade.webp</v>
      </c>
    </row>
    <row r="239" ht="15.75" customHeight="1">
      <c r="A239" s="69" t="str">
        <f>IFERROR(__xludf.DUMMYFUNCTION("""COMPUTED_VALUE"""),"pcj")</f>
        <v>pcj</v>
      </c>
      <c r="B239" s="69" t="str">
        <f>IFERROR(__xludf.DUMMYFUNCTION("""COMPUTED_VALUE"""),"PCJ-600")</f>
        <v>PCJ-600</v>
      </c>
      <c r="C239" s="70">
        <f>IFERROR(__xludf.DUMMYFUNCTION("""COMPUTED_VALUE"""),32500.0)</f>
        <v>32500</v>
      </c>
      <c r="D239" s="70" t="str">
        <f>IFERROR(__xludf.DUMMYFUNCTION("""COMPUTED_VALUE"""),"Motos")</f>
        <v>Motos</v>
      </c>
      <c r="E239" s="71" t="str">
        <f>IFERROR(__xludf.DUMMYFUNCTION("""COMPUTED_VALUE"""),"https://docs.fivem.net/vehicles/pcj.webp")</f>
        <v>https://docs.fivem.net/vehicles/pcj.webp</v>
      </c>
    </row>
    <row r="240" ht="15.75" customHeight="1">
      <c r="A240" s="69" t="str">
        <f>IFERROR(__xludf.DUMMYFUNCTION("""COMPUTED_VALUE"""),"pizzaboy")</f>
        <v>pizzaboy</v>
      </c>
      <c r="B240" s="69" t="str">
        <f>IFERROR(__xludf.DUMMYFUNCTION("""COMPUTED_VALUE"""),"Pizza Boy")</f>
        <v>Pizza Boy</v>
      </c>
      <c r="C240" s="70">
        <f>IFERROR(__xludf.DUMMYFUNCTION("""COMPUTED_VALUE"""),3000.0)</f>
        <v>3000</v>
      </c>
      <c r="D240" s="70" t="str">
        <f>IFERROR(__xludf.DUMMYFUNCTION("""COMPUTED_VALUE"""),"Motos")</f>
        <v>Motos</v>
      </c>
      <c r="E240" s="71" t="str">
        <f>IFERROR(__xludf.DUMMYFUNCTION("""COMPUTED_VALUE"""),"https://docs.fivem.net/vehicles/pizzaboy.webp")</f>
        <v>https://docs.fivem.net/vehicles/pizzaboy.webp</v>
      </c>
    </row>
    <row r="241" ht="15.75" customHeight="1">
      <c r="A241" s="69" t="str">
        <f>IFERROR(__xludf.DUMMYFUNCTION("""COMPUTED_VALUE"""),"powersurge")</f>
        <v>powersurge</v>
      </c>
      <c r="B241" s="69" t="str">
        <f>IFERROR(__xludf.DUMMYFUNCTION("""COMPUTED_VALUE"""),"Powersurge")</f>
        <v>Powersurge</v>
      </c>
      <c r="C241" s="70">
        <f>IFERROR(__xludf.DUMMYFUNCTION("""COMPUTED_VALUE"""),85000.0)</f>
        <v>85000</v>
      </c>
      <c r="D241" s="70" t="str">
        <f>IFERROR(__xludf.DUMMYFUNCTION("""COMPUTED_VALUE"""),"Motos")</f>
        <v>Motos</v>
      </c>
      <c r="E241" s="71" t="str">
        <f>IFERROR(__xludf.DUMMYFUNCTION("""COMPUTED_VALUE"""),"https://docs.fivem.net/vehicles/powersurge.webp")</f>
        <v>https://docs.fivem.net/vehicles/powersurge.webp</v>
      </c>
    </row>
    <row r="242" ht="15.75" customHeight="1">
      <c r="A242" s="69" t="str">
        <f>IFERROR(__xludf.DUMMYFUNCTION("""COMPUTED_VALUE"""),"ratbike")</f>
        <v>ratbike</v>
      </c>
      <c r="B242" s="69" t="str">
        <f>IFERROR(__xludf.DUMMYFUNCTION("""COMPUTED_VALUE"""),"Rat Bike")</f>
        <v>Rat Bike</v>
      </c>
      <c r="C242" s="70">
        <f>IFERROR(__xludf.DUMMYFUNCTION("""COMPUTED_VALUE"""),3000.0)</f>
        <v>3000</v>
      </c>
      <c r="D242" s="70" t="str">
        <f>IFERROR(__xludf.DUMMYFUNCTION("""COMPUTED_VALUE"""),"Motos")</f>
        <v>Motos</v>
      </c>
      <c r="E242" s="71" t="str">
        <f>IFERROR(__xludf.DUMMYFUNCTION("""COMPUTED_VALUE"""),"https://docs.fivem.net/vehicles/ratbike.webp")</f>
        <v>https://docs.fivem.net/vehicles/ratbike.webp</v>
      </c>
    </row>
    <row r="243" ht="15.75" customHeight="1">
      <c r="A243" s="69" t="str">
        <f>IFERROR(__xludf.DUMMYFUNCTION("""COMPUTED_VALUE"""),"reever")</f>
        <v>reever</v>
      </c>
      <c r="B243" s="69" t="str">
        <f>IFERROR(__xludf.DUMMYFUNCTION("""COMPUTED_VALUE"""),"Reever")</f>
        <v>Reever</v>
      </c>
      <c r="C243" s="70">
        <f>IFERROR(__xludf.DUMMYFUNCTION("""COMPUTED_VALUE"""),45000.0)</f>
        <v>45000</v>
      </c>
      <c r="D243" s="70" t="str">
        <f>IFERROR(__xludf.DUMMYFUNCTION("""COMPUTED_VALUE"""),"Motos")</f>
        <v>Motos</v>
      </c>
      <c r="E243" s="71" t="str">
        <f>IFERROR(__xludf.DUMMYFUNCTION("""COMPUTED_VALUE"""),"https://docs.fivem.net/vehicles/reever.webp")</f>
        <v>https://docs.fivem.net/vehicles/reever.webp</v>
      </c>
    </row>
    <row r="244" ht="15.75" customHeight="1">
      <c r="A244" s="69" t="str">
        <f>IFERROR(__xludf.DUMMYFUNCTION("""COMPUTED_VALUE"""),"ruffian")</f>
        <v>ruffian</v>
      </c>
      <c r="B244" s="69" t="str">
        <f>IFERROR(__xludf.DUMMYFUNCTION("""COMPUTED_VALUE"""),"Ruffian")</f>
        <v>Ruffian</v>
      </c>
      <c r="C244" s="70">
        <f>IFERROR(__xludf.DUMMYFUNCTION("""COMPUTED_VALUE"""),19500.0)</f>
        <v>19500</v>
      </c>
      <c r="D244" s="70" t="str">
        <f>IFERROR(__xludf.DUMMYFUNCTION("""COMPUTED_VALUE"""),"Motos")</f>
        <v>Motos</v>
      </c>
      <c r="E244" s="71" t="str">
        <f>IFERROR(__xludf.DUMMYFUNCTION("""COMPUTED_VALUE"""),"https://docs.fivem.net/vehicles/ruffian.webp")</f>
        <v>https://docs.fivem.net/vehicles/ruffian.webp</v>
      </c>
    </row>
    <row r="245" ht="15.75" customHeight="1">
      <c r="A245" s="69" t="str">
        <f>IFERROR(__xludf.DUMMYFUNCTION("""COMPUTED_VALUE"""),"sanchez")</f>
        <v>sanchez</v>
      </c>
      <c r="B245" s="69" t="str">
        <f>IFERROR(__xludf.DUMMYFUNCTION("""COMPUTED_VALUE"""),"Sanchez Livery")</f>
        <v>Sanchez Livery</v>
      </c>
      <c r="C245" s="70">
        <f>IFERROR(__xludf.DUMMYFUNCTION("""COMPUTED_VALUE"""),27500.0)</f>
        <v>27500</v>
      </c>
      <c r="D245" s="70" t="str">
        <f>IFERROR(__xludf.DUMMYFUNCTION("""COMPUTED_VALUE"""),"Motos")</f>
        <v>Motos</v>
      </c>
      <c r="E245" s="71" t="str">
        <f>IFERROR(__xludf.DUMMYFUNCTION("""COMPUTED_VALUE"""),"https://docs.fivem.net/vehicles/sanchez.webp")</f>
        <v>https://docs.fivem.net/vehicles/sanchez.webp</v>
      </c>
    </row>
    <row r="246" ht="15.75" customHeight="1">
      <c r="A246" s="69" t="str">
        <f>IFERROR(__xludf.DUMMYFUNCTION("""COMPUTED_VALUE"""),"sanchez2")</f>
        <v>sanchez2</v>
      </c>
      <c r="B246" s="69" t="str">
        <f>IFERROR(__xludf.DUMMYFUNCTION("""COMPUTED_VALUE"""),"Sanchez")</f>
        <v>Sanchez</v>
      </c>
      <c r="C246" s="70">
        <f>IFERROR(__xludf.DUMMYFUNCTION("""COMPUTED_VALUE"""),30000.0)</f>
        <v>30000</v>
      </c>
      <c r="D246" s="70" t="str">
        <f>IFERROR(__xludf.DUMMYFUNCTION("""COMPUTED_VALUE"""),"Motos")</f>
        <v>Motos</v>
      </c>
      <c r="E246" s="71" t="str">
        <f>IFERROR(__xludf.DUMMYFUNCTION("""COMPUTED_VALUE"""),"https://docs.fivem.net/vehicles/sanchez2.webp")</f>
        <v>https://docs.fivem.net/vehicles/sanchez2.webp</v>
      </c>
    </row>
    <row r="247" ht="15.75" customHeight="1">
      <c r="A247" s="69" t="str">
        <f>IFERROR(__xludf.DUMMYFUNCTION("""COMPUTED_VALUE"""),"sanctus")</f>
        <v>sanctus</v>
      </c>
      <c r="B247" s="69" t="str">
        <f>IFERROR(__xludf.DUMMYFUNCTION("""COMPUTED_VALUE"""),"Sanctus")</f>
        <v>Sanctus</v>
      </c>
      <c r="C247" s="70">
        <f>IFERROR(__xludf.DUMMYFUNCTION("""COMPUTED_VALUE"""),98000.0)</f>
        <v>98000</v>
      </c>
      <c r="D247" s="70" t="str">
        <f>IFERROR(__xludf.DUMMYFUNCTION("""COMPUTED_VALUE"""),"Motos")</f>
        <v>Motos</v>
      </c>
      <c r="E247" s="71" t="str">
        <f>IFERROR(__xludf.DUMMYFUNCTION("""COMPUTED_VALUE"""),"https://docs.fivem.net/vehicles/sanctus.webp")</f>
        <v>https://docs.fivem.net/vehicles/sanctus.webp</v>
      </c>
    </row>
    <row r="248" ht="15.75" customHeight="1">
      <c r="A248" s="69" t="str">
        <f>IFERROR(__xludf.DUMMYFUNCTION("""COMPUTED_VALUE"""),"shinobi")</f>
        <v>shinobi</v>
      </c>
      <c r="B248" s="69" t="str">
        <f>IFERROR(__xludf.DUMMYFUNCTION("""COMPUTED_VALUE"""),"Shinobi")</f>
        <v>Shinobi</v>
      </c>
      <c r="C248" s="70">
        <f>IFERROR(__xludf.DUMMYFUNCTION("""COMPUTED_VALUE"""),100000.0)</f>
        <v>100000</v>
      </c>
      <c r="D248" s="70" t="str">
        <f>IFERROR(__xludf.DUMMYFUNCTION("""COMPUTED_VALUE"""),"Motos")</f>
        <v>Motos</v>
      </c>
      <c r="E248" s="71" t="str">
        <f>IFERROR(__xludf.DUMMYFUNCTION("""COMPUTED_VALUE"""),"https://docs.fivem.net/vehicles/shinobi.webp")</f>
        <v>https://docs.fivem.net/vehicles/shinobi.webp</v>
      </c>
    </row>
    <row r="249" ht="15.75" customHeight="1">
      <c r="A249" s="69" t="str">
        <f>IFERROR(__xludf.DUMMYFUNCTION("""COMPUTED_VALUE"""),"shotaro")</f>
        <v>shotaro</v>
      </c>
      <c r="B249" s="69" t="str">
        <f>IFERROR(__xludf.DUMMYFUNCTION("""COMPUTED_VALUE"""),"Shotaro")</f>
        <v>Shotaro</v>
      </c>
      <c r="C249" s="70">
        <f>IFERROR(__xludf.DUMMYFUNCTION("""COMPUTED_VALUE"""),250000.0)</f>
        <v>250000</v>
      </c>
      <c r="D249" s="70" t="str">
        <f>IFERROR(__xludf.DUMMYFUNCTION("""COMPUTED_VALUE"""),"Motos")</f>
        <v>Motos</v>
      </c>
      <c r="E249" s="71" t="str">
        <f>IFERROR(__xludf.DUMMYFUNCTION("""COMPUTED_VALUE"""),"https://docs.fivem.net/vehicles/shotaro.webp")</f>
        <v>https://docs.fivem.net/vehicles/shotaro.webp</v>
      </c>
    </row>
    <row r="250" ht="15.75" customHeight="1">
      <c r="A250" s="69" t="str">
        <f>IFERROR(__xludf.DUMMYFUNCTION("""COMPUTED_VALUE"""),"sovereign")</f>
        <v>sovereign</v>
      </c>
      <c r="B250" s="69" t="str">
        <f>IFERROR(__xludf.DUMMYFUNCTION("""COMPUTED_VALUE"""),"Sovereign")</f>
        <v>Sovereign</v>
      </c>
      <c r="C250" s="70">
        <f>IFERROR(__xludf.DUMMYFUNCTION("""COMPUTED_VALUE"""),18000.0)</f>
        <v>18000</v>
      </c>
      <c r="D250" s="70" t="str">
        <f>IFERROR(__xludf.DUMMYFUNCTION("""COMPUTED_VALUE"""),"Motos")</f>
        <v>Motos</v>
      </c>
      <c r="E250" s="71" t="str">
        <f>IFERROR(__xludf.DUMMYFUNCTION("""COMPUTED_VALUE"""),"https://docs.fivem.net/vehicles/sovereign.webp")</f>
        <v>https://docs.fivem.net/vehicles/sovereign.webp</v>
      </c>
    </row>
    <row r="251" ht="15.75" customHeight="1">
      <c r="A251" s="69" t="str">
        <f>IFERROR(__xludf.DUMMYFUNCTION("""COMPUTED_VALUE"""),"stryder")</f>
        <v>stryder</v>
      </c>
      <c r="B251" s="69" t="str">
        <f>IFERROR(__xludf.DUMMYFUNCTION("""COMPUTED_VALUE"""),"Stryder")</f>
        <v>Stryder</v>
      </c>
      <c r="C251" s="70">
        <f>IFERROR(__xludf.DUMMYFUNCTION("""COMPUTED_VALUE"""),40000.0)</f>
        <v>40000</v>
      </c>
      <c r="D251" s="70" t="str">
        <f>IFERROR(__xludf.DUMMYFUNCTION("""COMPUTED_VALUE"""),"Motos")</f>
        <v>Motos</v>
      </c>
      <c r="E251" s="71" t="str">
        <f>IFERROR(__xludf.DUMMYFUNCTION("""COMPUTED_VALUE"""),"https://docs.fivem.net/vehicles/stryder.webp")</f>
        <v>https://docs.fivem.net/vehicles/stryder.webp</v>
      </c>
    </row>
    <row r="252" ht="15.75" customHeight="1">
      <c r="A252" s="69" t="str">
        <f>IFERROR(__xludf.DUMMYFUNCTION("""COMPUTED_VALUE"""),"thrust")</f>
        <v>thrust</v>
      </c>
      <c r="B252" s="69" t="str">
        <f>IFERROR(__xludf.DUMMYFUNCTION("""COMPUTED_VALUE"""),"Thrust")</f>
        <v>Thrust</v>
      </c>
      <c r="C252" s="70">
        <f>IFERROR(__xludf.DUMMYFUNCTION("""COMPUTED_VALUE"""),19000.0)</f>
        <v>19000</v>
      </c>
      <c r="D252" s="70" t="str">
        <f>IFERROR(__xludf.DUMMYFUNCTION("""COMPUTED_VALUE"""),"Motos")</f>
        <v>Motos</v>
      </c>
      <c r="E252" s="71" t="str">
        <f>IFERROR(__xludf.DUMMYFUNCTION("""COMPUTED_VALUE"""),"https://docs.fivem.net/vehicles/thrust.webp")</f>
        <v>https://docs.fivem.net/vehicles/thrust.webp</v>
      </c>
    </row>
    <row r="253" ht="15.75" customHeight="1">
      <c r="A253" s="69" t="str">
        <f>IFERROR(__xludf.DUMMYFUNCTION("""COMPUTED_VALUE"""),"vader")</f>
        <v>vader</v>
      </c>
      <c r="B253" s="69" t="str">
        <f>IFERROR(__xludf.DUMMYFUNCTION("""COMPUTED_VALUE"""),"Vader")</f>
        <v>Vader</v>
      </c>
      <c r="C253" s="70">
        <f>IFERROR(__xludf.DUMMYFUNCTION("""COMPUTED_VALUE"""),32500.0)</f>
        <v>32500</v>
      </c>
      <c r="D253" s="70" t="str">
        <f>IFERROR(__xludf.DUMMYFUNCTION("""COMPUTED_VALUE"""),"Motos")</f>
        <v>Motos</v>
      </c>
      <c r="E253" s="71" t="str">
        <f>IFERROR(__xludf.DUMMYFUNCTION("""COMPUTED_VALUE"""),"https://docs.fivem.net/vehicles/vader.webp")</f>
        <v>https://docs.fivem.net/vehicles/vader.webp</v>
      </c>
    </row>
    <row r="254" ht="15.75" customHeight="1">
      <c r="A254" s="69" t="str">
        <f>IFERROR(__xludf.DUMMYFUNCTION("""COMPUTED_VALUE"""),"vindicator")</f>
        <v>vindicator</v>
      </c>
      <c r="B254" s="69" t="str">
        <f>IFERROR(__xludf.DUMMYFUNCTION("""COMPUTED_VALUE"""),"Vindicator")</f>
        <v>Vindicator</v>
      </c>
      <c r="C254" s="70">
        <f>IFERROR(__xludf.DUMMYFUNCTION("""COMPUTED_VALUE"""),18000.0)</f>
        <v>18000</v>
      </c>
      <c r="D254" s="70" t="str">
        <f>IFERROR(__xludf.DUMMYFUNCTION("""COMPUTED_VALUE"""),"Motos")</f>
        <v>Motos</v>
      </c>
      <c r="E254" s="71" t="str">
        <f>IFERROR(__xludf.DUMMYFUNCTION("""COMPUTED_VALUE"""),"https://docs.fivem.net/vehicles/vindicator.webp")</f>
        <v>https://docs.fivem.net/vehicles/vindicator.webp</v>
      </c>
    </row>
    <row r="255" ht="15.75" customHeight="1">
      <c r="A255" s="69" t="str">
        <f>IFERROR(__xludf.DUMMYFUNCTION("""COMPUTED_VALUE"""),"vortex")</f>
        <v>vortex</v>
      </c>
      <c r="B255" s="69" t="str">
        <f>IFERROR(__xludf.DUMMYFUNCTION("""COMPUTED_VALUE"""),"Vortex")</f>
        <v>Vortex</v>
      </c>
      <c r="C255" s="70">
        <f>IFERROR(__xludf.DUMMYFUNCTION("""COMPUTED_VALUE"""),33500.0)</f>
        <v>33500</v>
      </c>
      <c r="D255" s="70" t="str">
        <f>IFERROR(__xludf.DUMMYFUNCTION("""COMPUTED_VALUE"""),"Motos")</f>
        <v>Motos</v>
      </c>
      <c r="E255" s="71" t="str">
        <f>IFERROR(__xludf.DUMMYFUNCTION("""COMPUTED_VALUE"""),"https://docs.fivem.net/vehicles/vortex.webp")</f>
        <v>https://docs.fivem.net/vehicles/vortex.webp</v>
      </c>
    </row>
    <row r="256" ht="15.75" customHeight="1">
      <c r="A256" s="69" t="str">
        <f>IFERROR(__xludf.DUMMYFUNCTION("""COMPUTED_VALUE"""),"wolfsbane")</f>
        <v>wolfsbane</v>
      </c>
      <c r="B256" s="69" t="str">
        <f>IFERROR(__xludf.DUMMYFUNCTION("""COMPUTED_VALUE"""),"Wolfsbane")</f>
        <v>Wolfsbane</v>
      </c>
      <c r="C256" s="70">
        <f>IFERROR(__xludf.DUMMYFUNCTION("""COMPUTED_VALUE"""),21000.0)</f>
        <v>21000</v>
      </c>
      <c r="D256" s="70" t="str">
        <f>IFERROR(__xludf.DUMMYFUNCTION("""COMPUTED_VALUE"""),"Motos")</f>
        <v>Motos</v>
      </c>
      <c r="E256" s="71" t="str">
        <f>IFERROR(__xludf.DUMMYFUNCTION("""COMPUTED_VALUE"""),"https://docs.fivem.net/vehicles/wolfsbane.webp")</f>
        <v>https://docs.fivem.net/vehicles/wolfsbane.webp</v>
      </c>
    </row>
    <row r="257" ht="15.75" customHeight="1">
      <c r="A257" s="69" t="str">
        <f>IFERROR(__xludf.DUMMYFUNCTION("""COMPUTED_VALUE"""),"zombiea")</f>
        <v>zombiea</v>
      </c>
      <c r="B257" s="69" t="str">
        <f>IFERROR(__xludf.DUMMYFUNCTION("""COMPUTED_VALUE"""),"Zombie Bobber")</f>
        <v>Zombie Bobber</v>
      </c>
      <c r="C257" s="70">
        <f>IFERROR(__xludf.DUMMYFUNCTION("""COMPUTED_VALUE"""),38500.0)</f>
        <v>38500</v>
      </c>
      <c r="D257" s="70" t="str">
        <f>IFERROR(__xludf.DUMMYFUNCTION("""COMPUTED_VALUE"""),"Motos")</f>
        <v>Motos</v>
      </c>
      <c r="E257" s="71" t="str">
        <f>IFERROR(__xludf.DUMMYFUNCTION("""COMPUTED_VALUE"""),"https://docs.fivem.net/vehicles/zombiea.webp")</f>
        <v>https://docs.fivem.net/vehicles/zombiea.webp</v>
      </c>
    </row>
    <row r="258" ht="15.75" customHeight="1">
      <c r="A258" s="69" t="str">
        <f>IFERROR(__xludf.DUMMYFUNCTION("""COMPUTED_VALUE"""),"zombieb")</f>
        <v>zombieb</v>
      </c>
      <c r="B258" s="69" t="str">
        <f>IFERROR(__xludf.DUMMYFUNCTION("""COMPUTED_VALUE"""),"Zombie Chopper")</f>
        <v>Zombie Chopper</v>
      </c>
      <c r="C258" s="70">
        <f>IFERROR(__xludf.DUMMYFUNCTION("""COMPUTED_VALUE"""),48000.0)</f>
        <v>48000</v>
      </c>
      <c r="D258" s="70" t="str">
        <f>IFERROR(__xludf.DUMMYFUNCTION("""COMPUTED_VALUE"""),"Motos")</f>
        <v>Motos</v>
      </c>
      <c r="E258" s="71" t="str">
        <f>IFERROR(__xludf.DUMMYFUNCTION("""COMPUTED_VALUE"""),"https://docs.fivem.net/vehicles/zombieb.webp")</f>
        <v>https://docs.fivem.net/vehicles/zombieb.webp</v>
      </c>
    </row>
    <row r="259" ht="15.75" customHeight="1">
      <c r="A259" s="69" t="str">
        <f>IFERROR(__xludf.DUMMYFUNCTION("""COMPUTED_VALUE"""),"blade")</f>
        <v>blade</v>
      </c>
      <c r="B259" s="69" t="str">
        <f>IFERROR(__xludf.DUMMYFUNCTION("""COMPUTED_VALUE"""),"Blade")</f>
        <v>Blade</v>
      </c>
      <c r="C259" s="70">
        <f>IFERROR(__xludf.DUMMYFUNCTION("""COMPUTED_VALUE"""),28500.0)</f>
        <v>28500</v>
      </c>
      <c r="D259" s="70" t="str">
        <f>IFERROR(__xludf.DUMMYFUNCTION("""COMPUTED_VALUE"""),"Muscle")</f>
        <v>Muscle</v>
      </c>
      <c r="E259" s="71" t="str">
        <f>IFERROR(__xludf.DUMMYFUNCTION("""COMPUTED_VALUE"""),"https://docs.fivem.net/vehicles/blade.webp")</f>
        <v>https://docs.fivem.net/vehicles/blade.webp</v>
      </c>
    </row>
    <row r="260" ht="15.75" customHeight="1">
      <c r="A260" s="69" t="str">
        <f>IFERROR(__xludf.DUMMYFUNCTION("""COMPUTED_VALUE"""),"brigham")</f>
        <v>brigham</v>
      </c>
      <c r="B260" s="69" t="str">
        <f>IFERROR(__xludf.DUMMYFUNCTION("""COMPUTED_VALUE"""),"Brigham")</f>
        <v>Brigham</v>
      </c>
      <c r="C260" s="70">
        <f>IFERROR(__xludf.DUMMYFUNCTION("""COMPUTED_VALUE"""),26500.0)</f>
        <v>26500</v>
      </c>
      <c r="D260" s="70" t="str">
        <f>IFERROR(__xludf.DUMMYFUNCTION("""COMPUTED_VALUE"""),"Muscle")</f>
        <v>Muscle</v>
      </c>
      <c r="E260" s="71" t="str">
        <f>IFERROR(__xludf.DUMMYFUNCTION("""COMPUTED_VALUE"""),"https://docs.fivem.net/vehicles/brigham.webp")</f>
        <v>https://docs.fivem.net/vehicles/brigham.webp</v>
      </c>
    </row>
    <row r="261" ht="15.75" customHeight="1">
      <c r="A261" s="69" t="str">
        <f>IFERROR(__xludf.DUMMYFUNCTION("""COMPUTED_VALUE"""),"buccaneer")</f>
        <v>buccaneer</v>
      </c>
      <c r="B261" s="69" t="str">
        <f>IFERROR(__xludf.DUMMYFUNCTION("""COMPUTED_VALUE"""),"Buccaneer")</f>
        <v>Buccaneer</v>
      </c>
      <c r="C261" s="70">
        <f>IFERROR(__xludf.DUMMYFUNCTION("""COMPUTED_VALUE"""),19000.0)</f>
        <v>19000</v>
      </c>
      <c r="D261" s="70" t="str">
        <f>IFERROR(__xludf.DUMMYFUNCTION("""COMPUTED_VALUE"""),"Muscle")</f>
        <v>Muscle</v>
      </c>
      <c r="E261" s="71" t="str">
        <f>IFERROR(__xludf.DUMMYFUNCTION("""COMPUTED_VALUE"""),"https://docs.fivem.net/vehicles/buccaneer.webp")</f>
        <v>https://docs.fivem.net/vehicles/buccaneer.webp</v>
      </c>
    </row>
    <row r="262" ht="15.75" customHeight="1">
      <c r="A262" s="69" t="str">
        <f>IFERROR(__xludf.DUMMYFUNCTION("""COMPUTED_VALUE"""),"buccaneer2")</f>
        <v>buccaneer2</v>
      </c>
      <c r="B262" s="69" t="str">
        <f>IFERROR(__xludf.DUMMYFUNCTION("""COMPUTED_VALUE"""),"Buccaneer Rider")</f>
        <v>Buccaneer Rider</v>
      </c>
      <c r="C262" s="70">
        <f>IFERROR(__xludf.DUMMYFUNCTION("""COMPUTED_VALUE"""),22500.0)</f>
        <v>22500</v>
      </c>
      <c r="D262" s="70" t="str">
        <f>IFERROR(__xludf.DUMMYFUNCTION("""COMPUTED_VALUE"""),"Muscle")</f>
        <v>Muscle</v>
      </c>
      <c r="E262" s="71" t="str">
        <f>IFERROR(__xludf.DUMMYFUNCTION("""COMPUTED_VALUE"""),"https://docs.fivem.net/vehicles/buccaneer2.webp")</f>
        <v>https://docs.fivem.net/vehicles/buccaneer2.webp</v>
      </c>
    </row>
    <row r="263" ht="15.75" customHeight="1">
      <c r="A263" s="69" t="str">
        <f>IFERROR(__xludf.DUMMYFUNCTION("""COMPUTED_VALUE"""),"buffalo")</f>
        <v>buffalo</v>
      </c>
      <c r="B263" s="69" t="str">
        <f>IFERROR(__xludf.DUMMYFUNCTION("""COMPUTED_VALUE"""),"Buffalo")</f>
        <v>Buffalo</v>
      </c>
      <c r="C263" s="70">
        <f>IFERROR(__xludf.DUMMYFUNCTION("""COMPUTED_VALUE"""),45000.0)</f>
        <v>45000</v>
      </c>
      <c r="D263" s="70" t="str">
        <f>IFERROR(__xludf.DUMMYFUNCTION("""COMPUTED_VALUE"""),"Muscle")</f>
        <v>Muscle</v>
      </c>
      <c r="E263" s="71" t="str">
        <f>IFERROR(__xludf.DUMMYFUNCTION("""COMPUTED_VALUE"""),"https://docs.fivem.net/vehicles/buffalo.webp")</f>
        <v>https://docs.fivem.net/vehicles/buffalo.webp</v>
      </c>
    </row>
    <row r="264" ht="15.75" customHeight="1">
      <c r="A264" s="69" t="str">
        <f>IFERROR(__xludf.DUMMYFUNCTION("""COMPUTED_VALUE"""),"buffalo2")</f>
        <v>buffalo2</v>
      </c>
      <c r="B264" s="69" t="str">
        <f>IFERROR(__xludf.DUMMYFUNCTION("""COMPUTED_VALUE"""),"Buffalo S")</f>
        <v>Buffalo S</v>
      </c>
      <c r="C264" s="70">
        <f>IFERROR(__xludf.DUMMYFUNCTION("""COMPUTED_VALUE"""),55000.0)</f>
        <v>55000</v>
      </c>
      <c r="D264" s="70" t="str">
        <f>IFERROR(__xludf.DUMMYFUNCTION("""COMPUTED_VALUE"""),"Muscle")</f>
        <v>Muscle</v>
      </c>
      <c r="E264" s="71" t="str">
        <f>IFERROR(__xludf.DUMMYFUNCTION("""COMPUTED_VALUE"""),"https://docs.fivem.net/vehicles/buffalo2.webp")</f>
        <v>https://docs.fivem.net/vehicles/buffalo2.webp</v>
      </c>
    </row>
    <row r="265" ht="15.75" customHeight="1">
      <c r="A265" s="69" t="str">
        <f>IFERROR(__xludf.DUMMYFUNCTION("""COMPUTED_VALUE"""),"buffalo4")</f>
        <v>buffalo4</v>
      </c>
      <c r="B265" s="69" t="str">
        <f>IFERROR(__xludf.DUMMYFUNCTION("""COMPUTED_VALUE"""),"Buffalo STX")</f>
        <v>Buffalo STX</v>
      </c>
      <c r="C265" s="70">
        <f>IFERROR(__xludf.DUMMYFUNCTION("""COMPUTED_VALUE"""),92000.0)</f>
        <v>92000</v>
      </c>
      <c r="D265" s="70" t="str">
        <f>IFERROR(__xludf.DUMMYFUNCTION("""COMPUTED_VALUE"""),"Muscle")</f>
        <v>Muscle</v>
      </c>
      <c r="E265" s="71" t="str">
        <f>IFERROR(__xludf.DUMMYFUNCTION("""COMPUTED_VALUE"""),"https://docs.fivem.net/vehicles/buffalo4.webp")</f>
        <v>https://docs.fivem.net/vehicles/buffalo4.webp</v>
      </c>
    </row>
    <row r="266" ht="15.75" customHeight="1">
      <c r="A266" s="69" t="str">
        <f>IFERROR(__xludf.DUMMYFUNCTION("""COMPUTED_VALUE"""),"buffalo5")</f>
        <v>buffalo5</v>
      </c>
      <c r="B266" s="69" t="str">
        <f>IFERROR(__xludf.DUMMYFUNCTION("""COMPUTED_VALUE"""),"Buffalo EVX")</f>
        <v>Buffalo EVX</v>
      </c>
      <c r="C266" s="70">
        <f>IFERROR(__xludf.DUMMYFUNCTION("""COMPUTED_VALUE"""),98000.0)</f>
        <v>98000</v>
      </c>
      <c r="D266" s="70" t="str">
        <f>IFERROR(__xludf.DUMMYFUNCTION("""COMPUTED_VALUE"""),"Muscle")</f>
        <v>Muscle</v>
      </c>
      <c r="E266" s="71" t="str">
        <f>IFERROR(__xludf.DUMMYFUNCTION("""COMPUTED_VALUE"""),"https://docs.fivem.net/vehicles/buffalo5.webp")</f>
        <v>https://docs.fivem.net/vehicles/buffalo5.webp</v>
      </c>
    </row>
    <row r="267" ht="15.75" customHeight="1">
      <c r="A267" s="69" t="str">
        <f>IFERROR(__xludf.DUMMYFUNCTION("""COMPUTED_VALUE"""),"chino")</f>
        <v>chino</v>
      </c>
      <c r="B267" s="69" t="str">
        <f>IFERROR(__xludf.DUMMYFUNCTION("""COMPUTED_VALUE"""),"Chino")</f>
        <v>Chino</v>
      </c>
      <c r="C267" s="70">
        <f>IFERROR(__xludf.DUMMYFUNCTION("""COMPUTED_VALUE"""),12000.0)</f>
        <v>12000</v>
      </c>
      <c r="D267" s="70" t="str">
        <f>IFERROR(__xludf.DUMMYFUNCTION("""COMPUTED_VALUE"""),"Muscle")</f>
        <v>Muscle</v>
      </c>
      <c r="E267" s="71" t="str">
        <f>IFERROR(__xludf.DUMMYFUNCTION("""COMPUTED_VALUE"""),"https://docs.fivem.net/vehicles/chino.webp")</f>
        <v>https://docs.fivem.net/vehicles/chino.webp</v>
      </c>
    </row>
    <row r="268" ht="15.75" customHeight="1">
      <c r="A268" s="69" t="str">
        <f>IFERROR(__xludf.DUMMYFUNCTION("""COMPUTED_VALUE"""),"chino2")</f>
        <v>chino2</v>
      </c>
      <c r="B268" s="69" t="str">
        <f>IFERROR(__xludf.DUMMYFUNCTION("""COMPUTED_VALUE"""),"Chino Luxe")</f>
        <v>Chino Luxe</v>
      </c>
      <c r="C268" s="70">
        <f>IFERROR(__xludf.DUMMYFUNCTION("""COMPUTED_VALUE"""),19000.0)</f>
        <v>19000</v>
      </c>
      <c r="D268" s="70" t="str">
        <f>IFERROR(__xludf.DUMMYFUNCTION("""COMPUTED_VALUE"""),"Muscle")</f>
        <v>Muscle</v>
      </c>
      <c r="E268" s="71" t="str">
        <f>IFERROR(__xludf.DUMMYFUNCTION("""COMPUTED_VALUE"""),"https://docs.fivem.net/vehicles/chino2.webp")</f>
        <v>https://docs.fivem.net/vehicles/chino2.webp</v>
      </c>
    </row>
    <row r="269" ht="15.75" customHeight="1">
      <c r="A269" s="69" t="str">
        <f>IFERROR(__xludf.DUMMYFUNCTION("""COMPUTED_VALUE"""),"clique")</f>
        <v>clique</v>
      </c>
      <c r="B269" s="69" t="str">
        <f>IFERROR(__xludf.DUMMYFUNCTION("""COMPUTED_VALUE"""),"Clique")</f>
        <v>Clique</v>
      </c>
      <c r="C269" s="70">
        <f>IFERROR(__xludf.DUMMYFUNCTION("""COMPUTED_VALUE"""),34500.0)</f>
        <v>34500</v>
      </c>
      <c r="D269" s="70" t="str">
        <f>IFERROR(__xludf.DUMMYFUNCTION("""COMPUTED_VALUE"""),"Muscle")</f>
        <v>Muscle</v>
      </c>
      <c r="E269" s="71" t="str">
        <f>IFERROR(__xludf.DUMMYFUNCTION("""COMPUTED_VALUE"""),"https://docs.fivem.net/vehicles/clique.webp")</f>
        <v>https://docs.fivem.net/vehicles/clique.webp</v>
      </c>
    </row>
    <row r="270" ht="15.75" customHeight="1">
      <c r="A270" s="69" t="str">
        <f>IFERROR(__xludf.DUMMYFUNCTION("""COMPUTED_VALUE"""),"clique2")</f>
        <v>clique2</v>
      </c>
      <c r="B270" s="69" t="str">
        <f>IFERROR(__xludf.DUMMYFUNCTION("""COMPUTED_VALUE"""),"Clique Wagon")</f>
        <v>Clique Wagon</v>
      </c>
      <c r="C270" s="70">
        <f>IFERROR(__xludf.DUMMYFUNCTION("""COMPUTED_VALUE"""),21000.0)</f>
        <v>21000</v>
      </c>
      <c r="D270" s="70" t="str">
        <f>IFERROR(__xludf.DUMMYFUNCTION("""COMPUTED_VALUE"""),"Muscle")</f>
        <v>Muscle</v>
      </c>
      <c r="E270" s="71" t="str">
        <f>IFERROR(__xludf.DUMMYFUNCTION("""COMPUTED_VALUE"""),"https://docs.fivem.net/vehicles/clique2.webp")</f>
        <v>https://docs.fivem.net/vehicles/clique2.webp</v>
      </c>
    </row>
    <row r="271" ht="15.75" customHeight="1">
      <c r="A271" s="69" t="str">
        <f>IFERROR(__xludf.DUMMYFUNCTION("""COMPUTED_VALUE"""),"deviant")</f>
        <v>deviant</v>
      </c>
      <c r="B271" s="69" t="str">
        <f>IFERROR(__xludf.DUMMYFUNCTION("""COMPUTED_VALUE"""),"Deviant")</f>
        <v>Deviant</v>
      </c>
      <c r="C271" s="70">
        <f>IFERROR(__xludf.DUMMYFUNCTION("""COMPUTED_VALUE"""),46000.0)</f>
        <v>46000</v>
      </c>
      <c r="D271" s="70" t="str">
        <f>IFERROR(__xludf.DUMMYFUNCTION("""COMPUTED_VALUE"""),"Muscle")</f>
        <v>Muscle</v>
      </c>
      <c r="E271" s="71" t="str">
        <f>IFERROR(__xludf.DUMMYFUNCTION("""COMPUTED_VALUE"""),"https://docs.fivem.net/vehicles/deviant.webp")</f>
        <v>https://docs.fivem.net/vehicles/deviant.webp</v>
      </c>
    </row>
    <row r="272" ht="15.75" customHeight="1">
      <c r="A272" s="69" t="str">
        <f>IFERROR(__xludf.DUMMYFUNCTION("""COMPUTED_VALUE"""),"dominator")</f>
        <v>dominator</v>
      </c>
      <c r="B272" s="69" t="str">
        <f>IFERROR(__xludf.DUMMYFUNCTION("""COMPUTED_VALUE"""),"Dominator")</f>
        <v>Dominator</v>
      </c>
      <c r="C272" s="70">
        <f>IFERROR(__xludf.DUMMYFUNCTION("""COMPUTED_VALUE"""),56500.0)</f>
        <v>56500</v>
      </c>
      <c r="D272" s="70" t="str">
        <f>IFERROR(__xludf.DUMMYFUNCTION("""COMPUTED_VALUE"""),"Muscle")</f>
        <v>Muscle</v>
      </c>
      <c r="E272" s="71" t="str">
        <f>IFERROR(__xludf.DUMMYFUNCTION("""COMPUTED_VALUE"""),"https://docs.fivem.net/vehicles/dominator.webp")</f>
        <v>https://docs.fivem.net/vehicles/dominator.webp</v>
      </c>
    </row>
    <row r="273" ht="15.75" customHeight="1">
      <c r="A273" s="69" t="str">
        <f>IFERROR(__xludf.DUMMYFUNCTION("""COMPUTED_VALUE"""),"dominator2")</f>
        <v>dominator2</v>
      </c>
      <c r="B273" s="69" t="str">
        <f>IFERROR(__xludf.DUMMYFUNCTION("""COMPUTED_VALUE"""),"Dominator Pibwasser")</f>
        <v>Dominator Pibwasser</v>
      </c>
      <c r="C273" s="70">
        <f>IFERROR(__xludf.DUMMYFUNCTION("""COMPUTED_VALUE"""),58000.0)</f>
        <v>58000</v>
      </c>
      <c r="D273" s="70" t="str">
        <f>IFERROR(__xludf.DUMMYFUNCTION("""COMPUTED_VALUE"""),"Muscle")</f>
        <v>Muscle</v>
      </c>
      <c r="E273" s="71" t="str">
        <f>IFERROR(__xludf.DUMMYFUNCTION("""COMPUTED_VALUE"""),"https://docs.fivem.net/vehicles/dominator2.webp")</f>
        <v>https://docs.fivem.net/vehicles/dominator2.webp</v>
      </c>
    </row>
    <row r="274" ht="15.75" customHeight="1">
      <c r="A274" s="69" t="str">
        <f>IFERROR(__xludf.DUMMYFUNCTION("""COMPUTED_VALUE"""),"dominator3")</f>
        <v>dominator3</v>
      </c>
      <c r="B274" s="69" t="str">
        <f>IFERROR(__xludf.DUMMYFUNCTION("""COMPUTED_VALUE"""),"Dominator GTX")</f>
        <v>Dominator GTX</v>
      </c>
      <c r="C274" s="70">
        <f>IFERROR(__xludf.DUMMYFUNCTION("""COMPUTED_VALUE"""),54000.0)</f>
        <v>54000</v>
      </c>
      <c r="D274" s="70" t="str">
        <f>IFERROR(__xludf.DUMMYFUNCTION("""COMPUTED_VALUE"""),"Muscle")</f>
        <v>Muscle</v>
      </c>
      <c r="E274" s="71" t="str">
        <f>IFERROR(__xludf.DUMMYFUNCTION("""COMPUTED_VALUE"""),"https://docs.fivem.net/vehicles/dominator3.webp")</f>
        <v>https://docs.fivem.net/vehicles/dominator3.webp</v>
      </c>
    </row>
    <row r="275" ht="15.75" customHeight="1">
      <c r="A275" s="69" t="str">
        <f>IFERROR(__xludf.DUMMYFUNCTION("""COMPUTED_VALUE"""),"dominator4")</f>
        <v>dominator4</v>
      </c>
      <c r="B275" s="69" t="str">
        <f>IFERROR(__xludf.DUMMYFUNCTION("""COMPUTED_VALUE"""),"Dominator Arena")</f>
        <v>Dominator Arena</v>
      </c>
      <c r="C275" s="70">
        <f>IFERROR(__xludf.DUMMYFUNCTION("""COMPUTED_VALUE"""),75000.0)</f>
        <v>75000</v>
      </c>
      <c r="D275" s="70" t="str">
        <f>IFERROR(__xludf.DUMMYFUNCTION("""COMPUTED_VALUE"""),"Muscle")</f>
        <v>Muscle</v>
      </c>
      <c r="E275" s="71" t="str">
        <f>IFERROR(__xludf.DUMMYFUNCTION("""COMPUTED_VALUE"""),"https://s2.ezgif.com/tmp/ezgif-2f6de6a1563b402c.webp")</f>
        <v>https://s2.ezgif.com/tmp/ezgif-2f6de6a1563b402c.webp</v>
      </c>
    </row>
    <row r="276" ht="15.75" customHeight="1">
      <c r="A276" s="69" t="str">
        <f>IFERROR(__xludf.DUMMYFUNCTION("""COMPUTED_VALUE"""),"dominator7")</f>
        <v>dominator7</v>
      </c>
      <c r="B276" s="69" t="str">
        <f>IFERROR(__xludf.DUMMYFUNCTION("""COMPUTED_VALUE"""),"Dominator ASP")</f>
        <v>Dominator ASP</v>
      </c>
      <c r="C276" s="70">
        <f>IFERROR(__xludf.DUMMYFUNCTION("""COMPUTED_VALUE"""),57000.0)</f>
        <v>57000</v>
      </c>
      <c r="D276" s="70" t="str">
        <f>IFERROR(__xludf.DUMMYFUNCTION("""COMPUTED_VALUE"""),"Muscle")</f>
        <v>Muscle</v>
      </c>
      <c r="E276" s="71" t="str">
        <f>IFERROR(__xludf.DUMMYFUNCTION("""COMPUTED_VALUE"""),"https://docs.fivem.net/vehicles/dominator7.webp")</f>
        <v>https://docs.fivem.net/vehicles/dominator7.webp</v>
      </c>
    </row>
    <row r="277" ht="15.75" customHeight="1">
      <c r="A277" s="69" t="str">
        <f>IFERROR(__xludf.DUMMYFUNCTION("""COMPUTED_VALUE"""),"dominator8")</f>
        <v>dominator8</v>
      </c>
      <c r="B277" s="69" t="str">
        <f>IFERROR(__xludf.DUMMYFUNCTION("""COMPUTED_VALUE"""),"Dominator GTT")</f>
        <v>Dominator GTT</v>
      </c>
      <c r="C277" s="70">
        <f>IFERROR(__xludf.DUMMYFUNCTION("""COMPUTED_VALUE"""),59000.0)</f>
        <v>59000</v>
      </c>
      <c r="D277" s="70" t="str">
        <f>IFERROR(__xludf.DUMMYFUNCTION("""COMPUTED_VALUE"""),"Muscle")</f>
        <v>Muscle</v>
      </c>
      <c r="E277" s="71" t="str">
        <f>IFERROR(__xludf.DUMMYFUNCTION("""COMPUTED_VALUE"""),"https://docs.fivem.net/vehicles/dominator8.webp")</f>
        <v>https://docs.fivem.net/vehicles/dominator8.webp</v>
      </c>
    </row>
    <row r="278" ht="15.75" customHeight="1">
      <c r="A278" s="69" t="str">
        <f>IFERROR(__xludf.DUMMYFUNCTION("""COMPUTED_VALUE"""),"dominator9")</f>
        <v>dominator9</v>
      </c>
      <c r="B278" s="69" t="str">
        <f>IFERROR(__xludf.DUMMYFUNCTION("""COMPUTED_VALUE"""),"Dominator GT")</f>
        <v>Dominator GT</v>
      </c>
      <c r="C278" s="70">
        <f>IFERROR(__xludf.DUMMYFUNCTION("""COMPUTED_VALUE"""),81000.0)</f>
        <v>81000</v>
      </c>
      <c r="D278" s="70" t="str">
        <f>IFERROR(__xludf.DUMMYFUNCTION("""COMPUTED_VALUE"""),"Muscle")</f>
        <v>Muscle</v>
      </c>
      <c r="E278" s="71" t="str">
        <f>IFERROR(__xludf.DUMMYFUNCTION("""COMPUTED_VALUE"""),"https://docs.fivem.net/vehicles/dominator9.webp")</f>
        <v>https://docs.fivem.net/vehicles/dominator9.webp</v>
      </c>
    </row>
    <row r="279" ht="15.75" customHeight="1">
      <c r="A279" s="69" t="str">
        <f>IFERROR(__xludf.DUMMYFUNCTION("""COMPUTED_VALUE"""),"dukes")</f>
        <v>dukes</v>
      </c>
      <c r="B279" s="69" t="str">
        <f>IFERROR(__xludf.DUMMYFUNCTION("""COMPUTED_VALUE"""),"Dukes")</f>
        <v>Dukes</v>
      </c>
      <c r="C279" s="70">
        <f>IFERROR(__xludf.DUMMYFUNCTION("""COMPUTED_VALUE"""),25000.0)</f>
        <v>25000</v>
      </c>
      <c r="D279" s="70" t="str">
        <f>IFERROR(__xludf.DUMMYFUNCTION("""COMPUTED_VALUE"""),"Muscle")</f>
        <v>Muscle</v>
      </c>
      <c r="E279" s="71" t="str">
        <f>IFERROR(__xludf.DUMMYFUNCTION("""COMPUTED_VALUE"""),"https://docs.fivem.net/vehicles/dukes.webp")</f>
        <v>https://docs.fivem.net/vehicles/dukes.webp</v>
      </c>
    </row>
    <row r="280" ht="15.75" customHeight="1">
      <c r="A280" s="69" t="str">
        <f>IFERROR(__xludf.DUMMYFUNCTION("""COMPUTED_VALUE"""),"dukes3")</f>
        <v>dukes3</v>
      </c>
      <c r="B280" s="69" t="str">
        <f>IFERROR(__xludf.DUMMYFUNCTION("""COMPUTED_VALUE"""),"Beater Dukes")</f>
        <v>Beater Dukes</v>
      </c>
      <c r="C280" s="70">
        <f>IFERROR(__xludf.DUMMYFUNCTION("""COMPUTED_VALUE"""),43000.0)</f>
        <v>43000</v>
      </c>
      <c r="D280" s="70" t="str">
        <f>IFERROR(__xludf.DUMMYFUNCTION("""COMPUTED_VALUE"""),"Muscle")</f>
        <v>Muscle</v>
      </c>
      <c r="E280" s="71" t="str">
        <f>IFERROR(__xludf.DUMMYFUNCTION("""COMPUTED_VALUE"""),"https://docs.fivem.net/vehicles/dukes3.webp")</f>
        <v>https://docs.fivem.net/vehicles/dukes3.webp</v>
      </c>
    </row>
    <row r="281" ht="15.75" customHeight="1">
      <c r="A281" s="69" t="str">
        <f>IFERROR(__xludf.DUMMYFUNCTION("""COMPUTED_VALUE"""),"ellie")</f>
        <v>ellie</v>
      </c>
      <c r="B281" s="69" t="str">
        <f>IFERROR(__xludf.DUMMYFUNCTION("""COMPUTED_VALUE"""),"Ellie")</f>
        <v>Ellie</v>
      </c>
      <c r="C281" s="70">
        <f>IFERROR(__xludf.DUMMYFUNCTION("""COMPUTED_VALUE"""),42500.0)</f>
        <v>42500</v>
      </c>
      <c r="D281" s="70" t="str">
        <f>IFERROR(__xludf.DUMMYFUNCTION("""COMPUTED_VALUE"""),"Muscle")</f>
        <v>Muscle</v>
      </c>
      <c r="E281" s="71" t="str">
        <f>IFERROR(__xludf.DUMMYFUNCTION("""COMPUTED_VALUE"""),"https://docs.fivem.net/vehicles/ellie.webp")</f>
        <v>https://docs.fivem.net/vehicles/ellie.webp</v>
      </c>
    </row>
    <row r="282" ht="15.75" customHeight="1">
      <c r="A282" s="69" t="str">
        <f>IFERROR(__xludf.DUMMYFUNCTION("""COMPUTED_VALUE"""),"faction")</f>
        <v>faction</v>
      </c>
      <c r="B282" s="69" t="str">
        <f>IFERROR(__xludf.DUMMYFUNCTION("""COMPUTED_VALUE"""),"Faction")</f>
        <v>Faction</v>
      </c>
      <c r="C282" s="70">
        <f>IFERROR(__xludf.DUMMYFUNCTION("""COMPUTED_VALUE"""),27000.0)</f>
        <v>27000</v>
      </c>
      <c r="D282" s="70" t="str">
        <f>IFERROR(__xludf.DUMMYFUNCTION("""COMPUTED_VALUE"""),"Muscle")</f>
        <v>Muscle</v>
      </c>
      <c r="E282" s="71" t="str">
        <f>IFERROR(__xludf.DUMMYFUNCTION("""COMPUTED_VALUE"""),"https://docs.fivem.net/vehicles/faction.webp")</f>
        <v>https://docs.fivem.net/vehicles/faction.webp</v>
      </c>
    </row>
    <row r="283" ht="15.75" customHeight="1">
      <c r="A283" s="69" t="str">
        <f>IFERROR(__xludf.DUMMYFUNCTION("""COMPUTED_VALUE"""),"faction2")</f>
        <v>faction2</v>
      </c>
      <c r="B283" s="69" t="str">
        <f>IFERROR(__xludf.DUMMYFUNCTION("""COMPUTED_VALUE"""),"Faction Rider")</f>
        <v>Faction Rider</v>
      </c>
      <c r="C283" s="70">
        <f>IFERROR(__xludf.DUMMYFUNCTION("""COMPUTED_VALUE"""),19500.0)</f>
        <v>19500</v>
      </c>
      <c r="D283" s="70" t="str">
        <f>IFERROR(__xludf.DUMMYFUNCTION("""COMPUTED_VALUE"""),"Muscle")</f>
        <v>Muscle</v>
      </c>
      <c r="E283" s="71" t="str">
        <f>IFERROR(__xludf.DUMMYFUNCTION("""COMPUTED_VALUE"""),"https://docs.fivem.net/vehicles/faction2.webp")</f>
        <v>https://docs.fivem.net/vehicles/faction2.webp</v>
      </c>
    </row>
    <row r="284" ht="15.75" customHeight="1">
      <c r="A284" s="69" t="str">
        <f>IFERROR(__xludf.DUMMYFUNCTION("""COMPUTED_VALUE"""),"faction3")</f>
        <v>faction3</v>
      </c>
      <c r="B284" s="69" t="str">
        <f>IFERROR(__xludf.DUMMYFUNCTION("""COMPUTED_VALUE"""),"Faction Custom Donk")</f>
        <v>Faction Custom Donk</v>
      </c>
      <c r="C284" s="70">
        <f>IFERROR(__xludf.DUMMYFUNCTION("""COMPUTED_VALUE"""),20000.0)</f>
        <v>20000</v>
      </c>
      <c r="D284" s="70" t="str">
        <f>IFERROR(__xludf.DUMMYFUNCTION("""COMPUTED_VALUE"""),"Muscle")</f>
        <v>Muscle</v>
      </c>
      <c r="E284" s="71" t="str">
        <f>IFERROR(__xludf.DUMMYFUNCTION("""COMPUTED_VALUE"""),"https://docs.fivem.net/vehicles/faction3.webp")</f>
        <v>https://docs.fivem.net/vehicles/faction3.webp</v>
      </c>
    </row>
    <row r="285" ht="15.75" customHeight="1">
      <c r="A285" s="69" t="str">
        <f>IFERROR(__xludf.DUMMYFUNCTION("""COMPUTED_VALUE"""),"gauntlet")</f>
        <v>gauntlet</v>
      </c>
      <c r="B285" s="69" t="str">
        <f>IFERROR(__xludf.DUMMYFUNCTION("""COMPUTED_VALUE"""),"Gauntlet")</f>
        <v>Gauntlet</v>
      </c>
      <c r="C285" s="70">
        <f>IFERROR(__xludf.DUMMYFUNCTION("""COMPUTED_VALUE"""),37500.0)</f>
        <v>37500</v>
      </c>
      <c r="D285" s="70" t="str">
        <f>IFERROR(__xludf.DUMMYFUNCTION("""COMPUTED_VALUE"""),"Muscle")</f>
        <v>Muscle</v>
      </c>
      <c r="E285" s="71" t="str">
        <f>IFERROR(__xludf.DUMMYFUNCTION("""COMPUTED_VALUE"""),"https://docs.fivem.net/vehicles/gauntlet.webp")</f>
        <v>https://docs.fivem.net/vehicles/gauntlet.webp</v>
      </c>
    </row>
    <row r="286" ht="15.75" customHeight="1">
      <c r="A286" s="69" t="str">
        <f>IFERROR(__xludf.DUMMYFUNCTION("""COMPUTED_VALUE"""),"gauntlet2")</f>
        <v>gauntlet2</v>
      </c>
      <c r="B286" s="69" t="str">
        <f>IFERROR(__xludf.DUMMYFUNCTION("""COMPUTED_VALUE"""),"Redwood Gauntlet")</f>
        <v>Redwood Gauntlet</v>
      </c>
      <c r="C286" s="70">
        <f>IFERROR(__xludf.DUMMYFUNCTION("""COMPUTED_VALUE"""),38500.0)</f>
        <v>38500</v>
      </c>
      <c r="D286" s="70" t="str">
        <f>IFERROR(__xludf.DUMMYFUNCTION("""COMPUTED_VALUE"""),"Muscle")</f>
        <v>Muscle</v>
      </c>
      <c r="E286" s="71" t="str">
        <f>IFERROR(__xludf.DUMMYFUNCTION("""COMPUTED_VALUE"""),"https://docs.fivem.net/vehicles/gauntlet2.webp")</f>
        <v>https://docs.fivem.net/vehicles/gauntlet2.webp</v>
      </c>
    </row>
    <row r="287" ht="15.75" customHeight="1">
      <c r="A287" s="69" t="str">
        <f>IFERROR(__xludf.DUMMYFUNCTION("""COMPUTED_VALUE"""),"gauntlet3")</f>
        <v>gauntlet3</v>
      </c>
      <c r="B287" s="69" t="str">
        <f>IFERROR(__xludf.DUMMYFUNCTION("""COMPUTED_VALUE"""),"Gauntlet Classic")</f>
        <v>Gauntlet Classic</v>
      </c>
      <c r="C287" s="70">
        <f>IFERROR(__xludf.DUMMYFUNCTION("""COMPUTED_VALUE"""),32000.0)</f>
        <v>32000</v>
      </c>
      <c r="D287" s="70" t="str">
        <f>IFERROR(__xludf.DUMMYFUNCTION("""COMPUTED_VALUE"""),"Muscle")</f>
        <v>Muscle</v>
      </c>
      <c r="E287" s="71" t="str">
        <f>IFERROR(__xludf.DUMMYFUNCTION("""COMPUTED_VALUE"""),"https://docs.fivem.net/vehicles/gauntlet3.webp")</f>
        <v>https://docs.fivem.net/vehicles/gauntlet3.webp</v>
      </c>
    </row>
    <row r="288" ht="15.75" customHeight="1">
      <c r="A288" s="69" t="str">
        <f>IFERROR(__xludf.DUMMYFUNCTION("""COMPUTED_VALUE"""),"gauntlet4")</f>
        <v>gauntlet4</v>
      </c>
      <c r="B288" s="69" t="str">
        <f>IFERROR(__xludf.DUMMYFUNCTION("""COMPUTED_VALUE"""),"Gauntlet Hellfire")</f>
        <v>Gauntlet Hellfire</v>
      </c>
      <c r="C288" s="70">
        <f>IFERROR(__xludf.DUMMYFUNCTION("""COMPUTED_VALUE"""),78000.0)</f>
        <v>78000</v>
      </c>
      <c r="D288" s="70" t="str">
        <f>IFERROR(__xludf.DUMMYFUNCTION("""COMPUTED_VALUE"""),"Muscle")</f>
        <v>Muscle</v>
      </c>
      <c r="E288" s="71" t="str">
        <f>IFERROR(__xludf.DUMMYFUNCTION("""COMPUTED_VALUE"""),"https://docs.fivem.net/vehicles/gauntlet4.webp")</f>
        <v>https://docs.fivem.net/vehicles/gauntlet4.webp</v>
      </c>
    </row>
    <row r="289" ht="15.75" customHeight="1">
      <c r="A289" s="69" t="str">
        <f>IFERROR(__xludf.DUMMYFUNCTION("""COMPUTED_VALUE"""),"gauntlet5")</f>
        <v>gauntlet5</v>
      </c>
      <c r="B289" s="69" t="str">
        <f>IFERROR(__xludf.DUMMYFUNCTION("""COMPUTED_VALUE"""),"Gauntlet Classic Custom")</f>
        <v>Gauntlet Classic Custom</v>
      </c>
      <c r="C289" s="70">
        <f>IFERROR(__xludf.DUMMYFUNCTION("""COMPUTED_VALUE"""),64500.0)</f>
        <v>64500</v>
      </c>
      <c r="D289" s="70" t="str">
        <f>IFERROR(__xludf.DUMMYFUNCTION("""COMPUTED_VALUE"""),"Muscle")</f>
        <v>Muscle</v>
      </c>
      <c r="E289" s="71" t="str">
        <f>IFERROR(__xludf.DUMMYFUNCTION("""COMPUTED_VALUE"""),"https://docs.fivem.net/vehicles/gauntlet5.webp")</f>
        <v>https://docs.fivem.net/vehicles/gauntlet5.webp</v>
      </c>
    </row>
    <row r="290" ht="15.75" customHeight="1">
      <c r="A290" s="69" t="str">
        <f>IFERROR(__xludf.DUMMYFUNCTION("""COMPUTED_VALUE"""),"greenwood")</f>
        <v>greenwood</v>
      </c>
      <c r="B290" s="69" t="str">
        <f>IFERROR(__xludf.DUMMYFUNCTION("""COMPUTED_VALUE"""),"Greenwood")</f>
        <v>Greenwood</v>
      </c>
      <c r="C290" s="70">
        <f>IFERROR(__xludf.DUMMYFUNCTION("""COMPUTED_VALUE"""),43000.0)</f>
        <v>43000</v>
      </c>
      <c r="D290" s="70" t="str">
        <f>IFERROR(__xludf.DUMMYFUNCTION("""COMPUTED_VALUE"""),"Muscle")</f>
        <v>Muscle</v>
      </c>
      <c r="E290" s="71" t="str">
        <f>IFERROR(__xludf.DUMMYFUNCTION("""COMPUTED_VALUE"""),"https://docs.fivem.net/vehicles/greenwood.webp")</f>
        <v>https://docs.fivem.net/vehicles/greenwood.webp</v>
      </c>
    </row>
    <row r="291" ht="15.75" customHeight="1">
      <c r="A291" s="69" t="str">
        <f>IFERROR(__xludf.DUMMYFUNCTION("""COMPUTED_VALUE"""),"hermes")</f>
        <v>hermes</v>
      </c>
      <c r="B291" s="69" t="str">
        <f>IFERROR(__xludf.DUMMYFUNCTION("""COMPUTED_VALUE"""),"Hermes")</f>
        <v>Hermes</v>
      </c>
      <c r="C291" s="70">
        <f>IFERROR(__xludf.DUMMYFUNCTION("""COMPUTED_VALUE"""),33500.0)</f>
        <v>33500</v>
      </c>
      <c r="D291" s="70" t="str">
        <f>IFERROR(__xludf.DUMMYFUNCTION("""COMPUTED_VALUE"""),"Muscle")</f>
        <v>Muscle</v>
      </c>
      <c r="E291" s="71" t="str">
        <f>IFERROR(__xludf.DUMMYFUNCTION("""COMPUTED_VALUE"""),"https://docs.fivem.net/vehicles/hermes.webp")</f>
        <v>https://docs.fivem.net/vehicles/hermes.webp</v>
      </c>
    </row>
    <row r="292" ht="15.75" customHeight="1">
      <c r="A292" s="69" t="str">
        <f>IFERROR(__xludf.DUMMYFUNCTION("""COMPUTED_VALUE"""),"hotknife")</f>
        <v>hotknife</v>
      </c>
      <c r="B292" s="69" t="str">
        <f>IFERROR(__xludf.DUMMYFUNCTION("""COMPUTED_VALUE"""),"Hotknife")</f>
        <v>Hotknife</v>
      </c>
      <c r="C292" s="70">
        <f>IFERROR(__xludf.DUMMYFUNCTION("""COMPUTED_VALUE"""),68000.0)</f>
        <v>68000</v>
      </c>
      <c r="D292" s="70" t="str">
        <f>IFERROR(__xludf.DUMMYFUNCTION("""COMPUTED_VALUE"""),"Muscle")</f>
        <v>Muscle</v>
      </c>
      <c r="E292" s="71" t="str">
        <f>IFERROR(__xludf.DUMMYFUNCTION("""COMPUTED_VALUE"""),"https://docs.fivem.net/vehicles/hotknife.webp")</f>
        <v>https://docs.fivem.net/vehicles/hotknife.webp</v>
      </c>
    </row>
    <row r="293" ht="15.75" customHeight="1">
      <c r="A293" s="69" t="str">
        <f>IFERROR(__xludf.DUMMYFUNCTION("""COMPUTED_VALUE"""),"hustler")</f>
        <v>hustler</v>
      </c>
      <c r="B293" s="69" t="str">
        <f>IFERROR(__xludf.DUMMYFUNCTION("""COMPUTED_VALUE"""),"Hustler")</f>
        <v>Hustler</v>
      </c>
      <c r="C293" s="70">
        <f>IFERROR(__xludf.DUMMYFUNCTION("""COMPUTED_VALUE"""),63500.0)</f>
        <v>63500</v>
      </c>
      <c r="D293" s="70" t="str">
        <f>IFERROR(__xludf.DUMMYFUNCTION("""COMPUTED_VALUE"""),"Muscle")</f>
        <v>Muscle</v>
      </c>
      <c r="E293" s="71" t="str">
        <f>IFERROR(__xludf.DUMMYFUNCTION("""COMPUTED_VALUE"""),"https://docs.fivem.net/vehicles/hustler.webp")</f>
        <v>https://docs.fivem.net/vehicles/hustler.webp</v>
      </c>
    </row>
    <row r="294" ht="15.75" customHeight="1">
      <c r="A294" s="69" t="str">
        <f>IFERROR(__xludf.DUMMYFUNCTION("""COMPUTED_VALUE"""),"impaler")</f>
        <v>impaler</v>
      </c>
      <c r="B294" s="69" t="str">
        <f>IFERROR(__xludf.DUMMYFUNCTION("""COMPUTED_VALUE"""),"Impaler")</f>
        <v>Impaler</v>
      </c>
      <c r="C294" s="70">
        <f>IFERROR(__xludf.DUMMYFUNCTION("""COMPUTED_VALUE"""),32000.0)</f>
        <v>32000</v>
      </c>
      <c r="D294" s="70" t="str">
        <f>IFERROR(__xludf.DUMMYFUNCTION("""COMPUTED_VALUE"""),"Muscle")</f>
        <v>Muscle</v>
      </c>
      <c r="E294" s="71" t="str">
        <f>IFERROR(__xludf.DUMMYFUNCTION("""COMPUTED_VALUE"""),"https://docs.fivem.net/vehicles/impaler.webp")</f>
        <v>https://docs.fivem.net/vehicles/impaler.webp</v>
      </c>
    </row>
    <row r="295" ht="15.75" customHeight="1">
      <c r="A295" s="69" t="str">
        <f>IFERROR(__xludf.DUMMYFUNCTION("""COMPUTED_VALUE"""),"impaler2")</f>
        <v>impaler2</v>
      </c>
      <c r="B295" s="69" t="str">
        <f>IFERROR(__xludf.DUMMYFUNCTION("""COMPUTED_VALUE"""),"Impaler Arena")</f>
        <v>Impaler Arena</v>
      </c>
      <c r="C295" s="70">
        <f>IFERROR(__xludf.DUMMYFUNCTION("""COMPUTED_VALUE"""),36000.0)</f>
        <v>36000</v>
      </c>
      <c r="D295" s="70" t="str">
        <f>IFERROR(__xludf.DUMMYFUNCTION("""COMPUTED_VALUE"""),"Muscle")</f>
        <v>Muscle</v>
      </c>
      <c r="E295" s="71" t="str">
        <f>IFERROR(__xludf.DUMMYFUNCTION("""COMPUTED_VALUE"""),"https://docs.fivem.net/vehicles/impaler2.webp")</f>
        <v>https://docs.fivem.net/vehicles/impaler2.webp</v>
      </c>
    </row>
    <row r="296" ht="15.75" customHeight="1">
      <c r="A296" s="69" t="str">
        <f>IFERROR(__xludf.DUMMYFUNCTION("""COMPUTED_VALUE"""),"impaler3")</f>
        <v>impaler3</v>
      </c>
      <c r="B296" s="69" t="str">
        <f>IFERROR(__xludf.DUMMYFUNCTION("""COMPUTED_VALUE"""),"Impaler Future Shock")</f>
        <v>Impaler Future Shock</v>
      </c>
      <c r="C296" s="70">
        <f>IFERROR(__xludf.DUMMYFUNCTION("""COMPUTED_VALUE"""),36500.0)</f>
        <v>36500</v>
      </c>
      <c r="D296" s="70" t="str">
        <f>IFERROR(__xludf.DUMMYFUNCTION("""COMPUTED_VALUE"""),"Muscle")</f>
        <v>Muscle</v>
      </c>
      <c r="E296" s="71" t="str">
        <f>IFERROR(__xludf.DUMMYFUNCTION("""COMPUTED_VALUE"""),"https://docs.fivem.net/vehicles/impaler3.webp")</f>
        <v>https://docs.fivem.net/vehicles/impaler3.webp</v>
      </c>
    </row>
    <row r="297" ht="15.75" customHeight="1">
      <c r="A297" s="69" t="str">
        <f>IFERROR(__xludf.DUMMYFUNCTION("""COMPUTED_VALUE"""),"impaler4")</f>
        <v>impaler4</v>
      </c>
      <c r="B297" s="69" t="str">
        <f>IFERROR(__xludf.DUMMYFUNCTION("""COMPUTED_VALUE"""),"Impaler Nightmare")</f>
        <v>Impaler Nightmare</v>
      </c>
      <c r="C297" s="70">
        <f>IFERROR(__xludf.DUMMYFUNCTION("""COMPUTED_VALUE"""),38000.0)</f>
        <v>38000</v>
      </c>
      <c r="D297" s="70" t="str">
        <f>IFERROR(__xludf.DUMMYFUNCTION("""COMPUTED_VALUE"""),"Muscle")</f>
        <v>Muscle</v>
      </c>
      <c r="E297" s="71" t="str">
        <f>IFERROR(__xludf.DUMMYFUNCTION("""COMPUTED_VALUE"""),"https://docs.fivem.net/vehicles/impaler4.webp")</f>
        <v>https://docs.fivem.net/vehicles/impaler4.webp</v>
      </c>
    </row>
    <row r="298" ht="15.75" customHeight="1">
      <c r="A298" s="69" t="str">
        <f>IFERROR(__xludf.DUMMYFUNCTION("""COMPUTED_VALUE"""),"impaler6")</f>
        <v>impaler6</v>
      </c>
      <c r="B298" s="69" t="str">
        <f>IFERROR(__xludf.DUMMYFUNCTION("""COMPUTED_VALUE"""),"Impaler LX")</f>
        <v>Impaler LX</v>
      </c>
      <c r="C298" s="70">
        <f>IFERROR(__xludf.DUMMYFUNCTION("""COMPUTED_VALUE"""),36000.0)</f>
        <v>36000</v>
      </c>
      <c r="D298" s="70" t="str">
        <f>IFERROR(__xludf.DUMMYFUNCTION("""COMPUTED_VALUE"""),"Muscle")</f>
        <v>Muscle</v>
      </c>
      <c r="E298" s="71" t="str">
        <f>IFERROR(__xludf.DUMMYFUNCTION("""COMPUTED_VALUE"""),"https://docs.fivem.net/vehicles/impaler6.webp")</f>
        <v>https://docs.fivem.net/vehicles/impaler6.webp</v>
      </c>
    </row>
    <row r="299" ht="15.75" customHeight="1">
      <c r="A299" s="69" t="str">
        <f>IFERROR(__xludf.DUMMYFUNCTION("""COMPUTED_VALUE"""),"imperator")</f>
        <v>imperator</v>
      </c>
      <c r="B299" s="69" t="str">
        <f>IFERROR(__xludf.DUMMYFUNCTION("""COMPUTED_VALUE"""),"Imperator Arena")</f>
        <v>Imperator Arena</v>
      </c>
      <c r="C299" s="70">
        <f>IFERROR(__xludf.DUMMYFUNCTION("""COMPUTED_VALUE"""),36500.0)</f>
        <v>36500</v>
      </c>
      <c r="D299" s="70" t="str">
        <f>IFERROR(__xludf.DUMMYFUNCTION("""COMPUTED_VALUE"""),"Muscle")</f>
        <v>Muscle</v>
      </c>
      <c r="E299" s="71" t="str">
        <f>IFERROR(__xludf.DUMMYFUNCTION("""COMPUTED_VALUE"""),"https://docs.fivem.net/vehicles/imperator.webp")</f>
        <v>https://docs.fivem.net/vehicles/imperator.webp</v>
      </c>
    </row>
    <row r="300" ht="15.75" customHeight="1">
      <c r="A300" s="69" t="str">
        <f>IFERROR(__xludf.DUMMYFUNCTION("""COMPUTED_VALUE"""),"imperator2")</f>
        <v>imperator2</v>
      </c>
      <c r="B300" s="69" t="str">
        <f>IFERROR(__xludf.DUMMYFUNCTION("""COMPUTED_VALUE"""),"imperator Future Shock")</f>
        <v>imperator Future Shock</v>
      </c>
      <c r="C300" s="70">
        <f>IFERROR(__xludf.DUMMYFUNCTION("""COMPUTED_VALUE"""),38500.0)</f>
        <v>38500</v>
      </c>
      <c r="D300" s="70" t="str">
        <f>IFERROR(__xludf.DUMMYFUNCTION("""COMPUTED_VALUE"""),"Muscle")</f>
        <v>Muscle</v>
      </c>
      <c r="E300" s="71" t="str">
        <f>IFERROR(__xludf.DUMMYFUNCTION("""COMPUTED_VALUE"""),"https://docs.fivem.net/vehicles/imperator2.webp")</f>
        <v>https://docs.fivem.net/vehicles/imperator2.webp</v>
      </c>
    </row>
    <row r="301" ht="15.75" customHeight="1">
      <c r="A301" s="69" t="str">
        <f>IFERROR(__xludf.DUMMYFUNCTION("""COMPUTED_VALUE"""),"imperator3")</f>
        <v>imperator3</v>
      </c>
      <c r="B301" s="69" t="str">
        <f>IFERROR(__xludf.DUMMYFUNCTION("""COMPUTED_VALUE"""),"Imperator Nightmare")</f>
        <v>Imperator Nightmare</v>
      </c>
      <c r="C301" s="70">
        <f>IFERROR(__xludf.DUMMYFUNCTION("""COMPUTED_VALUE"""),40000.0)</f>
        <v>40000</v>
      </c>
      <c r="D301" s="70" t="str">
        <f>IFERROR(__xludf.DUMMYFUNCTION("""COMPUTED_VALUE"""),"Muscle")</f>
        <v>Muscle</v>
      </c>
      <c r="E301" s="71" t="str">
        <f>IFERROR(__xludf.DUMMYFUNCTION("""COMPUTED_VALUE"""),"https://docs.fivem.net/vehicles/imperator3.webp")</f>
        <v>https://docs.fivem.net/vehicles/imperator3.webp</v>
      </c>
    </row>
    <row r="302" ht="15.75" customHeight="1">
      <c r="A302" s="69" t="str">
        <f>IFERROR(__xludf.DUMMYFUNCTION("""COMPUTED_VALUE"""),"lurcher")</f>
        <v>lurcher</v>
      </c>
      <c r="B302" s="69" t="str">
        <f>IFERROR(__xludf.DUMMYFUNCTION("""COMPUTED_VALUE"""),"Lurcher")</f>
        <v>Lurcher</v>
      </c>
      <c r="C302" s="70">
        <f>IFERROR(__xludf.DUMMYFUNCTION("""COMPUTED_VALUE"""),25000.0)</f>
        <v>25000</v>
      </c>
      <c r="D302" s="70" t="str">
        <f>IFERROR(__xludf.DUMMYFUNCTION("""COMPUTED_VALUE"""),"Muscle")</f>
        <v>Muscle</v>
      </c>
      <c r="E302" s="71" t="str">
        <f>IFERROR(__xludf.DUMMYFUNCTION("""COMPUTED_VALUE"""),"https://docs.fivem.net/vehicles/lurcher.webp")</f>
        <v>https://docs.fivem.net/vehicles/lurcher.webp</v>
      </c>
    </row>
    <row r="303" ht="15.75" customHeight="1">
      <c r="A303" s="69" t="str">
        <f>IFERROR(__xludf.DUMMYFUNCTION("""COMPUTED_VALUE"""),"manana")</f>
        <v>manana</v>
      </c>
      <c r="B303" s="69" t="str">
        <f>IFERROR(__xludf.DUMMYFUNCTION("""COMPUTED_VALUE"""),"Manana")</f>
        <v>Manana</v>
      </c>
      <c r="C303" s="70">
        <f>IFERROR(__xludf.DUMMYFUNCTION("""COMPUTED_VALUE"""),12500.0)</f>
        <v>12500</v>
      </c>
      <c r="D303" s="70" t="str">
        <f>IFERROR(__xludf.DUMMYFUNCTION("""COMPUTED_VALUE"""),"Muscle")</f>
        <v>Muscle</v>
      </c>
      <c r="E303" s="71" t="str">
        <f>IFERROR(__xludf.DUMMYFUNCTION("""COMPUTED_VALUE"""),"https://docs.fivem.net/vehicles/manana.webp")</f>
        <v>https://docs.fivem.net/vehicles/manana.webp</v>
      </c>
    </row>
    <row r="304" ht="15.75" customHeight="1">
      <c r="A304" s="69" t="str">
        <f>IFERROR(__xludf.DUMMYFUNCTION("""COMPUTED_VALUE"""),"manana2")</f>
        <v>manana2</v>
      </c>
      <c r="B304" s="69" t="str">
        <f>IFERROR(__xludf.DUMMYFUNCTION("""COMPUTED_VALUE"""),"Manana Custom")</f>
        <v>Manana Custom</v>
      </c>
      <c r="C304" s="70">
        <f>IFERROR(__xludf.DUMMYFUNCTION("""COMPUTED_VALUE"""),18000.0)</f>
        <v>18000</v>
      </c>
      <c r="D304" s="70" t="str">
        <f>IFERROR(__xludf.DUMMYFUNCTION("""COMPUTED_VALUE"""),"Muscle")</f>
        <v>Muscle</v>
      </c>
      <c r="E304" s="71" t="str">
        <f>IFERROR(__xludf.DUMMYFUNCTION("""COMPUTED_VALUE"""),"https://docs.fivem.net/vehicles/manana2.webp")</f>
        <v>https://docs.fivem.net/vehicles/manana2.webp</v>
      </c>
    </row>
    <row r="305" ht="15.75" customHeight="1">
      <c r="A305" s="69" t="str">
        <f>IFERROR(__xludf.DUMMYFUNCTION("""COMPUTED_VALUE"""),"nightshade")</f>
        <v>nightshade</v>
      </c>
      <c r="B305" s="69" t="str">
        <f>IFERROR(__xludf.DUMMYFUNCTION("""COMPUTED_VALUE"""),"Nightshade")</f>
        <v>Nightshade</v>
      </c>
      <c r="C305" s="70">
        <f>IFERROR(__xludf.DUMMYFUNCTION("""COMPUTED_VALUE"""),42000.0)</f>
        <v>42000</v>
      </c>
      <c r="D305" s="70" t="str">
        <f>IFERROR(__xludf.DUMMYFUNCTION("""COMPUTED_VALUE"""),"Muscle")</f>
        <v>Muscle</v>
      </c>
      <c r="E305" s="71" t="str">
        <f>IFERROR(__xludf.DUMMYFUNCTION("""COMPUTED_VALUE"""),"https://docs.fivem.net/vehicles/nightshade.webp")</f>
        <v>https://docs.fivem.net/vehicles/nightshade.webp</v>
      </c>
    </row>
    <row r="306" ht="15.75" customHeight="1">
      <c r="A306" s="69" t="str">
        <f>IFERROR(__xludf.DUMMYFUNCTION("""COMPUTED_VALUE"""),"phoenix")</f>
        <v>phoenix</v>
      </c>
      <c r="B306" s="69" t="str">
        <f>IFERROR(__xludf.DUMMYFUNCTION("""COMPUTED_VALUE"""),"Phoenix")</f>
        <v>Phoenix</v>
      </c>
      <c r="C306" s="70">
        <f>IFERROR(__xludf.DUMMYFUNCTION("""COMPUTED_VALUE"""),47500.0)</f>
        <v>47500</v>
      </c>
      <c r="D306" s="70" t="str">
        <f>IFERROR(__xludf.DUMMYFUNCTION("""COMPUTED_VALUE"""),"Muscle")</f>
        <v>Muscle</v>
      </c>
      <c r="E306" s="71" t="str">
        <f>IFERROR(__xludf.DUMMYFUNCTION("""COMPUTED_VALUE"""),"https://docs.fivem.net/vehicles/phoenix.webp")</f>
        <v>https://docs.fivem.net/vehicles/phoenix.webp</v>
      </c>
    </row>
    <row r="307" ht="15.75" customHeight="1">
      <c r="A307" s="69" t="str">
        <f>IFERROR(__xludf.DUMMYFUNCTION("""COMPUTED_VALUE"""),"picador")</f>
        <v>picador</v>
      </c>
      <c r="B307" s="69" t="str">
        <f>IFERROR(__xludf.DUMMYFUNCTION("""COMPUTED_VALUE"""),"Picador")</f>
        <v>Picador</v>
      </c>
      <c r="C307" s="70">
        <f>IFERROR(__xludf.DUMMYFUNCTION("""COMPUTED_VALUE"""),4200.0)</f>
        <v>4200</v>
      </c>
      <c r="D307" s="70" t="str">
        <f>IFERROR(__xludf.DUMMYFUNCTION("""COMPUTED_VALUE"""),"Muscle")</f>
        <v>Muscle</v>
      </c>
      <c r="E307" s="71" t="str">
        <f>IFERROR(__xludf.DUMMYFUNCTION("""COMPUTED_VALUE"""),"https://docs.fivem.net/vehicles/picador.webp")</f>
        <v>https://docs.fivem.net/vehicles/picador.webp</v>
      </c>
    </row>
    <row r="308" ht="15.75" customHeight="1">
      <c r="A308" s="69" t="str">
        <f>IFERROR(__xludf.DUMMYFUNCTION("""COMPUTED_VALUE"""),"ratloader2")</f>
        <v>ratloader2</v>
      </c>
      <c r="B308" s="69" t="str">
        <f>IFERROR(__xludf.DUMMYFUNCTION("""COMPUTED_VALUE"""),"Ratloader")</f>
        <v>Ratloader</v>
      </c>
      <c r="C308" s="70">
        <f>IFERROR(__xludf.DUMMYFUNCTION("""COMPUTED_VALUE"""),4500.0)</f>
        <v>4500</v>
      </c>
      <c r="D308" s="70" t="str">
        <f>IFERROR(__xludf.DUMMYFUNCTION("""COMPUTED_VALUE"""),"Muscle")</f>
        <v>Muscle</v>
      </c>
      <c r="E308" s="71" t="str">
        <f>IFERROR(__xludf.DUMMYFUNCTION("""COMPUTED_VALUE"""),"https://docs.fivem.net/vehicles/ratloader2.webp")</f>
        <v>https://docs.fivem.net/vehicles/ratloader2.webp</v>
      </c>
    </row>
    <row r="309" ht="15.75" customHeight="1">
      <c r="A309" s="69" t="str">
        <f>IFERROR(__xludf.DUMMYFUNCTION("""COMPUTED_VALUE"""),"ruiner")</f>
        <v>ruiner</v>
      </c>
      <c r="B309" s="69" t="str">
        <f>IFERROR(__xludf.DUMMYFUNCTION("""COMPUTED_VALUE"""),"Ruiner")</f>
        <v>Ruiner</v>
      </c>
      <c r="C309" s="70">
        <f>IFERROR(__xludf.DUMMYFUNCTION("""COMPUTED_VALUE"""),38000.0)</f>
        <v>38000</v>
      </c>
      <c r="D309" s="70" t="str">
        <f>IFERROR(__xludf.DUMMYFUNCTION("""COMPUTED_VALUE"""),"Muscle")</f>
        <v>Muscle</v>
      </c>
      <c r="E309" s="71" t="str">
        <f>IFERROR(__xludf.DUMMYFUNCTION("""COMPUTED_VALUE"""),"https://docs.fivem.net/vehicles/ruiner.webp")</f>
        <v>https://docs.fivem.net/vehicles/ruiner.webp</v>
      </c>
    </row>
    <row r="310" ht="15.75" customHeight="1">
      <c r="A310" s="69" t="str">
        <f>IFERROR(__xludf.DUMMYFUNCTION("""COMPUTED_VALUE"""),"ruiner4")</f>
        <v>ruiner4</v>
      </c>
      <c r="B310" s="69" t="str">
        <f>IFERROR(__xludf.DUMMYFUNCTION("""COMPUTED_VALUE"""),"Ruiner ZZ-8")</f>
        <v>Ruiner ZZ-8</v>
      </c>
      <c r="C310" s="70">
        <f>IFERROR(__xludf.DUMMYFUNCTION("""COMPUTED_VALUE"""),42000.0)</f>
        <v>42000</v>
      </c>
      <c r="D310" s="70" t="str">
        <f>IFERROR(__xludf.DUMMYFUNCTION("""COMPUTED_VALUE"""),"Muscle")</f>
        <v>Muscle</v>
      </c>
      <c r="E310" s="71" t="str">
        <f>IFERROR(__xludf.DUMMYFUNCTION("""COMPUTED_VALUE"""),"https://docs.fivem.net/vehicles/ruiner4.webp")</f>
        <v>https://docs.fivem.net/vehicles/ruiner4.webp</v>
      </c>
    </row>
    <row r="311" ht="15.75" customHeight="1">
      <c r="A311" s="69" t="str">
        <f>IFERROR(__xludf.DUMMYFUNCTION("""COMPUTED_VALUE"""),"sabregt")</f>
        <v>sabregt</v>
      </c>
      <c r="B311" s="69" t="str">
        <f>IFERROR(__xludf.DUMMYFUNCTION("""COMPUTED_VALUE"""),"Sabre GT")</f>
        <v>Sabre GT</v>
      </c>
      <c r="C311" s="70">
        <f>IFERROR(__xludf.DUMMYFUNCTION("""COMPUTED_VALUE"""),29500.0)</f>
        <v>29500</v>
      </c>
      <c r="D311" s="70" t="str">
        <f>IFERROR(__xludf.DUMMYFUNCTION("""COMPUTED_VALUE"""),"Muscle")</f>
        <v>Muscle</v>
      </c>
      <c r="E311" s="71" t="str">
        <f>IFERROR(__xludf.DUMMYFUNCTION("""COMPUTED_VALUE"""),"https://docs.fivem.net/vehicles/sabregt.webp")</f>
        <v>https://docs.fivem.net/vehicles/sabregt.webp</v>
      </c>
    </row>
    <row r="312" ht="15.75" customHeight="1">
      <c r="A312" s="69" t="str">
        <f>IFERROR(__xludf.DUMMYFUNCTION("""COMPUTED_VALUE"""),"sabregt2")</f>
        <v>sabregt2</v>
      </c>
      <c r="B312" s="69" t="str">
        <f>IFERROR(__xludf.DUMMYFUNCTION("""COMPUTED_VALUE"""),"Sabre GT Turbo")</f>
        <v>Sabre GT Turbo</v>
      </c>
      <c r="C312" s="70">
        <f>IFERROR(__xludf.DUMMYFUNCTION("""COMPUTED_VALUE"""),31500.0)</f>
        <v>31500</v>
      </c>
      <c r="D312" s="70" t="str">
        <f>IFERROR(__xludf.DUMMYFUNCTION("""COMPUTED_VALUE"""),"Muscle")</f>
        <v>Muscle</v>
      </c>
      <c r="E312" s="71" t="str">
        <f>IFERROR(__xludf.DUMMYFUNCTION("""COMPUTED_VALUE"""),"https://docs.fivem.net/vehicles/sabregt2.webp")</f>
        <v>https://docs.fivem.net/vehicles/sabregt2.webp</v>
      </c>
    </row>
    <row r="313" ht="15.75" customHeight="1">
      <c r="A313" s="69" t="str">
        <f>IFERROR(__xludf.DUMMYFUNCTION("""COMPUTED_VALUE"""),"slamvan")</f>
        <v>slamvan</v>
      </c>
      <c r="B313" s="69" t="str">
        <f>IFERROR(__xludf.DUMMYFUNCTION("""COMPUTED_VALUE"""),"Slam Van")</f>
        <v>Slam Van</v>
      </c>
      <c r="C313" s="70">
        <f>IFERROR(__xludf.DUMMYFUNCTION("""COMPUTED_VALUE"""),4500.0)</f>
        <v>4500</v>
      </c>
      <c r="D313" s="70" t="str">
        <f>IFERROR(__xludf.DUMMYFUNCTION("""COMPUTED_VALUE"""),"Muscle")</f>
        <v>Muscle</v>
      </c>
      <c r="E313" s="71" t="str">
        <f>IFERROR(__xludf.DUMMYFUNCTION("""COMPUTED_VALUE"""),"https://docs.fivem.net/vehicles/slamvan.webp")</f>
        <v>https://docs.fivem.net/vehicles/slamvan.webp</v>
      </c>
    </row>
    <row r="314" ht="15.75" customHeight="1">
      <c r="A314" s="69" t="str">
        <f>IFERROR(__xludf.DUMMYFUNCTION("""COMPUTED_VALUE"""),"slamvan2")</f>
        <v>slamvan2</v>
      </c>
      <c r="B314" s="69" t="str">
        <f>IFERROR(__xludf.DUMMYFUNCTION("""COMPUTED_VALUE"""),"Lost Slam Van")</f>
        <v>Lost Slam Van</v>
      </c>
      <c r="C314" s="70">
        <f>IFERROR(__xludf.DUMMYFUNCTION("""COMPUTED_VALUE"""),13500.0)</f>
        <v>13500</v>
      </c>
      <c r="D314" s="70" t="str">
        <f>IFERROR(__xludf.DUMMYFUNCTION("""COMPUTED_VALUE"""),"Muscle")</f>
        <v>Muscle</v>
      </c>
      <c r="E314" s="72" t="str">
        <f>IFERROR(__xludf.DUMMYFUNCTION("""COMPUTED_VALUE"""),"https://docs.fivem.net/vehicles/slamvan2.webp")</f>
        <v>https://docs.fivem.net/vehicles/slamvan2.webp</v>
      </c>
    </row>
    <row r="315" ht="15.75" customHeight="1">
      <c r="A315" s="69" t="str">
        <f>IFERROR(__xludf.DUMMYFUNCTION("""COMPUTED_VALUE"""),"slamvan3")</f>
        <v>slamvan3</v>
      </c>
      <c r="B315" s="69" t="str">
        <f>IFERROR(__xludf.DUMMYFUNCTION("""COMPUTED_VALUE"""),"Slam Van Custom")</f>
        <v>Slam Van Custom</v>
      </c>
      <c r="C315" s="70">
        <f>IFERROR(__xludf.DUMMYFUNCTION("""COMPUTED_VALUE"""),12000.0)</f>
        <v>12000</v>
      </c>
      <c r="D315" s="70" t="str">
        <f>IFERROR(__xludf.DUMMYFUNCTION("""COMPUTED_VALUE"""),"Muscle")</f>
        <v>Muscle</v>
      </c>
      <c r="E315" s="71" t="str">
        <f>IFERROR(__xludf.DUMMYFUNCTION("""COMPUTED_VALUE"""),"https://docs.fivem.net/vehicles/slamvan3.webp")</f>
        <v>https://docs.fivem.net/vehicles/slamvan3.webp</v>
      </c>
    </row>
    <row r="316" ht="15.75" customHeight="1">
      <c r="A316" s="69" t="str">
        <f>IFERROR(__xludf.DUMMYFUNCTION("""COMPUTED_VALUE"""),"stalion")</f>
        <v>stalion</v>
      </c>
      <c r="B316" s="69" t="str">
        <f>IFERROR(__xludf.DUMMYFUNCTION("""COMPUTED_VALUE"""),"Stallion")</f>
        <v>Stallion</v>
      </c>
      <c r="C316" s="70">
        <f>IFERROR(__xludf.DUMMYFUNCTION("""COMPUTED_VALUE"""),43000.0)</f>
        <v>43000</v>
      </c>
      <c r="D316" s="70" t="str">
        <f>IFERROR(__xludf.DUMMYFUNCTION("""COMPUTED_VALUE"""),"Muscle")</f>
        <v>Muscle</v>
      </c>
      <c r="E316" s="71" t="str">
        <f>IFERROR(__xludf.DUMMYFUNCTION("""COMPUTED_VALUE"""),"https://docs.fivem.net/vehicles/stalion.webp")</f>
        <v>https://docs.fivem.net/vehicles/stalion.webp</v>
      </c>
    </row>
    <row r="317" ht="15.75" customHeight="1">
      <c r="A317" s="69" t="str">
        <f>IFERROR(__xludf.DUMMYFUNCTION("""COMPUTED_VALUE"""),"stalion2")</f>
        <v>stalion2</v>
      </c>
      <c r="B317" s="69" t="str">
        <f>IFERROR(__xludf.DUMMYFUNCTION("""COMPUTED_VALUE"""),"Stallion Burgershot")</f>
        <v>Stallion Burgershot</v>
      </c>
      <c r="C317" s="70">
        <f>IFERROR(__xludf.DUMMYFUNCTION("""COMPUTED_VALUE"""),45000.0)</f>
        <v>45000</v>
      </c>
      <c r="D317" s="70" t="str">
        <f>IFERROR(__xludf.DUMMYFUNCTION("""COMPUTED_VALUE"""),"Muscle")</f>
        <v>Muscle</v>
      </c>
      <c r="E317" s="71" t="str">
        <f>IFERROR(__xludf.DUMMYFUNCTION("""COMPUTED_VALUE"""),"https://docs.fivem.net/vehicles/stalion2.webp")</f>
        <v>https://docs.fivem.net/vehicles/stalion2.webp</v>
      </c>
    </row>
    <row r="318" ht="15.75" customHeight="1">
      <c r="A318" s="69" t="str">
        <f>IFERROR(__xludf.DUMMYFUNCTION("""COMPUTED_VALUE"""),"tampa")</f>
        <v>tampa</v>
      </c>
      <c r="B318" s="69" t="str">
        <f>IFERROR(__xludf.DUMMYFUNCTION("""COMPUTED_VALUE"""),"Tampa")</f>
        <v>Tampa</v>
      </c>
      <c r="C318" s="70">
        <f>IFERROR(__xludf.DUMMYFUNCTION("""COMPUTED_VALUE"""),32500.0)</f>
        <v>32500</v>
      </c>
      <c r="D318" s="70" t="str">
        <f>IFERROR(__xludf.DUMMYFUNCTION("""COMPUTED_VALUE"""),"Muscle")</f>
        <v>Muscle</v>
      </c>
      <c r="E318" s="71" t="str">
        <f>IFERROR(__xludf.DUMMYFUNCTION("""COMPUTED_VALUE"""),"https://docs.fivem.net/vehicles/tampa.webp")</f>
        <v>https://docs.fivem.net/vehicles/tampa.webp</v>
      </c>
    </row>
    <row r="319" ht="15.75" customHeight="1">
      <c r="A319" s="69" t="str">
        <f>IFERROR(__xludf.DUMMYFUNCTION("""COMPUTED_VALUE"""),"tampa2")</f>
        <v>tampa2</v>
      </c>
      <c r="B319" s="69" t="str">
        <f>IFERROR(__xludf.DUMMYFUNCTION("""COMPUTED_VALUE"""),"Tampa Custom")</f>
        <v>Tampa Custom</v>
      </c>
      <c r="C319" s="70">
        <f>IFERROR(__xludf.DUMMYFUNCTION("""COMPUTED_VALUE"""),68000.0)</f>
        <v>68000</v>
      </c>
      <c r="D319" s="70" t="str">
        <f>IFERROR(__xludf.DUMMYFUNCTION("""COMPUTED_VALUE"""),"Muscle")</f>
        <v>Muscle</v>
      </c>
      <c r="E319" s="71" t="str">
        <f>IFERROR(__xludf.DUMMYFUNCTION("""COMPUTED_VALUE"""),"https://docs.fivem.net/vehicles/tampa2.webp")</f>
        <v>https://docs.fivem.net/vehicles/tampa2.webp</v>
      </c>
    </row>
    <row r="320" ht="15.75" customHeight="1">
      <c r="A320" s="69" t="str">
        <f>IFERROR(__xludf.DUMMYFUNCTION("""COMPUTED_VALUE"""),"tulip")</f>
        <v>tulip</v>
      </c>
      <c r="B320" s="69" t="str">
        <f>IFERROR(__xludf.DUMMYFUNCTION("""COMPUTED_VALUE"""),"Tulip")</f>
        <v>Tulip</v>
      </c>
      <c r="C320" s="70">
        <f>IFERROR(__xludf.DUMMYFUNCTION("""COMPUTED_VALUE"""),24000.0)</f>
        <v>24000</v>
      </c>
      <c r="D320" s="70" t="str">
        <f>IFERROR(__xludf.DUMMYFUNCTION("""COMPUTED_VALUE"""),"Muscle")</f>
        <v>Muscle</v>
      </c>
      <c r="E320" s="71" t="str">
        <f>IFERROR(__xludf.DUMMYFUNCTION("""COMPUTED_VALUE"""),"https://docs.fivem.net/vehicles/tulip.webp")</f>
        <v>https://docs.fivem.net/vehicles/tulip.webp</v>
      </c>
    </row>
    <row r="321" ht="15.75" customHeight="1">
      <c r="A321" s="69" t="str">
        <f>IFERROR(__xludf.DUMMYFUNCTION("""COMPUTED_VALUE"""),"tulip2")</f>
        <v>tulip2</v>
      </c>
      <c r="B321" s="69" t="str">
        <f>IFERROR(__xludf.DUMMYFUNCTION("""COMPUTED_VALUE"""),"Tulip M-100")</f>
        <v>Tulip M-100</v>
      </c>
      <c r="C321" s="70">
        <f>IFERROR(__xludf.DUMMYFUNCTION("""COMPUTED_VALUE"""),26000.0)</f>
        <v>26000</v>
      </c>
      <c r="D321" s="70" t="str">
        <f>IFERROR(__xludf.DUMMYFUNCTION("""COMPUTED_VALUE"""),"Muscle")</f>
        <v>Muscle</v>
      </c>
      <c r="E321" s="71" t="str">
        <f>IFERROR(__xludf.DUMMYFUNCTION("""COMPUTED_VALUE"""),"https://docs.fivem.net/vehicles/tulip2.webp")</f>
        <v>https://docs.fivem.net/vehicles/tulip2.webp</v>
      </c>
    </row>
    <row r="322" ht="15.75" customHeight="1">
      <c r="A322" s="69" t="str">
        <f>IFERROR(__xludf.DUMMYFUNCTION("""COMPUTED_VALUE"""),"vamos")</f>
        <v>vamos</v>
      </c>
      <c r="B322" s="69" t="str">
        <f>IFERROR(__xludf.DUMMYFUNCTION("""COMPUTED_VALUE"""),"Vamos")</f>
        <v>Vamos</v>
      </c>
      <c r="C322" s="70">
        <f>IFERROR(__xludf.DUMMYFUNCTION("""COMPUTED_VALUE"""),18000.0)</f>
        <v>18000</v>
      </c>
      <c r="D322" s="70" t="str">
        <f>IFERROR(__xludf.DUMMYFUNCTION("""COMPUTED_VALUE"""),"Muscle")</f>
        <v>Muscle</v>
      </c>
      <c r="E322" s="71" t="str">
        <f>IFERROR(__xludf.DUMMYFUNCTION("""COMPUTED_VALUE"""),"https://docs.fivem.net/vehicles/vamos.webp")</f>
        <v>https://docs.fivem.net/vehicles/vamos.webp</v>
      </c>
    </row>
    <row r="323" ht="15.75" customHeight="1">
      <c r="A323" s="69" t="str">
        <f>IFERROR(__xludf.DUMMYFUNCTION("""COMPUTED_VALUE"""),"vigero")</f>
        <v>vigero</v>
      </c>
      <c r="B323" s="69" t="str">
        <f>IFERROR(__xludf.DUMMYFUNCTION("""COMPUTED_VALUE"""),"Vigero")</f>
        <v>Vigero</v>
      </c>
      <c r="C323" s="70">
        <f>IFERROR(__xludf.DUMMYFUNCTION("""COMPUTED_VALUE"""),39500.0)</f>
        <v>39500</v>
      </c>
      <c r="D323" s="70" t="str">
        <f>IFERROR(__xludf.DUMMYFUNCTION("""COMPUTED_VALUE"""),"Muscle")</f>
        <v>Muscle</v>
      </c>
      <c r="E323" s="71" t="str">
        <f>IFERROR(__xludf.DUMMYFUNCTION("""COMPUTED_VALUE"""),"https://docs.fivem.net/vehicles/vigero.webp")</f>
        <v>https://docs.fivem.net/vehicles/vigero.webp</v>
      </c>
    </row>
    <row r="324" ht="15.75" customHeight="1">
      <c r="A324" s="69" t="str">
        <f>IFERROR(__xludf.DUMMYFUNCTION("""COMPUTED_VALUE"""),"vigero2")</f>
        <v>vigero2</v>
      </c>
      <c r="B324" s="69" t="str">
        <f>IFERROR(__xludf.DUMMYFUNCTION("""COMPUTED_VALUE"""),"Vigero ZX")</f>
        <v>Vigero ZX</v>
      </c>
      <c r="C324" s="70">
        <f>IFERROR(__xludf.DUMMYFUNCTION("""COMPUTED_VALUE"""),80500.0)</f>
        <v>80500</v>
      </c>
      <c r="D324" s="70" t="str">
        <f>IFERROR(__xludf.DUMMYFUNCTION("""COMPUTED_VALUE"""),"Muscle")</f>
        <v>Muscle</v>
      </c>
      <c r="E324" s="71" t="str">
        <f>IFERROR(__xludf.DUMMYFUNCTION("""COMPUTED_VALUE"""),"https://docs.fivem.net/vehicles/vigero2.webp")</f>
        <v>https://docs.fivem.net/vehicles/vigero2.webp</v>
      </c>
    </row>
    <row r="325" ht="15.75" customHeight="1">
      <c r="A325" s="69" t="str">
        <f>IFERROR(__xludf.DUMMYFUNCTION("""COMPUTED_VALUE"""),"vigero3")</f>
        <v>vigero3</v>
      </c>
      <c r="B325" s="69" t="str">
        <f>IFERROR(__xludf.DUMMYFUNCTION("""COMPUTED_VALUE"""),"Vigero ZX Convertible")</f>
        <v>Vigero ZX Convertible</v>
      </c>
      <c r="C325" s="70">
        <f>IFERROR(__xludf.DUMMYFUNCTION("""COMPUTED_VALUE"""),84500.0)</f>
        <v>84500</v>
      </c>
      <c r="D325" s="70" t="str">
        <f>IFERROR(__xludf.DUMMYFUNCTION("""COMPUTED_VALUE"""),"Muscle")</f>
        <v>Muscle</v>
      </c>
      <c r="E325" s="71" t="str">
        <f>IFERROR(__xludf.DUMMYFUNCTION("""COMPUTED_VALUE"""),"https://docs.fivem.net/vehicles/vigero3.webp")</f>
        <v>https://docs.fivem.net/vehicles/vigero3.webp</v>
      </c>
    </row>
    <row r="326" ht="15.75" customHeight="1">
      <c r="A326" s="69" t="str">
        <f>IFERROR(__xludf.DUMMYFUNCTION("""COMPUTED_VALUE"""),"virgo")</f>
        <v>virgo</v>
      </c>
      <c r="B326" s="69" t="str">
        <f>IFERROR(__xludf.DUMMYFUNCTION("""COMPUTED_VALUE"""),"Virgo")</f>
        <v>Virgo</v>
      </c>
      <c r="C326" s="70">
        <f>IFERROR(__xludf.DUMMYFUNCTION("""COMPUTED_VALUE"""),18000.0)</f>
        <v>18000</v>
      </c>
      <c r="D326" s="70" t="str">
        <f>IFERROR(__xludf.DUMMYFUNCTION("""COMPUTED_VALUE"""),"Muscle")</f>
        <v>Muscle</v>
      </c>
      <c r="E326" s="71" t="str">
        <f>IFERROR(__xludf.DUMMYFUNCTION("""COMPUTED_VALUE"""),"https://docs.fivem.net/vehicles/virgo.webp")</f>
        <v>https://docs.fivem.net/vehicles/virgo.webp</v>
      </c>
    </row>
    <row r="327" ht="15.75" customHeight="1">
      <c r="A327" s="69" t="str">
        <f>IFERROR(__xludf.DUMMYFUNCTION("""COMPUTED_VALUE"""),"virgo2")</f>
        <v>virgo2</v>
      </c>
      <c r="B327" s="69" t="str">
        <f>IFERROR(__xludf.DUMMYFUNCTION("""COMPUTED_VALUE"""),"Virgo Classic Custom")</f>
        <v>Virgo Classic Custom</v>
      </c>
      <c r="C327" s="70">
        <f>IFERROR(__xludf.DUMMYFUNCTION("""COMPUTED_VALUE"""),16500.0)</f>
        <v>16500</v>
      </c>
      <c r="D327" s="70" t="str">
        <f>IFERROR(__xludf.DUMMYFUNCTION("""COMPUTED_VALUE"""),"Muscle")</f>
        <v>Muscle</v>
      </c>
      <c r="E327" s="71" t="str">
        <f>IFERROR(__xludf.DUMMYFUNCTION("""COMPUTED_VALUE"""),"https://docs.fivem.net/vehicles/virgo2.webp")</f>
        <v>https://docs.fivem.net/vehicles/virgo2.webp</v>
      </c>
    </row>
    <row r="328" ht="15.75" customHeight="1">
      <c r="A328" s="69" t="str">
        <f>IFERROR(__xludf.DUMMYFUNCTION("""COMPUTED_VALUE"""),"virgo3")</f>
        <v>virgo3</v>
      </c>
      <c r="B328" s="69" t="str">
        <f>IFERROR(__xludf.DUMMYFUNCTION("""COMPUTED_VALUE"""),"Virgo Classic")</f>
        <v>Virgo Classic</v>
      </c>
      <c r="C328" s="70">
        <f>IFERROR(__xludf.DUMMYFUNCTION("""COMPUTED_VALUE"""),16000.0)</f>
        <v>16000</v>
      </c>
      <c r="D328" s="70" t="str">
        <f>IFERROR(__xludf.DUMMYFUNCTION("""COMPUTED_VALUE"""),"Muscle")</f>
        <v>Muscle</v>
      </c>
      <c r="E328" s="71" t="str">
        <f>IFERROR(__xludf.DUMMYFUNCTION("""COMPUTED_VALUE"""),"https://docs.fivem.net/vehicles/virgo3.webp")</f>
        <v>https://docs.fivem.net/vehicles/virgo3.webp</v>
      </c>
    </row>
    <row r="329" ht="15.75" customHeight="1">
      <c r="A329" s="69" t="str">
        <f>IFERROR(__xludf.DUMMYFUNCTION("""COMPUTED_VALUE"""),"voodoo")</f>
        <v>voodoo</v>
      </c>
      <c r="B329" s="69" t="str">
        <f>IFERROR(__xludf.DUMMYFUNCTION("""COMPUTED_VALUE"""),"Voodoo")</f>
        <v>Voodoo</v>
      </c>
      <c r="C329" s="70">
        <f>IFERROR(__xludf.DUMMYFUNCTION("""COMPUTED_VALUE"""),21000.0)</f>
        <v>21000</v>
      </c>
      <c r="D329" s="70" t="str">
        <f>IFERROR(__xludf.DUMMYFUNCTION("""COMPUTED_VALUE"""),"Muscle")</f>
        <v>Muscle</v>
      </c>
      <c r="E329" s="71" t="str">
        <f>IFERROR(__xludf.DUMMYFUNCTION("""COMPUTED_VALUE"""),"https://docs.fivem.net/vehicles/voodoo.webp")</f>
        <v>https://docs.fivem.net/vehicles/voodoo.webp</v>
      </c>
    </row>
    <row r="330" ht="15.75" customHeight="1">
      <c r="A330" s="69" t="str">
        <f>IFERROR(__xludf.DUMMYFUNCTION("""COMPUTED_VALUE"""),"weevil2")</f>
        <v>weevil2</v>
      </c>
      <c r="B330" s="69" t="str">
        <f>IFERROR(__xludf.DUMMYFUNCTION("""COMPUTED_VALUE"""),"Weevil Custom")</f>
        <v>Weevil Custom</v>
      </c>
      <c r="C330" s="70">
        <f>IFERROR(__xludf.DUMMYFUNCTION("""COMPUTED_VALUE"""),84500.0)</f>
        <v>84500</v>
      </c>
      <c r="D330" s="70" t="str">
        <f>IFERROR(__xludf.DUMMYFUNCTION("""COMPUTED_VALUE"""),"Muscle")</f>
        <v>Muscle</v>
      </c>
      <c r="E330" s="71" t="str">
        <f>IFERROR(__xludf.DUMMYFUNCTION("""COMPUTED_VALUE"""),"https://docs.fivem.net/vehicles/weevil2.webp")</f>
        <v>https://docs.fivem.net/vehicles/weevil2.webp</v>
      </c>
    </row>
    <row r="331" ht="15.75" customHeight="1">
      <c r="A331" s="69" t="str">
        <f>IFERROR(__xludf.DUMMYFUNCTION("""COMPUTED_VALUE"""),"yosemite")</f>
        <v>yosemite</v>
      </c>
      <c r="B331" s="69" t="str">
        <f>IFERROR(__xludf.DUMMYFUNCTION("""COMPUTED_VALUE"""),"Yosemite")</f>
        <v>Yosemite</v>
      </c>
      <c r="C331" s="70">
        <f>IFERROR(__xludf.DUMMYFUNCTION("""COMPUTED_VALUE"""),37500.0)</f>
        <v>37500</v>
      </c>
      <c r="D331" s="70" t="str">
        <f>IFERROR(__xludf.DUMMYFUNCTION("""COMPUTED_VALUE"""),"Muscle")</f>
        <v>Muscle</v>
      </c>
      <c r="E331" s="71" t="str">
        <f>IFERROR(__xludf.DUMMYFUNCTION("""COMPUTED_VALUE"""),"https://docs.fivem.net/vehicles/yosemite.webp")</f>
        <v>https://docs.fivem.net/vehicles/yosemite.webp</v>
      </c>
    </row>
    <row r="332" ht="15.75" customHeight="1">
      <c r="A332" s="69" t="str">
        <f>IFERROR(__xludf.DUMMYFUNCTION("""COMPUTED_VALUE"""),"yosemite2")</f>
        <v>yosemite2</v>
      </c>
      <c r="B332" s="69" t="str">
        <f>IFERROR(__xludf.DUMMYFUNCTION("""COMPUTED_VALUE"""),"Yosemite Drift")</f>
        <v>Yosemite Drift</v>
      </c>
      <c r="C332" s="70">
        <f>IFERROR(__xludf.DUMMYFUNCTION("""COMPUTED_VALUE"""),44000.0)</f>
        <v>44000</v>
      </c>
      <c r="D332" s="70" t="str">
        <f>IFERROR(__xludf.DUMMYFUNCTION("""COMPUTED_VALUE"""),"Muscle")</f>
        <v>Muscle</v>
      </c>
      <c r="E332" s="71" t="str">
        <f>IFERROR(__xludf.DUMMYFUNCTION("""COMPUTED_VALUE"""),"https://docs.fivem.net/vehicles/yosemite2.webp")</f>
        <v>https://docs.fivem.net/vehicles/yosemite2.webp</v>
      </c>
    </row>
    <row r="333" ht="15.75" customHeight="1">
      <c r="A333" s="69" t="str">
        <f>IFERROR(__xludf.DUMMYFUNCTION("""COMPUTED_VALUE"""),"asea")</f>
        <v>asea</v>
      </c>
      <c r="B333" s="69" t="str">
        <f>IFERROR(__xludf.DUMMYFUNCTION("""COMPUTED_VALUE"""),"Asea")</f>
        <v>Asea</v>
      </c>
      <c r="C333" s="70">
        <f>IFERROR(__xludf.DUMMYFUNCTION("""COMPUTED_VALUE"""),3850.0)</f>
        <v>3850</v>
      </c>
      <c r="D333" s="70" t="str">
        <f>IFERROR(__xludf.DUMMYFUNCTION("""COMPUTED_VALUE"""),"Sedans")</f>
        <v>Sedans</v>
      </c>
      <c r="E333" s="71" t="str">
        <f>IFERROR(__xludf.DUMMYFUNCTION("""COMPUTED_VALUE"""),"https://docs.fivem.net/vehicles/asea.webp")</f>
        <v>https://docs.fivem.net/vehicles/asea.webp</v>
      </c>
    </row>
    <row r="334" ht="15.75" customHeight="1">
      <c r="A334" s="69" t="str">
        <f>IFERROR(__xludf.DUMMYFUNCTION("""COMPUTED_VALUE"""),"asterope")</f>
        <v>asterope</v>
      </c>
      <c r="B334" s="69" t="str">
        <f>IFERROR(__xludf.DUMMYFUNCTION("""COMPUTED_VALUE"""),"Asterope")</f>
        <v>Asterope</v>
      </c>
      <c r="C334" s="70">
        <f>IFERROR(__xludf.DUMMYFUNCTION("""COMPUTED_VALUE"""),4500.0)</f>
        <v>4500</v>
      </c>
      <c r="D334" s="70" t="str">
        <f>IFERROR(__xludf.DUMMYFUNCTION("""COMPUTED_VALUE"""),"Sedans")</f>
        <v>Sedans</v>
      </c>
      <c r="E334" s="71" t="str">
        <f>IFERROR(__xludf.DUMMYFUNCTION("""COMPUTED_VALUE"""),"https://docs.fivem.net/vehicles/asterope.webp")</f>
        <v>https://docs.fivem.net/vehicles/asterope.webp</v>
      </c>
    </row>
    <row r="335" ht="15.75" customHeight="1">
      <c r="A335" s="69" t="str">
        <f>IFERROR(__xludf.DUMMYFUNCTION("""COMPUTED_VALUE"""),"asterope2")</f>
        <v>asterope2</v>
      </c>
      <c r="B335" s="69" t="str">
        <f>IFERROR(__xludf.DUMMYFUNCTION("""COMPUTED_VALUE"""),"Asterope GZ")</f>
        <v>Asterope GZ</v>
      </c>
      <c r="C335" s="70">
        <f>IFERROR(__xludf.DUMMYFUNCTION("""COMPUTED_VALUE"""),9500.0)</f>
        <v>9500</v>
      </c>
      <c r="D335" s="70" t="str">
        <f>IFERROR(__xludf.DUMMYFUNCTION("""COMPUTED_VALUE"""),"Sedans")</f>
        <v>Sedans</v>
      </c>
      <c r="E335" s="71" t="str">
        <f>IFERROR(__xludf.DUMMYFUNCTION("""COMPUTED_VALUE"""),"https://docs.fivem.net/vehicles/asterope2.webp")</f>
        <v>https://docs.fivem.net/vehicles/asterope2.webp</v>
      </c>
    </row>
    <row r="336" ht="15.75" customHeight="1">
      <c r="A336" s="69" t="str">
        <f>IFERROR(__xludf.DUMMYFUNCTION("""COMPUTED_VALUE"""),"cinquemila")</f>
        <v>cinquemila</v>
      </c>
      <c r="B336" s="69" t="str">
        <f>IFERROR(__xludf.DUMMYFUNCTION("""COMPUTED_VALUE"""),"Lampadati")</f>
        <v>Lampadati</v>
      </c>
      <c r="C336" s="70">
        <f>IFERROR(__xludf.DUMMYFUNCTION("""COMPUTED_VALUE"""),95000.0)</f>
        <v>95000</v>
      </c>
      <c r="D336" s="70" t="str">
        <f>IFERROR(__xludf.DUMMYFUNCTION("""COMPUTED_VALUE"""),"Sedans")</f>
        <v>Sedans</v>
      </c>
      <c r="E336" s="71" t="str">
        <f>IFERROR(__xludf.DUMMYFUNCTION("""COMPUTED_VALUE"""),"https://docs.fivem.net/vehicles/cinquemila.webp")</f>
        <v>https://docs.fivem.net/vehicles/cinquemila.webp</v>
      </c>
    </row>
    <row r="337" ht="15.75" customHeight="1">
      <c r="A337" s="69" t="str">
        <f>IFERROR(__xludf.DUMMYFUNCTION("""COMPUTED_VALUE"""),"deity")</f>
        <v>deity</v>
      </c>
      <c r="B337" s="69" t="str">
        <f>IFERROR(__xludf.DUMMYFUNCTION("""COMPUTED_VALUE"""),"Deity")</f>
        <v>Deity</v>
      </c>
      <c r="C337" s="70">
        <f>IFERROR(__xludf.DUMMYFUNCTION("""COMPUTED_VALUE"""),78000.0)</f>
        <v>78000</v>
      </c>
      <c r="D337" s="70" t="str">
        <f>IFERROR(__xludf.DUMMYFUNCTION("""COMPUTED_VALUE"""),"Sedans")</f>
        <v>Sedans</v>
      </c>
      <c r="E337" s="71" t="str">
        <f>IFERROR(__xludf.DUMMYFUNCTION("""COMPUTED_VALUE"""),"https://docs.fivem.net/vehicles/deity.webp")</f>
        <v>https://docs.fivem.net/vehicles/deity.webp</v>
      </c>
    </row>
    <row r="338" ht="15.75" customHeight="1">
      <c r="A338" s="69" t="str">
        <f>IFERROR(__xludf.DUMMYFUNCTION("""COMPUTED_VALUE"""),"emperor")</f>
        <v>emperor</v>
      </c>
      <c r="B338" s="69" t="str">
        <f>IFERROR(__xludf.DUMMYFUNCTION("""COMPUTED_VALUE"""),"Emperor")</f>
        <v>Emperor</v>
      </c>
      <c r="C338" s="70">
        <f>IFERROR(__xludf.DUMMYFUNCTION("""COMPUTED_VALUE"""),18000.0)</f>
        <v>18000</v>
      </c>
      <c r="D338" s="70" t="str">
        <f>IFERROR(__xludf.DUMMYFUNCTION("""COMPUTED_VALUE"""),"Sedans")</f>
        <v>Sedans</v>
      </c>
      <c r="E338" s="71" t="str">
        <f>IFERROR(__xludf.DUMMYFUNCTION("""COMPUTED_VALUE"""),"https://docs.fivem.net/vehicles/emperor.webp")</f>
        <v>https://docs.fivem.net/vehicles/emperor.webp</v>
      </c>
    </row>
    <row r="339" ht="15.75" customHeight="1">
      <c r="A339" s="69" t="str">
        <f>IFERROR(__xludf.DUMMYFUNCTION("""COMPUTED_VALUE"""),"eudora")</f>
        <v>eudora</v>
      </c>
      <c r="B339" s="69" t="str">
        <f>IFERROR(__xludf.DUMMYFUNCTION("""COMPUTED_VALUE"""),"Eudora")</f>
        <v>Eudora</v>
      </c>
      <c r="C339" s="70">
        <f>IFERROR(__xludf.DUMMYFUNCTION("""COMPUTED_VALUE"""),16000.0)</f>
        <v>16000</v>
      </c>
      <c r="D339" s="70" t="str">
        <f>IFERROR(__xludf.DUMMYFUNCTION("""COMPUTED_VALUE"""),"Sedans")</f>
        <v>Sedans</v>
      </c>
      <c r="E339" s="71" t="str">
        <f>IFERROR(__xludf.DUMMYFUNCTION("""COMPUTED_VALUE"""),"https://docs.fivem.net/vehicles/eudora.webp")</f>
        <v>https://docs.fivem.net/vehicles/eudora.webp</v>
      </c>
    </row>
    <row r="340" ht="15.75" customHeight="1">
      <c r="A340" s="69" t="str">
        <f>IFERROR(__xludf.DUMMYFUNCTION("""COMPUTED_VALUE"""),"fugitive")</f>
        <v>fugitive</v>
      </c>
      <c r="B340" s="69" t="str">
        <f>IFERROR(__xludf.DUMMYFUNCTION("""COMPUTED_VALUE"""),"Fugitive")</f>
        <v>Fugitive</v>
      </c>
      <c r="C340" s="70">
        <f>IFERROR(__xludf.DUMMYFUNCTION("""COMPUTED_VALUE"""),32000.0)</f>
        <v>32000</v>
      </c>
      <c r="D340" s="70" t="str">
        <f>IFERROR(__xludf.DUMMYFUNCTION("""COMPUTED_VALUE"""),"Sedans")</f>
        <v>Sedans</v>
      </c>
      <c r="E340" s="71" t="str">
        <f>IFERROR(__xludf.DUMMYFUNCTION("""COMPUTED_VALUE"""),"https://docs.fivem.net/vehicles/fugitive.webp")</f>
        <v>https://docs.fivem.net/vehicles/fugitive.webp</v>
      </c>
    </row>
    <row r="341" ht="15.75" customHeight="1">
      <c r="A341" s="69" t="str">
        <f>IFERROR(__xludf.DUMMYFUNCTION("""COMPUTED_VALUE"""),"glendale")</f>
        <v>glendale</v>
      </c>
      <c r="B341" s="69" t="str">
        <f>IFERROR(__xludf.DUMMYFUNCTION("""COMPUTED_VALUE"""),"Glendale")</f>
        <v>Glendale</v>
      </c>
      <c r="C341" s="70">
        <f>IFERROR(__xludf.DUMMYFUNCTION("""COMPUTED_VALUE"""),25000.0)</f>
        <v>25000</v>
      </c>
      <c r="D341" s="70" t="str">
        <f>IFERROR(__xludf.DUMMYFUNCTION("""COMPUTED_VALUE"""),"Sedans")</f>
        <v>Sedans</v>
      </c>
      <c r="E341" s="71" t="str">
        <f>IFERROR(__xludf.DUMMYFUNCTION("""COMPUTED_VALUE"""),"https://docs.fivem.net/vehicles/glendale.webp")</f>
        <v>https://docs.fivem.net/vehicles/glendale.webp</v>
      </c>
    </row>
    <row r="342" ht="15.75" customHeight="1">
      <c r="A342" s="69" t="str">
        <f>IFERROR(__xludf.DUMMYFUNCTION("""COMPUTED_VALUE"""),"glendale2")</f>
        <v>glendale2</v>
      </c>
      <c r="B342" s="69" t="str">
        <f>IFERROR(__xludf.DUMMYFUNCTION("""COMPUTED_VALUE"""),"Glendale Custom")</f>
        <v>Glendale Custom</v>
      </c>
      <c r="C342" s="70">
        <f>IFERROR(__xludf.DUMMYFUNCTION("""COMPUTED_VALUE"""),27000.0)</f>
        <v>27000</v>
      </c>
      <c r="D342" s="70" t="str">
        <f>IFERROR(__xludf.DUMMYFUNCTION("""COMPUTED_VALUE"""),"Sedans")</f>
        <v>Sedans</v>
      </c>
      <c r="E342" s="71" t="str">
        <f>IFERROR(__xludf.DUMMYFUNCTION("""COMPUTED_VALUE"""),"https://docs.fivem.net/vehicles/glendale2.webp")</f>
        <v>https://docs.fivem.net/vehicles/glendale2.webp</v>
      </c>
    </row>
    <row r="343" ht="15.75" customHeight="1">
      <c r="A343" s="69" t="str">
        <f>IFERROR(__xludf.DUMMYFUNCTION("""COMPUTED_VALUE"""),"impaler5")</f>
        <v>impaler5</v>
      </c>
      <c r="B343" s="69" t="str">
        <f>IFERROR(__xludf.DUMMYFUNCTION("""COMPUTED_VALUE"""),"Impaler SZ")</f>
        <v>Impaler SZ</v>
      </c>
      <c r="C343" s="70">
        <f>IFERROR(__xludf.DUMMYFUNCTION("""COMPUTED_VALUE"""),8800.0)</f>
        <v>8800</v>
      </c>
      <c r="D343" s="70" t="str">
        <f>IFERROR(__xludf.DUMMYFUNCTION("""COMPUTED_VALUE"""),"Sedans")</f>
        <v>Sedans</v>
      </c>
      <c r="E343" s="71" t="str">
        <f>IFERROR(__xludf.DUMMYFUNCTION("""COMPUTED_VALUE"""),"https://docs.fivem.net/vehicles/impaler5.webp")</f>
        <v>https://docs.fivem.net/vehicles/impaler5.webp</v>
      </c>
    </row>
    <row r="344" ht="15.75" customHeight="1">
      <c r="A344" s="69" t="str">
        <f>IFERROR(__xludf.DUMMYFUNCTION("""COMPUTED_VALUE"""),"ingot")</f>
        <v>ingot</v>
      </c>
      <c r="B344" s="69" t="str">
        <f>IFERROR(__xludf.DUMMYFUNCTION("""COMPUTED_VALUE"""),"Ingot")</f>
        <v>Ingot</v>
      </c>
      <c r="C344" s="70">
        <f>IFERROR(__xludf.DUMMYFUNCTION("""COMPUTED_VALUE"""),4900.0)</f>
        <v>4900</v>
      </c>
      <c r="D344" s="70" t="str">
        <f>IFERROR(__xludf.DUMMYFUNCTION("""COMPUTED_VALUE"""),"Sedans")</f>
        <v>Sedans</v>
      </c>
      <c r="E344" s="71" t="str">
        <f>IFERROR(__xludf.DUMMYFUNCTION("""COMPUTED_VALUE"""),"https://docs.fivem.net/vehicles/ingot.webp")</f>
        <v>https://docs.fivem.net/vehicles/ingot.webp</v>
      </c>
    </row>
    <row r="345" ht="15.75" customHeight="1">
      <c r="A345" s="69" t="str">
        <f>IFERROR(__xludf.DUMMYFUNCTION("""COMPUTED_VALUE"""),"intruder")</f>
        <v>intruder</v>
      </c>
      <c r="B345" s="69" t="str">
        <f>IFERROR(__xludf.DUMMYFUNCTION("""COMPUTED_VALUE"""),"Intruder")</f>
        <v>Intruder</v>
      </c>
      <c r="C345" s="70">
        <f>IFERROR(__xludf.DUMMYFUNCTION("""COMPUTED_VALUE"""),29500.0)</f>
        <v>29500</v>
      </c>
      <c r="D345" s="70" t="str">
        <f>IFERROR(__xludf.DUMMYFUNCTION("""COMPUTED_VALUE"""),"Sedans")</f>
        <v>Sedans</v>
      </c>
      <c r="E345" s="71" t="str">
        <f>IFERROR(__xludf.DUMMYFUNCTION("""COMPUTED_VALUE"""),"https://docs.fivem.net/vehicles/intruder.webp")</f>
        <v>https://docs.fivem.net/vehicles/intruder.webp</v>
      </c>
    </row>
    <row r="346" ht="15.75" customHeight="1">
      <c r="A346" s="69" t="str">
        <f>IFERROR(__xludf.DUMMYFUNCTION("""COMPUTED_VALUE"""),"oracle")</f>
        <v>oracle</v>
      </c>
      <c r="B346" s="69" t="str">
        <f>IFERROR(__xludf.DUMMYFUNCTION("""COMPUTED_VALUE"""),"Oracle")</f>
        <v>Oracle</v>
      </c>
      <c r="C346" s="70">
        <f>IFERROR(__xludf.DUMMYFUNCTION("""COMPUTED_VALUE"""),28000.0)</f>
        <v>28000</v>
      </c>
      <c r="D346" s="70" t="str">
        <f>IFERROR(__xludf.DUMMYFUNCTION("""COMPUTED_VALUE"""),"Sedans")</f>
        <v>Sedans</v>
      </c>
      <c r="E346" s="71" t="str">
        <f>IFERROR(__xludf.DUMMYFUNCTION("""COMPUTED_VALUE"""),"https://docs.fivem.net/vehicles/oracle.webp")</f>
        <v>https://docs.fivem.net/vehicles/oracle.webp</v>
      </c>
    </row>
    <row r="347" ht="15.75" customHeight="1">
      <c r="A347" s="69" t="str">
        <f>IFERROR(__xludf.DUMMYFUNCTION("""COMPUTED_VALUE"""),"premier")</f>
        <v>premier</v>
      </c>
      <c r="B347" s="69" t="str">
        <f>IFERROR(__xludf.DUMMYFUNCTION("""COMPUTED_VALUE"""),"Premier")</f>
        <v>Premier</v>
      </c>
      <c r="C347" s="70">
        <f>IFERROR(__xludf.DUMMYFUNCTION("""COMPUTED_VALUE"""),22000.0)</f>
        <v>22000</v>
      </c>
      <c r="D347" s="70" t="str">
        <f>IFERROR(__xludf.DUMMYFUNCTION("""COMPUTED_VALUE"""),"Sedans")</f>
        <v>Sedans</v>
      </c>
      <c r="E347" s="71" t="str">
        <f>IFERROR(__xludf.DUMMYFUNCTION("""COMPUTED_VALUE"""),"https://docs.fivem.net/vehicles/premier.webp")</f>
        <v>https://docs.fivem.net/vehicles/premier.webp</v>
      </c>
    </row>
    <row r="348" ht="15.75" customHeight="1">
      <c r="A348" s="69" t="str">
        <f>IFERROR(__xludf.DUMMYFUNCTION("""COMPUTED_VALUE"""),"primo")</f>
        <v>primo</v>
      </c>
      <c r="B348" s="69" t="str">
        <f>IFERROR(__xludf.DUMMYFUNCTION("""COMPUTED_VALUE"""),"Primo")</f>
        <v>Primo</v>
      </c>
      <c r="C348" s="70">
        <f>IFERROR(__xludf.DUMMYFUNCTION("""COMPUTED_VALUE"""),4500.0)</f>
        <v>4500</v>
      </c>
      <c r="D348" s="70" t="str">
        <f>IFERROR(__xludf.DUMMYFUNCTION("""COMPUTED_VALUE"""),"Sedans")</f>
        <v>Sedans</v>
      </c>
      <c r="E348" s="71" t="str">
        <f>IFERROR(__xludf.DUMMYFUNCTION("""COMPUTED_VALUE"""),"https://docs.fivem.net/vehicles/primo.webp")</f>
        <v>https://docs.fivem.net/vehicles/primo.webp</v>
      </c>
    </row>
    <row r="349" ht="15.75" customHeight="1">
      <c r="A349" s="69" t="str">
        <f>IFERROR(__xludf.DUMMYFUNCTION("""COMPUTED_VALUE"""),"primo2")</f>
        <v>primo2</v>
      </c>
      <c r="B349" s="69" t="str">
        <f>IFERROR(__xludf.DUMMYFUNCTION("""COMPUTED_VALUE"""),"Primo Custom")</f>
        <v>Primo Custom</v>
      </c>
      <c r="C349" s="70">
        <f>IFERROR(__xludf.DUMMYFUNCTION("""COMPUTED_VALUE"""),7500.0)</f>
        <v>7500</v>
      </c>
      <c r="D349" s="70" t="str">
        <f>IFERROR(__xludf.DUMMYFUNCTION("""COMPUTED_VALUE"""),"Sedans")</f>
        <v>Sedans</v>
      </c>
      <c r="E349" s="71" t="str">
        <f>IFERROR(__xludf.DUMMYFUNCTION("""COMPUTED_VALUE"""),"https://docs.fivem.net/vehicles/primo2.webp")</f>
        <v>https://docs.fivem.net/vehicles/primo2.webp</v>
      </c>
    </row>
    <row r="350" ht="15.75" customHeight="1">
      <c r="A350" s="69" t="str">
        <f>IFERROR(__xludf.DUMMYFUNCTION("""COMPUTED_VALUE"""),"regina")</f>
        <v>regina</v>
      </c>
      <c r="B350" s="69" t="str">
        <f>IFERROR(__xludf.DUMMYFUNCTION("""COMPUTED_VALUE"""),"Regina")</f>
        <v>Regina</v>
      </c>
      <c r="C350" s="70">
        <f>IFERROR(__xludf.DUMMYFUNCTION("""COMPUTED_VALUE"""),7000.0)</f>
        <v>7000</v>
      </c>
      <c r="D350" s="70" t="str">
        <f>IFERROR(__xludf.DUMMYFUNCTION("""COMPUTED_VALUE"""),"Sedans")</f>
        <v>Sedans</v>
      </c>
      <c r="E350" s="71" t="str">
        <f>IFERROR(__xludf.DUMMYFUNCTION("""COMPUTED_VALUE"""),"https://docs.fivem.net/vehicles/regina.webp")</f>
        <v>https://docs.fivem.net/vehicles/regina.webp</v>
      </c>
    </row>
    <row r="351" ht="15.75" customHeight="1">
      <c r="A351" s="69" t="str">
        <f>IFERROR(__xludf.DUMMYFUNCTION("""COMPUTED_VALUE"""),"rhinehart")</f>
        <v>rhinehart</v>
      </c>
      <c r="B351" s="69" t="str">
        <f>IFERROR(__xludf.DUMMYFUNCTION("""COMPUTED_VALUE"""),"Rhinehart")</f>
        <v>Rhinehart</v>
      </c>
      <c r="C351" s="70">
        <f>IFERROR(__xludf.DUMMYFUNCTION("""COMPUTED_VALUE"""),46000.0)</f>
        <v>46000</v>
      </c>
      <c r="D351" s="70" t="str">
        <f>IFERROR(__xludf.DUMMYFUNCTION("""COMPUTED_VALUE"""),"Sedans")</f>
        <v>Sedans</v>
      </c>
      <c r="E351" s="71" t="str">
        <f>IFERROR(__xludf.DUMMYFUNCTION("""COMPUTED_VALUE"""),"https://docs.fivem.net/vehicles/rhinehart.webp")</f>
        <v>https://docs.fivem.net/vehicles/rhinehart.webp</v>
      </c>
    </row>
    <row r="352" ht="15.75" customHeight="1">
      <c r="A352" s="69" t="str">
        <f>IFERROR(__xludf.DUMMYFUNCTION("""COMPUTED_VALUE"""),"schafter2")</f>
        <v>schafter2</v>
      </c>
      <c r="B352" s="69" t="str">
        <f>IFERROR(__xludf.DUMMYFUNCTION("""COMPUTED_VALUE"""),"Schafter")</f>
        <v>Schafter</v>
      </c>
      <c r="C352" s="70">
        <f>IFERROR(__xludf.DUMMYFUNCTION("""COMPUTED_VALUE"""),38000.0)</f>
        <v>38000</v>
      </c>
      <c r="D352" s="70" t="str">
        <f>IFERROR(__xludf.DUMMYFUNCTION("""COMPUTED_VALUE"""),"Sedans")</f>
        <v>Sedans</v>
      </c>
      <c r="E352" s="71" t="str">
        <f>IFERROR(__xludf.DUMMYFUNCTION("""COMPUTED_VALUE"""),"https://docs.fivem.net/vehicles/schafter2.webp")</f>
        <v>https://docs.fivem.net/vehicles/schafter2.webp</v>
      </c>
    </row>
    <row r="353" ht="15.75" customHeight="1">
      <c r="A353" s="69" t="str">
        <f>IFERROR(__xludf.DUMMYFUNCTION("""COMPUTED_VALUE"""),"stafford")</f>
        <v>stafford</v>
      </c>
      <c r="B353" s="69" t="str">
        <f>IFERROR(__xludf.DUMMYFUNCTION("""COMPUTED_VALUE"""),"Stafford")</f>
        <v>Stafford</v>
      </c>
      <c r="C353" s="70">
        <f>IFERROR(__xludf.DUMMYFUNCTION("""COMPUTED_VALUE"""),36000.0)</f>
        <v>36000</v>
      </c>
      <c r="D353" s="70" t="str">
        <f>IFERROR(__xludf.DUMMYFUNCTION("""COMPUTED_VALUE"""),"Sedans")</f>
        <v>Sedans</v>
      </c>
      <c r="E353" s="71" t="str">
        <f>IFERROR(__xludf.DUMMYFUNCTION("""COMPUTED_VALUE"""),"https://docs.fivem.net/vehicles/stafford.webp")</f>
        <v>https://docs.fivem.net/vehicles/stafford.webp</v>
      </c>
    </row>
    <row r="354" ht="15.75" customHeight="1">
      <c r="A354" s="69" t="str">
        <f>IFERROR(__xludf.DUMMYFUNCTION("""COMPUTED_VALUE"""),"stanier")</f>
        <v>stanier</v>
      </c>
      <c r="B354" s="69" t="str">
        <f>IFERROR(__xludf.DUMMYFUNCTION("""COMPUTED_VALUE"""),"Stanier")</f>
        <v>Stanier</v>
      </c>
      <c r="C354" s="70">
        <f>IFERROR(__xludf.DUMMYFUNCTION("""COMPUTED_VALUE"""),26000.0)</f>
        <v>26000</v>
      </c>
      <c r="D354" s="70" t="str">
        <f>IFERROR(__xludf.DUMMYFUNCTION("""COMPUTED_VALUE"""),"Sedans")</f>
        <v>Sedans</v>
      </c>
      <c r="E354" s="71" t="str">
        <f>IFERROR(__xludf.DUMMYFUNCTION("""COMPUTED_VALUE"""),"https://docs.fivem.net/vehicles/stanier.webp")</f>
        <v>https://docs.fivem.net/vehicles/stanier.webp</v>
      </c>
    </row>
    <row r="355" ht="15.75" customHeight="1">
      <c r="A355" s="69" t="str">
        <f>IFERROR(__xludf.DUMMYFUNCTION("""COMPUTED_VALUE"""),"stratum")</f>
        <v>stratum</v>
      </c>
      <c r="B355" s="69" t="str">
        <f>IFERROR(__xludf.DUMMYFUNCTION("""COMPUTED_VALUE"""),"Stratum")</f>
        <v>Stratum</v>
      </c>
      <c r="C355" s="70">
        <f>IFERROR(__xludf.DUMMYFUNCTION("""COMPUTED_VALUE"""),19000.0)</f>
        <v>19000</v>
      </c>
      <c r="D355" s="70" t="str">
        <f>IFERROR(__xludf.DUMMYFUNCTION("""COMPUTED_VALUE"""),"Sedans")</f>
        <v>Sedans</v>
      </c>
      <c r="E355" s="71" t="str">
        <f>IFERROR(__xludf.DUMMYFUNCTION("""COMPUTED_VALUE"""),"https://docs.fivem.net/vehicles/stratum.webp")</f>
        <v>https://docs.fivem.net/vehicles/stratum.webp</v>
      </c>
    </row>
    <row r="356" ht="15.75" customHeight="1">
      <c r="A356" s="69" t="str">
        <f>IFERROR(__xludf.DUMMYFUNCTION("""COMPUTED_VALUE"""),"superd")</f>
        <v>superd</v>
      </c>
      <c r="B356" s="69" t="str">
        <f>IFERROR(__xludf.DUMMYFUNCTION("""COMPUTED_VALUE"""),"Super Diamond")</f>
        <v>Super Diamond</v>
      </c>
      <c r="C356" s="70">
        <f>IFERROR(__xludf.DUMMYFUNCTION("""COMPUTED_VALUE"""),87000.0)</f>
        <v>87000</v>
      </c>
      <c r="D356" s="70" t="str">
        <f>IFERROR(__xludf.DUMMYFUNCTION("""COMPUTED_VALUE"""),"Sedans")</f>
        <v>Sedans</v>
      </c>
      <c r="E356" s="71" t="str">
        <f>IFERROR(__xludf.DUMMYFUNCTION("""COMPUTED_VALUE"""),"https://docs.fivem.net/vehicles/superd.webp")</f>
        <v>https://docs.fivem.net/vehicles/superd.webp</v>
      </c>
    </row>
    <row r="357" ht="15.75" customHeight="1">
      <c r="A357" s="69" t="str">
        <f>IFERROR(__xludf.DUMMYFUNCTION("""COMPUTED_VALUE"""),"surge")</f>
        <v>surge</v>
      </c>
      <c r="B357" s="69" t="str">
        <f>IFERROR(__xludf.DUMMYFUNCTION("""COMPUTED_VALUE"""),"Surge")</f>
        <v>Surge</v>
      </c>
      <c r="C357" s="70">
        <f>IFERROR(__xludf.DUMMYFUNCTION("""COMPUTED_VALUE"""),33000.0)</f>
        <v>33000</v>
      </c>
      <c r="D357" s="70" t="str">
        <f>IFERROR(__xludf.DUMMYFUNCTION("""COMPUTED_VALUE"""),"Sedans")</f>
        <v>Sedans</v>
      </c>
      <c r="E357" s="71" t="str">
        <f>IFERROR(__xludf.DUMMYFUNCTION("""COMPUTED_VALUE"""),"https://docs.fivem.net/vehicles/surge.webp")</f>
        <v>https://docs.fivem.net/vehicles/surge.webp</v>
      </c>
    </row>
    <row r="358" ht="15.75" customHeight="1">
      <c r="A358" s="69" t="str">
        <f>IFERROR(__xludf.DUMMYFUNCTION("""COMPUTED_VALUE"""),"tailgater")</f>
        <v>tailgater</v>
      </c>
      <c r="B358" s="69" t="str">
        <f>IFERROR(__xludf.DUMMYFUNCTION("""COMPUTED_VALUE"""),"Tailgater")</f>
        <v>Tailgater</v>
      </c>
      <c r="C358" s="70">
        <f>IFERROR(__xludf.DUMMYFUNCTION("""COMPUTED_VALUE"""),29000.0)</f>
        <v>29000</v>
      </c>
      <c r="D358" s="70" t="str">
        <f>IFERROR(__xludf.DUMMYFUNCTION("""COMPUTED_VALUE"""),"Sedans")</f>
        <v>Sedans</v>
      </c>
      <c r="E358" s="71" t="str">
        <f>IFERROR(__xludf.DUMMYFUNCTION("""COMPUTED_VALUE"""),"https://docs.fivem.net/vehicles/tailgater.webp")</f>
        <v>https://docs.fivem.net/vehicles/tailgater.webp</v>
      </c>
    </row>
    <row r="359" ht="15.75" customHeight="1">
      <c r="A359" s="69" t="str">
        <f>IFERROR(__xludf.DUMMYFUNCTION("""COMPUTED_VALUE"""),"tailgater2")</f>
        <v>tailgater2</v>
      </c>
      <c r="B359" s="69" t="str">
        <f>IFERROR(__xludf.DUMMYFUNCTION("""COMPUTED_VALUE"""),"Tailgater S")</f>
        <v>Tailgater S</v>
      </c>
      <c r="C359" s="70">
        <f>IFERROR(__xludf.DUMMYFUNCTION("""COMPUTED_VALUE"""),42000.0)</f>
        <v>42000</v>
      </c>
      <c r="D359" s="70" t="str">
        <f>IFERROR(__xludf.DUMMYFUNCTION("""COMPUTED_VALUE"""),"Sedans")</f>
        <v>Sedans</v>
      </c>
      <c r="E359" s="71" t="str">
        <f>IFERROR(__xludf.DUMMYFUNCTION("""COMPUTED_VALUE"""),"https://docs.fivem.net/vehicles/tailgater2.webp")</f>
        <v>https://docs.fivem.net/vehicles/tailgater2.webp</v>
      </c>
    </row>
    <row r="360" ht="15.75" customHeight="1">
      <c r="A360" s="69" t="str">
        <f>IFERROR(__xludf.DUMMYFUNCTION("""COMPUTED_VALUE"""),"warrener")</f>
        <v>warrener</v>
      </c>
      <c r="B360" s="69" t="str">
        <f>IFERROR(__xludf.DUMMYFUNCTION("""COMPUTED_VALUE"""),"Warrener")</f>
        <v>Warrener</v>
      </c>
      <c r="C360" s="70">
        <f>IFERROR(__xludf.DUMMYFUNCTION("""COMPUTED_VALUE"""),15000.0)</f>
        <v>15000</v>
      </c>
      <c r="D360" s="70" t="str">
        <f>IFERROR(__xludf.DUMMYFUNCTION("""COMPUTED_VALUE"""),"Sedans")</f>
        <v>Sedans</v>
      </c>
      <c r="E360" s="71" t="str">
        <f>IFERROR(__xludf.DUMMYFUNCTION("""COMPUTED_VALUE"""),"https://docs.fivem.net/vehicles/warrener.webp")</f>
        <v>https://docs.fivem.net/vehicles/warrener.webp</v>
      </c>
    </row>
    <row r="361" ht="15.75" customHeight="1">
      <c r="A361" s="69" t="str">
        <f>IFERROR(__xludf.DUMMYFUNCTION("""COMPUTED_VALUE"""),"warrener2")</f>
        <v>warrener2</v>
      </c>
      <c r="B361" s="69" t="str">
        <f>IFERROR(__xludf.DUMMYFUNCTION("""COMPUTED_VALUE"""),"Warrener HKR")</f>
        <v>Warrener HKR</v>
      </c>
      <c r="C361" s="70">
        <f>IFERROR(__xludf.DUMMYFUNCTION("""COMPUTED_VALUE"""),22000.0)</f>
        <v>22000</v>
      </c>
      <c r="D361" s="70" t="str">
        <f>IFERROR(__xludf.DUMMYFUNCTION("""COMPUTED_VALUE"""),"Sedans")</f>
        <v>Sedans</v>
      </c>
      <c r="E361" s="71" t="str">
        <f>IFERROR(__xludf.DUMMYFUNCTION("""COMPUTED_VALUE"""),"https://docs.fivem.net/vehicles/warrener2.webp")</f>
        <v>https://docs.fivem.net/vehicles/warrener2.webp</v>
      </c>
    </row>
    <row r="362" ht="15.75" customHeight="1">
      <c r="A362" s="69" t="str">
        <f>IFERROR(__xludf.DUMMYFUNCTION("""COMPUTED_VALUE"""),"washington")</f>
        <v>washington</v>
      </c>
      <c r="B362" s="69" t="str">
        <f>IFERROR(__xludf.DUMMYFUNCTION("""COMPUTED_VALUE"""),"Washington")</f>
        <v>Washington</v>
      </c>
      <c r="C362" s="70">
        <f>IFERROR(__xludf.DUMMYFUNCTION("""COMPUTED_VALUE"""),16500.0)</f>
        <v>16500</v>
      </c>
      <c r="D362" s="70" t="str">
        <f>IFERROR(__xludf.DUMMYFUNCTION("""COMPUTED_VALUE"""),"Sedans")</f>
        <v>Sedans</v>
      </c>
      <c r="E362" s="71" t="str">
        <f>IFERROR(__xludf.DUMMYFUNCTION("""COMPUTED_VALUE"""),"https://docs.fivem.net/vehicles/washington.webp")</f>
        <v>https://docs.fivem.net/vehicles/washington.webp</v>
      </c>
    </row>
    <row r="363" ht="15.75" customHeight="1">
      <c r="A363" s="69" t="str">
        <f>IFERROR(__xludf.DUMMYFUNCTION("""COMPUTED_VALUE"""),"adder")</f>
        <v>adder</v>
      </c>
      <c r="B363" s="69" t="str">
        <f>IFERROR(__xludf.DUMMYFUNCTION("""COMPUTED_VALUE"""),"Adder")</f>
        <v>Adder</v>
      </c>
      <c r="C363" s="70">
        <f>IFERROR(__xludf.DUMMYFUNCTION("""COMPUTED_VALUE"""),280000.0)</f>
        <v>280000</v>
      </c>
      <c r="D363" s="70" t="str">
        <f>IFERROR(__xludf.DUMMYFUNCTION("""COMPUTED_VALUE"""),"Superdeportivo")</f>
        <v>Superdeportivo</v>
      </c>
      <c r="E363" s="71" t="str">
        <f>IFERROR(__xludf.DUMMYFUNCTION("""COMPUTED_VALUE"""),"https://docs.fivem.net/vehicles/adder.webp")</f>
        <v>https://docs.fivem.net/vehicles/adder.webp</v>
      </c>
    </row>
    <row r="364" ht="15.75" customHeight="1">
      <c r="A364" s="69" t="str">
        <f>IFERROR(__xludf.DUMMYFUNCTION("""COMPUTED_VALUE"""),"autarch")</f>
        <v>autarch</v>
      </c>
      <c r="B364" s="69" t="str">
        <f>IFERROR(__xludf.DUMMYFUNCTION("""COMPUTED_VALUE"""),"Autarch")</f>
        <v>Autarch</v>
      </c>
      <c r="C364" s="70">
        <f>IFERROR(__xludf.DUMMYFUNCTION("""COMPUTED_VALUE"""),291000.0)</f>
        <v>291000</v>
      </c>
      <c r="D364" s="70" t="str">
        <f>IFERROR(__xludf.DUMMYFUNCTION("""COMPUTED_VALUE"""),"Superdeportivo")</f>
        <v>Superdeportivo</v>
      </c>
      <c r="E364" s="71" t="str">
        <f>IFERROR(__xludf.DUMMYFUNCTION("""COMPUTED_VALUE"""),"https://docs.fivem.net/vehicles/autarch.webp")</f>
        <v>https://docs.fivem.net/vehicles/autarch.webp</v>
      </c>
    </row>
    <row r="365" ht="15.75" customHeight="1">
      <c r="A365" s="69" t="str">
        <f>IFERROR(__xludf.DUMMYFUNCTION("""COMPUTED_VALUE"""),"banshee2")</f>
        <v>banshee2</v>
      </c>
      <c r="B365" s="69" t="str">
        <f>IFERROR(__xludf.DUMMYFUNCTION("""COMPUTED_VALUE"""),"Banshee 900R")</f>
        <v>Banshee 900R</v>
      </c>
      <c r="C365" s="70">
        <f>IFERROR(__xludf.DUMMYFUNCTION("""COMPUTED_VALUE"""),143000.0)</f>
        <v>143000</v>
      </c>
      <c r="D365" s="70" t="str">
        <f>IFERROR(__xludf.DUMMYFUNCTION("""COMPUTED_VALUE"""),"Superdeportivo")</f>
        <v>Superdeportivo</v>
      </c>
      <c r="E365" s="71" t="str">
        <f>IFERROR(__xludf.DUMMYFUNCTION("""COMPUTED_VALUE"""),"https://docs.fivem.net/vehicles/banshee2.webp")</f>
        <v>https://docs.fivem.net/vehicles/banshee2.webp</v>
      </c>
    </row>
    <row r="366" ht="15.75" customHeight="1">
      <c r="A366" s="69" t="str">
        <f>IFERROR(__xludf.DUMMYFUNCTION("""COMPUTED_VALUE"""),"bullet")</f>
        <v>bullet</v>
      </c>
      <c r="B366" s="69" t="str">
        <f>IFERROR(__xludf.DUMMYFUNCTION("""COMPUTED_VALUE"""),"Bullet")</f>
        <v>Bullet</v>
      </c>
      <c r="C366" s="70">
        <f>IFERROR(__xludf.DUMMYFUNCTION("""COMPUTED_VALUE"""),145000.0)</f>
        <v>145000</v>
      </c>
      <c r="D366" s="70" t="str">
        <f>IFERROR(__xludf.DUMMYFUNCTION("""COMPUTED_VALUE"""),"Superdeportivo")</f>
        <v>Superdeportivo</v>
      </c>
      <c r="E366" s="71" t="str">
        <f>IFERROR(__xludf.DUMMYFUNCTION("""COMPUTED_VALUE"""),"https://docs.fivem.net/vehicles/bullet.webp")</f>
        <v>https://docs.fivem.net/vehicles/bullet.webp</v>
      </c>
    </row>
    <row r="367" ht="15.75" customHeight="1">
      <c r="A367" s="69" t="str">
        <f>IFERROR(__xludf.DUMMYFUNCTION("""COMPUTED_VALUE"""),"cheetah")</f>
        <v>cheetah</v>
      </c>
      <c r="B367" s="69" t="str">
        <f>IFERROR(__xludf.DUMMYFUNCTION("""COMPUTED_VALUE"""),"Cheetah")</f>
        <v>Cheetah</v>
      </c>
      <c r="C367" s="70">
        <f>IFERROR(__xludf.DUMMYFUNCTION("""COMPUTED_VALUE"""),200000.0)</f>
        <v>200000</v>
      </c>
      <c r="D367" s="70" t="str">
        <f>IFERROR(__xludf.DUMMYFUNCTION("""COMPUTED_VALUE"""),"Superdeportivo")</f>
        <v>Superdeportivo</v>
      </c>
      <c r="E367" s="71" t="str">
        <f>IFERROR(__xludf.DUMMYFUNCTION("""COMPUTED_VALUE"""),"https://docs.fivem.net/vehicles/cheetah.webp")</f>
        <v>https://docs.fivem.net/vehicles/cheetah.webp</v>
      </c>
    </row>
    <row r="368" ht="15.75" customHeight="1">
      <c r="A368" s="69" t="str">
        <f>IFERROR(__xludf.DUMMYFUNCTION("""COMPUTED_VALUE"""),"corsita")</f>
        <v>corsita</v>
      </c>
      <c r="B368" s="69" t="str">
        <f>IFERROR(__xludf.DUMMYFUNCTION("""COMPUTED_VALUE"""),"Corsita")</f>
        <v>Corsita</v>
      </c>
      <c r="C368" s="70">
        <f>IFERROR(__xludf.DUMMYFUNCTION("""COMPUTED_VALUE"""),188000.0)</f>
        <v>188000</v>
      </c>
      <c r="D368" s="70" t="str">
        <f>IFERROR(__xludf.DUMMYFUNCTION("""COMPUTED_VALUE"""),"Superdeportivo")</f>
        <v>Superdeportivo</v>
      </c>
      <c r="E368" s="71" t="str">
        <f>IFERROR(__xludf.DUMMYFUNCTION("""COMPUTED_VALUE"""),"https://docs.fivem.net/vehicles/corsita.webp")</f>
        <v>https://docs.fivem.net/vehicles/corsita.webp</v>
      </c>
    </row>
    <row r="369" ht="15.75" customHeight="1">
      <c r="A369" s="69" t="str">
        <f>IFERROR(__xludf.DUMMYFUNCTION("""COMPUTED_VALUE"""),"cyclone")</f>
        <v>cyclone</v>
      </c>
      <c r="B369" s="69" t="str">
        <f>IFERROR(__xludf.DUMMYFUNCTION("""COMPUTED_VALUE"""),"Cyclone")</f>
        <v>Cyclone</v>
      </c>
      <c r="C369" s="70">
        <f>IFERROR(__xludf.DUMMYFUNCTION("""COMPUTED_VALUE"""),190000.0)</f>
        <v>190000</v>
      </c>
      <c r="D369" s="70" t="str">
        <f>IFERROR(__xludf.DUMMYFUNCTION("""COMPUTED_VALUE"""),"Superdeportivo")</f>
        <v>Superdeportivo</v>
      </c>
      <c r="E369" s="71" t="str">
        <f>IFERROR(__xludf.DUMMYFUNCTION("""COMPUTED_VALUE"""),"https://docs.fivem.net/vehicles/cyclone.webp")</f>
        <v>https://docs.fivem.net/vehicles/cyclone.webp</v>
      </c>
    </row>
    <row r="370" ht="15.75" customHeight="1">
      <c r="A370" s="69" t="str">
        <f>IFERROR(__xludf.DUMMYFUNCTION("""COMPUTED_VALUE"""),"deveste")</f>
        <v>deveste</v>
      </c>
      <c r="B370" s="69" t="str">
        <f>IFERROR(__xludf.DUMMYFUNCTION("""COMPUTED_VALUE"""),"Deveste")</f>
        <v>Deveste</v>
      </c>
      <c r="C370" s="70">
        <f>IFERROR(__xludf.DUMMYFUNCTION("""COMPUTED_VALUE"""),634000.0)</f>
        <v>634000</v>
      </c>
      <c r="D370" s="70" t="str">
        <f>IFERROR(__xludf.DUMMYFUNCTION("""COMPUTED_VALUE"""),"Superdeportivo")</f>
        <v>Superdeportivo</v>
      </c>
      <c r="E370" s="71" t="str">
        <f>IFERROR(__xludf.DUMMYFUNCTION("""COMPUTED_VALUE"""),"https://docs.fivem.net/vehicles/deveste.webp")</f>
        <v>https://docs.fivem.net/vehicles/deveste.webp</v>
      </c>
    </row>
    <row r="371" ht="15.75" customHeight="1">
      <c r="A371" s="69" t="str">
        <f>IFERROR(__xludf.DUMMYFUNCTION("""COMPUTED_VALUE"""),"emerus")</f>
        <v>emerus</v>
      </c>
      <c r="B371" s="69" t="str">
        <f>IFERROR(__xludf.DUMMYFUNCTION("""COMPUTED_VALUE"""),"Emerus")</f>
        <v>Emerus</v>
      </c>
      <c r="C371" s="70">
        <f>IFERROR(__xludf.DUMMYFUNCTION("""COMPUTED_VALUE"""),220000.0)</f>
        <v>220000</v>
      </c>
      <c r="D371" s="70" t="str">
        <f>IFERROR(__xludf.DUMMYFUNCTION("""COMPUTED_VALUE"""),"Superdeportivo")</f>
        <v>Superdeportivo</v>
      </c>
      <c r="E371" s="71" t="str">
        <f>IFERROR(__xludf.DUMMYFUNCTION("""COMPUTED_VALUE"""),"https://docs.fivem.net/vehicles/emerus.webp")</f>
        <v>https://docs.fivem.net/vehicles/emerus.webp</v>
      </c>
    </row>
    <row r="372" ht="15.75" customHeight="1">
      <c r="A372" s="69" t="str">
        <f>IFERROR(__xludf.DUMMYFUNCTION("""COMPUTED_VALUE"""),"entity2")</f>
        <v>entity2</v>
      </c>
      <c r="B372" s="69" t="str">
        <f>IFERROR(__xludf.DUMMYFUNCTION("""COMPUTED_VALUE"""),"Entity XXR")</f>
        <v>Entity XXR</v>
      </c>
      <c r="C372" s="70">
        <f>IFERROR(__xludf.DUMMYFUNCTION("""COMPUTED_VALUE"""),275000.0)</f>
        <v>275000</v>
      </c>
      <c r="D372" s="70" t="str">
        <f>IFERROR(__xludf.DUMMYFUNCTION("""COMPUTED_VALUE"""),"Superdeportivo")</f>
        <v>Superdeportivo</v>
      </c>
      <c r="E372" s="71" t="str">
        <f>IFERROR(__xludf.DUMMYFUNCTION("""COMPUTED_VALUE"""),"https://docs.fivem.net/vehicles/entity2.webp")</f>
        <v>https://docs.fivem.net/vehicles/entity2.webp</v>
      </c>
    </row>
    <row r="373" ht="15.75" customHeight="1">
      <c r="A373" s="69" t="str">
        <f>IFERROR(__xludf.DUMMYFUNCTION("""COMPUTED_VALUE"""),"entity3")</f>
        <v>entity3</v>
      </c>
      <c r="B373" s="69" t="str">
        <f>IFERROR(__xludf.DUMMYFUNCTION("""COMPUTED_VALUE"""),"Entity MT")</f>
        <v>Entity MT</v>
      </c>
      <c r="C373" s="70">
        <f>IFERROR(__xludf.DUMMYFUNCTION("""COMPUTED_VALUE"""),430000.0)</f>
        <v>430000</v>
      </c>
      <c r="D373" s="70" t="str">
        <f>IFERROR(__xludf.DUMMYFUNCTION("""COMPUTED_VALUE"""),"Superdeportivo")</f>
        <v>Superdeportivo</v>
      </c>
      <c r="E373" s="71" t="str">
        <f>IFERROR(__xludf.DUMMYFUNCTION("""COMPUTED_VALUE"""),"https://docs.fivem.net/vehicles/entity3.webp")</f>
        <v>https://docs.fivem.net/vehicles/entity3.webp</v>
      </c>
    </row>
    <row r="374" ht="15.75" customHeight="1">
      <c r="A374" s="69" t="str">
        <f>IFERROR(__xludf.DUMMYFUNCTION("""COMPUTED_VALUE"""),"entityxf")</f>
        <v>entityxf</v>
      </c>
      <c r="B374" s="69" t="str">
        <f>IFERROR(__xludf.DUMMYFUNCTION("""COMPUTED_VALUE"""),"Entity XF")</f>
        <v>Entity XF</v>
      </c>
      <c r="C374" s="70">
        <f>IFERROR(__xludf.DUMMYFUNCTION("""COMPUTED_VALUE"""),220000.0)</f>
        <v>220000</v>
      </c>
      <c r="D374" s="70" t="str">
        <f>IFERROR(__xludf.DUMMYFUNCTION("""COMPUTED_VALUE"""),"Superdeportivo")</f>
        <v>Superdeportivo</v>
      </c>
      <c r="E374" s="71" t="str">
        <f>IFERROR(__xludf.DUMMYFUNCTION("""COMPUTED_VALUE"""),"https://docs.fivem.net/vehicles/entityxf.webp")</f>
        <v>https://docs.fivem.net/vehicles/entityxf.webp</v>
      </c>
    </row>
    <row r="375" ht="15.75" customHeight="1">
      <c r="A375" s="69" t="str">
        <f>IFERROR(__xludf.DUMMYFUNCTION("""COMPUTED_VALUE"""),"fmj")</f>
        <v>fmj</v>
      </c>
      <c r="B375" s="69" t="str">
        <f>IFERROR(__xludf.DUMMYFUNCTION("""COMPUTED_VALUE"""),"FMJ")</f>
        <v>FMJ</v>
      </c>
      <c r="C375" s="70">
        <f>IFERROR(__xludf.DUMMYFUNCTION("""COMPUTED_VALUE"""),195000.0)</f>
        <v>195000</v>
      </c>
      <c r="D375" s="70" t="str">
        <f>IFERROR(__xludf.DUMMYFUNCTION("""COMPUTED_VALUE"""),"Superdeportivo")</f>
        <v>Superdeportivo</v>
      </c>
      <c r="E375" s="71" t="str">
        <f>IFERROR(__xludf.DUMMYFUNCTION("""COMPUTED_VALUE"""),"https://docs.fivem.net/vehicles/fmj.webp")</f>
        <v>https://docs.fivem.net/vehicles/fmj.webp</v>
      </c>
    </row>
    <row r="376" ht="15.75" customHeight="1">
      <c r="A376" s="69" t="str">
        <f>IFERROR(__xludf.DUMMYFUNCTION("""COMPUTED_VALUE"""),"furia")</f>
        <v>furia</v>
      </c>
      <c r="B376" s="69" t="str">
        <f>IFERROR(__xludf.DUMMYFUNCTION("""COMPUTED_VALUE"""),"Furia")</f>
        <v>Furia</v>
      </c>
      <c r="C376" s="70">
        <f>IFERROR(__xludf.DUMMYFUNCTION("""COMPUTED_VALUE"""),230000.0)</f>
        <v>230000</v>
      </c>
      <c r="D376" s="70" t="str">
        <f>IFERROR(__xludf.DUMMYFUNCTION("""COMPUTED_VALUE"""),"Superdeportivo")</f>
        <v>Superdeportivo</v>
      </c>
      <c r="E376" s="71" t="str">
        <f>IFERROR(__xludf.DUMMYFUNCTION("""COMPUTED_VALUE"""),"https://docs.fivem.net/vehicles/furia.webp")</f>
        <v>https://docs.fivem.net/vehicles/furia.webp</v>
      </c>
    </row>
    <row r="377" ht="15.75" customHeight="1">
      <c r="A377" s="69" t="str">
        <f>IFERROR(__xludf.DUMMYFUNCTION("""COMPUTED_VALUE"""),"gp1")</f>
        <v>gp1</v>
      </c>
      <c r="B377" s="69" t="str">
        <f>IFERROR(__xludf.DUMMYFUNCTION("""COMPUTED_VALUE"""),"GP1")</f>
        <v>GP1</v>
      </c>
      <c r="C377" s="70">
        <f>IFERROR(__xludf.DUMMYFUNCTION("""COMPUTED_VALUE"""),160000.0)</f>
        <v>160000</v>
      </c>
      <c r="D377" s="70" t="str">
        <f>IFERROR(__xludf.DUMMYFUNCTION("""COMPUTED_VALUE"""),"Superdeportivo")</f>
        <v>Superdeportivo</v>
      </c>
      <c r="E377" s="71" t="str">
        <f>IFERROR(__xludf.DUMMYFUNCTION("""COMPUTED_VALUE"""),"https://docs.fivem.net/vehicles/gp1.webp")</f>
        <v>https://docs.fivem.net/vehicles/gp1.webp</v>
      </c>
    </row>
    <row r="378" ht="15.75" customHeight="1">
      <c r="A378" s="69" t="str">
        <f>IFERROR(__xludf.DUMMYFUNCTION("""COMPUTED_VALUE"""),"ignus")</f>
        <v>ignus</v>
      </c>
      <c r="B378" s="69" t="str">
        <f>IFERROR(__xludf.DUMMYFUNCTION("""COMPUTED_VALUE"""),"Ignus")</f>
        <v>Ignus</v>
      </c>
      <c r="C378" s="70">
        <f>IFERROR(__xludf.DUMMYFUNCTION("""COMPUTED_VALUE"""),390000.0)</f>
        <v>390000</v>
      </c>
      <c r="D378" s="70" t="str">
        <f>IFERROR(__xludf.DUMMYFUNCTION("""COMPUTED_VALUE"""),"Superdeportivo")</f>
        <v>Superdeportivo</v>
      </c>
      <c r="E378" s="71" t="str">
        <f>IFERROR(__xludf.DUMMYFUNCTION("""COMPUTED_VALUE"""),"https://docs.fivem.net/vehicles/ignus.webp")</f>
        <v>https://docs.fivem.net/vehicles/ignus.webp</v>
      </c>
    </row>
    <row r="379" ht="15.75" customHeight="1">
      <c r="A379" s="69" t="str">
        <f>IFERROR(__xludf.DUMMYFUNCTION("""COMPUTED_VALUE"""),"infernus")</f>
        <v>infernus</v>
      </c>
      <c r="B379" s="69" t="str">
        <f>IFERROR(__xludf.DUMMYFUNCTION("""COMPUTED_VALUE"""),"Infernus")</f>
        <v>Infernus</v>
      </c>
      <c r="C379" s="70">
        <f>IFERROR(__xludf.DUMMYFUNCTION("""COMPUTED_VALUE"""),155000.0)</f>
        <v>155000</v>
      </c>
      <c r="D379" s="70" t="str">
        <f>IFERROR(__xludf.DUMMYFUNCTION("""COMPUTED_VALUE"""),"Superdeportivo")</f>
        <v>Superdeportivo</v>
      </c>
      <c r="E379" s="71" t="str">
        <f>IFERROR(__xludf.DUMMYFUNCTION("""COMPUTED_VALUE"""),"https://docs.fivem.net/vehicles/infernus.webp")</f>
        <v>https://docs.fivem.net/vehicles/infernus.webp</v>
      </c>
    </row>
    <row r="380" ht="15.75" customHeight="1">
      <c r="A380" s="69" t="str">
        <f>IFERROR(__xludf.DUMMYFUNCTION("""COMPUTED_VALUE"""),"italigtb")</f>
        <v>italigtb</v>
      </c>
      <c r="B380" s="69" t="str">
        <f>IFERROR(__xludf.DUMMYFUNCTION("""COMPUTED_VALUE"""),"Itali GTB")</f>
        <v>Itali GTB</v>
      </c>
      <c r="C380" s="70">
        <f>IFERROR(__xludf.DUMMYFUNCTION("""COMPUTED_VALUE"""),450000.0)</f>
        <v>450000</v>
      </c>
      <c r="D380" s="70" t="str">
        <f>IFERROR(__xludf.DUMMYFUNCTION("""COMPUTED_VALUE"""),"Superdeportivo")</f>
        <v>Superdeportivo</v>
      </c>
      <c r="E380" s="71" t="str">
        <f>IFERROR(__xludf.DUMMYFUNCTION("""COMPUTED_VALUE"""),"https://docs.fivem.net/vehicles/italigtb.webp")</f>
        <v>https://docs.fivem.net/vehicles/italigtb.webp</v>
      </c>
    </row>
    <row r="381" ht="15.75" customHeight="1">
      <c r="A381" s="69" t="str">
        <f>IFERROR(__xludf.DUMMYFUNCTION("""COMPUTED_VALUE"""),"italigtb2")</f>
        <v>italigtb2</v>
      </c>
      <c r="B381" s="69" t="str">
        <f>IFERROR(__xludf.DUMMYFUNCTION("""COMPUTED_VALUE"""),"Itali GTB Custom")</f>
        <v>Itali GTB Custom</v>
      </c>
      <c r="C381" s="70">
        <f>IFERROR(__xludf.DUMMYFUNCTION("""COMPUTED_VALUE"""),475000.0)</f>
        <v>475000</v>
      </c>
      <c r="D381" s="70" t="str">
        <f>IFERROR(__xludf.DUMMYFUNCTION("""COMPUTED_VALUE"""),"Superdeportivo")</f>
        <v>Superdeportivo</v>
      </c>
      <c r="E381" s="71" t="str">
        <f>IFERROR(__xludf.DUMMYFUNCTION("""COMPUTED_VALUE"""),"https://docs.fivem.net/vehicles/italigtb2.webp")</f>
        <v>https://docs.fivem.net/vehicles/italigtb2.webp</v>
      </c>
    </row>
    <row r="382" ht="15.75" customHeight="1">
      <c r="A382" s="69" t="str">
        <f>IFERROR(__xludf.DUMMYFUNCTION("""COMPUTED_VALUE"""),"italirsx")</f>
        <v>italirsx</v>
      </c>
      <c r="B382" s="69" t="str">
        <f>IFERROR(__xludf.DUMMYFUNCTION("""COMPUTED_VALUE"""),"Itali RSX")</f>
        <v>Itali RSX</v>
      </c>
      <c r="C382" s="70">
        <f>IFERROR(__xludf.DUMMYFUNCTION("""COMPUTED_VALUE"""),397000.0)</f>
        <v>397000</v>
      </c>
      <c r="D382" s="70" t="str">
        <f>IFERROR(__xludf.DUMMYFUNCTION("""COMPUTED_VALUE"""),"Superdeportivo")</f>
        <v>Superdeportivo</v>
      </c>
      <c r="E382" s="71" t="str">
        <f>IFERROR(__xludf.DUMMYFUNCTION("""COMPUTED_VALUE"""),"https://docs.fivem.net/vehicles/italirsx.webp")</f>
        <v>https://docs.fivem.net/vehicles/italirsx.webp</v>
      </c>
    </row>
    <row r="383" ht="15.75" customHeight="1">
      <c r="A383" s="69" t="str">
        <f>IFERROR(__xludf.DUMMYFUNCTION("""COMPUTED_VALUE"""),"krieger")</f>
        <v>krieger</v>
      </c>
      <c r="B383" s="69" t="str">
        <f>IFERROR(__xludf.DUMMYFUNCTION("""COMPUTED_VALUE"""),"Krieger")</f>
        <v>Krieger</v>
      </c>
      <c r="C383" s="70">
        <f>IFERROR(__xludf.DUMMYFUNCTION("""COMPUTED_VALUE"""),388000.0)</f>
        <v>388000</v>
      </c>
      <c r="D383" s="70" t="str">
        <f>IFERROR(__xludf.DUMMYFUNCTION("""COMPUTED_VALUE"""),"Superdeportivo")</f>
        <v>Superdeportivo</v>
      </c>
      <c r="E383" s="71" t="str">
        <f>IFERROR(__xludf.DUMMYFUNCTION("""COMPUTED_VALUE"""),"https://docs.fivem.net/vehicles/krieger.webp")</f>
        <v>https://docs.fivem.net/vehicles/krieger.webp</v>
      </c>
    </row>
    <row r="384" ht="15.75" customHeight="1">
      <c r="A384" s="69" t="str">
        <f>IFERROR(__xludf.DUMMYFUNCTION("""COMPUTED_VALUE"""),"le7b")</f>
        <v>le7b</v>
      </c>
      <c r="B384" s="69" t="str">
        <f>IFERROR(__xludf.DUMMYFUNCTION("""COMPUTED_VALUE"""),"RE-7B")</f>
        <v>RE-7B</v>
      </c>
      <c r="C384" s="70">
        <f>IFERROR(__xludf.DUMMYFUNCTION("""COMPUTED_VALUE"""),275000.0)</f>
        <v>275000</v>
      </c>
      <c r="D384" s="70" t="str">
        <f>IFERROR(__xludf.DUMMYFUNCTION("""COMPUTED_VALUE"""),"Superdeportivo")</f>
        <v>Superdeportivo</v>
      </c>
      <c r="E384" s="71" t="str">
        <f>IFERROR(__xludf.DUMMYFUNCTION("""COMPUTED_VALUE"""),"https://docs.fivem.net/vehicles/le7b.webp")</f>
        <v>https://docs.fivem.net/vehicles/le7b.webp</v>
      </c>
    </row>
    <row r="385" ht="15.75" customHeight="1">
      <c r="A385" s="69" t="str">
        <f>IFERROR(__xludf.DUMMYFUNCTION("""COMPUTED_VALUE"""),"lm87")</f>
        <v>lm87</v>
      </c>
      <c r="B385" s="69" t="str">
        <f>IFERROR(__xludf.DUMMYFUNCTION("""COMPUTED_VALUE"""),"LM87")</f>
        <v>LM87</v>
      </c>
      <c r="C385" s="70">
        <f>IFERROR(__xludf.DUMMYFUNCTION("""COMPUTED_VALUE"""),1155000.0)</f>
        <v>1155000</v>
      </c>
      <c r="D385" s="70" t="str">
        <f>IFERROR(__xludf.DUMMYFUNCTION("""COMPUTED_VALUE"""),"Superdeportivo")</f>
        <v>Superdeportivo</v>
      </c>
      <c r="E385" s="71" t="str">
        <f>IFERROR(__xludf.DUMMYFUNCTION("""COMPUTED_VALUE"""),"https://docs.fivem.net/vehicles/lm87.webp")</f>
        <v>https://docs.fivem.net/vehicles/lm87.webp</v>
      </c>
    </row>
    <row r="386" ht="15.75" customHeight="1">
      <c r="A386" s="69" t="str">
        <f>IFERROR(__xludf.DUMMYFUNCTION("""COMPUTED_VALUE"""),"nero")</f>
        <v>nero</v>
      </c>
      <c r="B386" s="69" t="str">
        <f>IFERROR(__xludf.DUMMYFUNCTION("""COMPUTED_VALUE"""),"Nero")</f>
        <v>Nero</v>
      </c>
      <c r="C386" s="70">
        <f>IFERROR(__xludf.DUMMYFUNCTION("""COMPUTED_VALUE"""),650000.0)</f>
        <v>650000</v>
      </c>
      <c r="D386" s="70" t="str">
        <f>IFERROR(__xludf.DUMMYFUNCTION("""COMPUTED_VALUE"""),"Superdeportivo")</f>
        <v>Superdeportivo</v>
      </c>
      <c r="E386" s="71" t="str">
        <f>IFERROR(__xludf.DUMMYFUNCTION("""COMPUTED_VALUE"""),"https://docs.fivem.net/vehicles/nero.webp")</f>
        <v>https://docs.fivem.net/vehicles/nero.webp</v>
      </c>
    </row>
    <row r="387" ht="15.75" customHeight="1">
      <c r="A387" s="69" t="str">
        <f>IFERROR(__xludf.DUMMYFUNCTION("""COMPUTED_VALUE"""),"nero2")</f>
        <v>nero2</v>
      </c>
      <c r="B387" s="69" t="str">
        <f>IFERROR(__xludf.DUMMYFUNCTION("""COMPUTED_VALUE"""),"Nero Custom")</f>
        <v>Nero Custom</v>
      </c>
      <c r="C387" s="70">
        <f>IFERROR(__xludf.DUMMYFUNCTION("""COMPUTED_VALUE"""),675000.0)</f>
        <v>675000</v>
      </c>
      <c r="D387" s="70" t="str">
        <f>IFERROR(__xludf.DUMMYFUNCTION("""COMPUTED_VALUE"""),"Superdeportivo")</f>
        <v>Superdeportivo</v>
      </c>
      <c r="E387" s="71" t="str">
        <f>IFERROR(__xludf.DUMMYFUNCTION("""COMPUTED_VALUE"""),"https://docs.fivem.net/vehicles/nero2.webp")</f>
        <v>https://docs.fivem.net/vehicles/nero2.webp</v>
      </c>
    </row>
    <row r="388" ht="15.75" customHeight="1">
      <c r="A388" s="69" t="str">
        <f>IFERROR(__xludf.DUMMYFUNCTION("""COMPUTED_VALUE"""),"osiris")</f>
        <v>osiris</v>
      </c>
      <c r="B388" s="69" t="str">
        <f>IFERROR(__xludf.DUMMYFUNCTION("""COMPUTED_VALUE"""),"Osiris")</f>
        <v>Osiris</v>
      </c>
      <c r="C388" s="70">
        <f>IFERROR(__xludf.DUMMYFUNCTION("""COMPUTED_VALUE"""),494000.0)</f>
        <v>494000</v>
      </c>
      <c r="D388" s="70" t="str">
        <f>IFERROR(__xludf.DUMMYFUNCTION("""COMPUTED_VALUE"""),"Superdeportivo")</f>
        <v>Superdeportivo</v>
      </c>
      <c r="E388" s="71" t="str">
        <f>IFERROR(__xludf.DUMMYFUNCTION("""COMPUTED_VALUE"""),"https://docs.fivem.net/vehicles/osiris.webp")</f>
        <v>https://docs.fivem.net/vehicles/osiris.webp</v>
      </c>
    </row>
    <row r="389" ht="15.75" customHeight="1">
      <c r="A389" s="69" t="str">
        <f>IFERROR(__xludf.DUMMYFUNCTION("""COMPUTED_VALUE"""),"penetrator")</f>
        <v>penetrator</v>
      </c>
      <c r="B389" s="69" t="str">
        <f>IFERROR(__xludf.DUMMYFUNCTION("""COMPUTED_VALUE"""),"Penetrator")</f>
        <v>Penetrator</v>
      </c>
      <c r="C389" s="70">
        <f>IFERROR(__xludf.DUMMYFUNCTION("""COMPUTED_VALUE"""),190000.0)</f>
        <v>190000</v>
      </c>
      <c r="D389" s="70" t="str">
        <f>IFERROR(__xludf.DUMMYFUNCTION("""COMPUTED_VALUE"""),"Superdeportivo")</f>
        <v>Superdeportivo</v>
      </c>
      <c r="E389" s="71" t="str">
        <f>IFERROR(__xludf.DUMMYFUNCTION("""COMPUTED_VALUE"""),"https://docs.fivem.net/vehicles/penetrator.webp")</f>
        <v>https://docs.fivem.net/vehicles/penetrator.webp</v>
      </c>
    </row>
    <row r="390" ht="15.75" customHeight="1">
      <c r="A390" s="69" t="str">
        <f>IFERROR(__xludf.DUMMYFUNCTION("""COMPUTED_VALUE"""),"pfister811")</f>
        <v>pfister811</v>
      </c>
      <c r="B390" s="69">
        <f>IFERROR(__xludf.DUMMYFUNCTION("""COMPUTED_VALUE"""),811.0)</f>
        <v>811</v>
      </c>
      <c r="C390" s="70">
        <f>IFERROR(__xludf.DUMMYFUNCTION("""COMPUTED_VALUE"""),395000.0)</f>
        <v>395000</v>
      </c>
      <c r="D390" s="70" t="str">
        <f>IFERROR(__xludf.DUMMYFUNCTION("""COMPUTED_VALUE"""),"Superdeportivo")</f>
        <v>Superdeportivo</v>
      </c>
      <c r="E390" s="71" t="str">
        <f>IFERROR(__xludf.DUMMYFUNCTION("""COMPUTED_VALUE"""),"https://docs.fivem.net/vehicles/pfister811.webp")</f>
        <v>https://docs.fivem.net/vehicles/pfister811.webp</v>
      </c>
    </row>
    <row r="391" ht="15.75" customHeight="1">
      <c r="A391" s="69" t="str">
        <f>IFERROR(__xludf.DUMMYFUNCTION("""COMPUTED_VALUE"""),"prototipo")</f>
        <v>prototipo</v>
      </c>
      <c r="B391" s="69" t="str">
        <f>IFERROR(__xludf.DUMMYFUNCTION("""COMPUTED_VALUE"""),"X80 Proto")</f>
        <v>X80 Proto</v>
      </c>
      <c r="C391" s="70">
        <f>IFERROR(__xludf.DUMMYFUNCTION("""COMPUTED_VALUE"""),735000.0)</f>
        <v>735000</v>
      </c>
      <c r="D391" s="70" t="str">
        <f>IFERROR(__xludf.DUMMYFUNCTION("""COMPUTED_VALUE"""),"Superdeportivo")</f>
        <v>Superdeportivo</v>
      </c>
      <c r="E391" s="71" t="str">
        <f>IFERROR(__xludf.DUMMYFUNCTION("""COMPUTED_VALUE"""),"https://docs.fivem.net/vehicles/prototipo.webp")</f>
        <v>https://docs.fivem.net/vehicles/prototipo.webp</v>
      </c>
    </row>
    <row r="392" ht="15.75" customHeight="1">
      <c r="A392" s="69" t="str">
        <f>IFERROR(__xludf.DUMMYFUNCTION("""COMPUTED_VALUE"""),"reaper")</f>
        <v>reaper</v>
      </c>
      <c r="B392" s="69" t="str">
        <f>IFERROR(__xludf.DUMMYFUNCTION("""COMPUTED_VALUE"""),"Reaper")</f>
        <v>Reaper</v>
      </c>
      <c r="C392" s="70">
        <f>IFERROR(__xludf.DUMMYFUNCTION("""COMPUTED_VALUE"""),235000.0)</f>
        <v>235000</v>
      </c>
      <c r="D392" s="70" t="str">
        <f>IFERROR(__xludf.DUMMYFUNCTION("""COMPUTED_VALUE"""),"Superdeportivo")</f>
        <v>Superdeportivo</v>
      </c>
      <c r="E392" s="71" t="str">
        <f>IFERROR(__xludf.DUMMYFUNCTION("""COMPUTED_VALUE"""),"https://docs.fivem.net/vehicles/reaper.webp")</f>
        <v>https://docs.fivem.net/vehicles/reaper.webp</v>
      </c>
    </row>
    <row r="393" ht="15.75" customHeight="1">
      <c r="A393" s="69" t="str">
        <f>IFERROR(__xludf.DUMMYFUNCTION("""COMPUTED_VALUE"""),"s80")</f>
        <v>s80</v>
      </c>
      <c r="B393" s="69" t="str">
        <f>IFERROR(__xludf.DUMMYFUNCTION("""COMPUTED_VALUE"""),"S80RR")</f>
        <v>S80RR</v>
      </c>
      <c r="C393" s="70">
        <f>IFERROR(__xludf.DUMMYFUNCTION("""COMPUTED_VALUE"""),875000.0)</f>
        <v>875000</v>
      </c>
      <c r="D393" s="70" t="str">
        <f>IFERROR(__xludf.DUMMYFUNCTION("""COMPUTED_VALUE"""),"Superdeportivo")</f>
        <v>Superdeportivo</v>
      </c>
      <c r="E393" s="71" t="str">
        <f>IFERROR(__xludf.DUMMYFUNCTION("""COMPUTED_VALUE"""),"https://docs.fivem.net/vehicles/s80.webp")</f>
        <v>https://docs.fivem.net/vehicles/s80.webp</v>
      </c>
    </row>
    <row r="394" ht="15.75" customHeight="1">
      <c r="A394" s="69" t="str">
        <f>IFERROR(__xludf.DUMMYFUNCTION("""COMPUTED_VALUE"""),"sc1")</f>
        <v>sc1</v>
      </c>
      <c r="B394" s="69" t="str">
        <f>IFERROR(__xludf.DUMMYFUNCTION("""COMPUTED_VALUE"""),"SC1")</f>
        <v>SC1</v>
      </c>
      <c r="C394" s="70">
        <f>IFERROR(__xludf.DUMMYFUNCTION("""COMPUTED_VALUE"""),175000.0)</f>
        <v>175000</v>
      </c>
      <c r="D394" s="70" t="str">
        <f>IFERROR(__xludf.DUMMYFUNCTION("""COMPUTED_VALUE"""),"Superdeportivo")</f>
        <v>Superdeportivo</v>
      </c>
      <c r="E394" s="71" t="str">
        <f>IFERROR(__xludf.DUMMYFUNCTION("""COMPUTED_VALUE"""),"https://docs.fivem.net/vehicles/sc1.webp")</f>
        <v>https://docs.fivem.net/vehicles/sc1.webp</v>
      </c>
    </row>
    <row r="395" ht="15.75" customHeight="1">
      <c r="A395" s="69" t="str">
        <f>IFERROR(__xludf.DUMMYFUNCTION("""COMPUTED_VALUE"""),"sheava")</f>
        <v>sheava</v>
      </c>
      <c r="B395" s="69" t="str">
        <f>IFERROR(__xludf.DUMMYFUNCTION("""COMPUTED_VALUE"""),"ETR1")</f>
        <v>ETR1</v>
      </c>
      <c r="C395" s="70">
        <f>IFERROR(__xludf.DUMMYFUNCTION("""COMPUTED_VALUE"""),190000.0)</f>
        <v>190000</v>
      </c>
      <c r="D395" s="70" t="str">
        <f>IFERROR(__xludf.DUMMYFUNCTION("""COMPUTED_VALUE"""),"Superdeportivo")</f>
        <v>Superdeportivo</v>
      </c>
      <c r="E395" s="71" t="str">
        <f>IFERROR(__xludf.DUMMYFUNCTION("""COMPUTED_VALUE"""),"https://docs.fivem.net/vehicles/sheava.webp")</f>
        <v>https://docs.fivem.net/vehicles/sheava.webp</v>
      </c>
    </row>
    <row r="396" ht="15.75" customHeight="1">
      <c r="A396" s="69" t="str">
        <f>IFERROR(__xludf.DUMMYFUNCTION("""COMPUTED_VALUE"""),"stingertt")</f>
        <v>stingertt</v>
      </c>
      <c r="B396" s="69" t="str">
        <f>IFERROR(__xludf.DUMMYFUNCTION("""COMPUTED_VALUE"""),"Itali GTO Stinger TT")</f>
        <v>Itali GTO Stinger TT</v>
      </c>
      <c r="C396" s="70">
        <f>IFERROR(__xludf.DUMMYFUNCTION("""COMPUTED_VALUE"""),375000.0)</f>
        <v>375000</v>
      </c>
      <c r="D396" s="70" t="str">
        <f>IFERROR(__xludf.DUMMYFUNCTION("""COMPUTED_VALUE"""),"Superdeportivo")</f>
        <v>Superdeportivo</v>
      </c>
      <c r="E396" s="71" t="str">
        <f>IFERROR(__xludf.DUMMYFUNCTION("""COMPUTED_VALUE"""),"https://docs.fivem.net/vehicles/stingertt.webp")</f>
        <v>https://docs.fivem.net/vehicles/stingertt.webp</v>
      </c>
    </row>
    <row r="397" ht="15.75" customHeight="1">
      <c r="A397" s="69" t="str">
        <f>IFERROR(__xludf.DUMMYFUNCTION("""COMPUTED_VALUE"""),"t20")</f>
        <v>t20</v>
      </c>
      <c r="B397" s="69" t="str">
        <f>IFERROR(__xludf.DUMMYFUNCTION("""COMPUTED_VALUE"""),"T20")</f>
        <v>T20</v>
      </c>
      <c r="C397" s="70">
        <f>IFERROR(__xludf.DUMMYFUNCTION("""COMPUTED_VALUE"""),365000.0)</f>
        <v>365000</v>
      </c>
      <c r="D397" s="70" t="str">
        <f>IFERROR(__xludf.DUMMYFUNCTION("""COMPUTED_VALUE"""),"Superdeportivo")</f>
        <v>Superdeportivo</v>
      </c>
      <c r="E397" s="71" t="str">
        <f>IFERROR(__xludf.DUMMYFUNCTION("""COMPUTED_VALUE"""),"https://docs.fivem.net/vehicles/t20.webp")</f>
        <v>https://docs.fivem.net/vehicles/t20.webp</v>
      </c>
    </row>
    <row r="398" ht="15.75" customHeight="1">
      <c r="A398" s="69" t="str">
        <f>IFERROR(__xludf.DUMMYFUNCTION("""COMPUTED_VALUE"""),"taipan")</f>
        <v>taipan</v>
      </c>
      <c r="B398" s="69" t="str">
        <f>IFERROR(__xludf.DUMMYFUNCTION("""COMPUTED_VALUE"""),"Taipan")</f>
        <v>Taipan</v>
      </c>
      <c r="C398" s="70">
        <f>IFERROR(__xludf.DUMMYFUNCTION("""COMPUTED_VALUE"""),185000.0)</f>
        <v>185000</v>
      </c>
      <c r="D398" s="70" t="str">
        <f>IFERROR(__xludf.DUMMYFUNCTION("""COMPUTED_VALUE"""),"Superdeportivo")</f>
        <v>Superdeportivo</v>
      </c>
      <c r="E398" s="71" t="str">
        <f>IFERROR(__xludf.DUMMYFUNCTION("""COMPUTED_VALUE"""),"https://docs.fivem.net/vehicles/taipan.webp")</f>
        <v>https://docs.fivem.net/vehicles/taipan.webp</v>
      </c>
    </row>
    <row r="399" ht="15.75" customHeight="1">
      <c r="A399" s="69" t="str">
        <f>IFERROR(__xludf.DUMMYFUNCTION("""COMPUTED_VALUE"""),"tempesta")</f>
        <v>tempesta</v>
      </c>
      <c r="B399" s="69" t="str">
        <f>IFERROR(__xludf.DUMMYFUNCTION("""COMPUTED_VALUE"""),"Tempesta")</f>
        <v>Tempesta</v>
      </c>
      <c r="C399" s="70">
        <f>IFERROR(__xludf.DUMMYFUNCTION("""COMPUTED_VALUE"""),180000.0)</f>
        <v>180000</v>
      </c>
      <c r="D399" s="70" t="str">
        <f>IFERROR(__xludf.DUMMYFUNCTION("""COMPUTED_VALUE"""),"Superdeportivo")</f>
        <v>Superdeportivo</v>
      </c>
      <c r="E399" s="71" t="str">
        <f>IFERROR(__xludf.DUMMYFUNCTION("""COMPUTED_VALUE"""),"https://docs.fivem.net/vehicles/tempesta.webp")</f>
        <v>https://docs.fivem.net/vehicles/tempesta.webp</v>
      </c>
    </row>
    <row r="400" ht="15.75" customHeight="1">
      <c r="A400" s="69" t="str">
        <f>IFERROR(__xludf.DUMMYFUNCTION("""COMPUTED_VALUE"""),"tezeract")</f>
        <v>tezeract</v>
      </c>
      <c r="B400" s="69" t="str">
        <f>IFERROR(__xludf.DUMMYFUNCTION("""COMPUTED_VALUE"""),"Tezeract")</f>
        <v>Tezeract</v>
      </c>
      <c r="C400" s="70">
        <f>IFERROR(__xludf.DUMMYFUNCTION("""COMPUTED_VALUE"""),1220000.0)</f>
        <v>1220000</v>
      </c>
      <c r="D400" s="70" t="str">
        <f>IFERROR(__xludf.DUMMYFUNCTION("""COMPUTED_VALUE"""),"Superdeportivo")</f>
        <v>Superdeportivo</v>
      </c>
      <c r="E400" s="71" t="str">
        <f>IFERROR(__xludf.DUMMYFUNCTION("""COMPUTED_VALUE"""),"https://docs.fivem.net/vehicles/tezeract.webp")</f>
        <v>https://docs.fivem.net/vehicles/tezeract.webp</v>
      </c>
    </row>
    <row r="401" ht="15.75" customHeight="1">
      <c r="A401" s="69" t="str">
        <f>IFERROR(__xludf.DUMMYFUNCTION("""COMPUTED_VALUE"""),"thrax")</f>
        <v>thrax</v>
      </c>
      <c r="B401" s="69" t="str">
        <f>IFERROR(__xludf.DUMMYFUNCTION("""COMPUTED_VALUE"""),"Thrax")</f>
        <v>Thrax</v>
      </c>
      <c r="C401" s="70">
        <f>IFERROR(__xludf.DUMMYFUNCTION("""COMPUTED_VALUE"""),180000.0)</f>
        <v>180000</v>
      </c>
      <c r="D401" s="70" t="str">
        <f>IFERROR(__xludf.DUMMYFUNCTION("""COMPUTED_VALUE"""),"Superdeportivo")</f>
        <v>Superdeportivo</v>
      </c>
      <c r="E401" s="71" t="str">
        <f>IFERROR(__xludf.DUMMYFUNCTION("""COMPUTED_VALUE"""),"https://docs.fivem.net/vehicles/thrax.webp")</f>
        <v>https://docs.fivem.net/vehicles/thrax.webp</v>
      </c>
    </row>
    <row r="402" ht="15.75" customHeight="1">
      <c r="A402" s="69" t="str">
        <f>IFERROR(__xludf.DUMMYFUNCTION("""COMPUTED_VALUE"""),"tigon")</f>
        <v>tigon</v>
      </c>
      <c r="B402" s="69" t="str">
        <f>IFERROR(__xludf.DUMMYFUNCTION("""COMPUTED_VALUE"""),"Tigon")</f>
        <v>Tigon</v>
      </c>
      <c r="C402" s="70">
        <f>IFERROR(__xludf.DUMMYFUNCTION("""COMPUTED_VALUE"""),270000.0)</f>
        <v>270000</v>
      </c>
      <c r="D402" s="70" t="str">
        <f>IFERROR(__xludf.DUMMYFUNCTION("""COMPUTED_VALUE"""),"Superdeportivo")</f>
        <v>Superdeportivo</v>
      </c>
      <c r="E402" s="71" t="str">
        <f>IFERROR(__xludf.DUMMYFUNCTION("""COMPUTED_VALUE"""),"https://docs.fivem.net/vehicles/tigon.webp")</f>
        <v>https://docs.fivem.net/vehicles/tigon.webp</v>
      </c>
    </row>
    <row r="403" ht="15.75" customHeight="1">
      <c r="A403" s="69" t="str">
        <f>IFERROR(__xludf.DUMMYFUNCTION("""COMPUTED_VALUE"""),"torero2")</f>
        <v>torero2</v>
      </c>
      <c r="B403" s="69" t="str">
        <f>IFERROR(__xludf.DUMMYFUNCTION("""COMPUTED_VALUE"""),"Torero XO")</f>
        <v>Torero XO</v>
      </c>
      <c r="C403" s="70">
        <f>IFERROR(__xludf.DUMMYFUNCTION("""COMPUTED_VALUE"""),245000.0)</f>
        <v>245000</v>
      </c>
      <c r="D403" s="70" t="str">
        <f>IFERROR(__xludf.DUMMYFUNCTION("""COMPUTED_VALUE"""),"Superdeportivo")</f>
        <v>Superdeportivo</v>
      </c>
      <c r="E403" s="71" t="str">
        <f>IFERROR(__xludf.DUMMYFUNCTION("""COMPUTED_VALUE"""),"https://docs.fivem.net/vehicles/torero2.webp")</f>
        <v>https://docs.fivem.net/vehicles/torero2.webp</v>
      </c>
    </row>
    <row r="404" ht="15.75" customHeight="1">
      <c r="A404" s="69" t="str">
        <f>IFERROR(__xludf.DUMMYFUNCTION("""COMPUTED_VALUE"""),"turismo3")</f>
        <v>turismo3</v>
      </c>
      <c r="B404" s="69" t="str">
        <f>IFERROR(__xludf.DUMMYFUNCTION("""COMPUTED_VALUE"""),"Turismo Omaggio")</f>
        <v>Turismo Omaggio</v>
      </c>
      <c r="C404" s="70">
        <f>IFERROR(__xludf.DUMMYFUNCTION("""COMPUTED_VALUE"""),450500.0)</f>
        <v>450500</v>
      </c>
      <c r="D404" s="70" t="str">
        <f>IFERROR(__xludf.DUMMYFUNCTION("""COMPUTED_VALUE"""),"Superdeportivo")</f>
        <v>Superdeportivo</v>
      </c>
      <c r="E404" s="71" t="str">
        <f>IFERROR(__xludf.DUMMYFUNCTION("""COMPUTED_VALUE"""),"https://docs.fivem.net/vehicles/turismo3.webp")</f>
        <v>https://docs.fivem.net/vehicles/turismo3.webp</v>
      </c>
    </row>
    <row r="405" ht="15.75" customHeight="1">
      <c r="A405" s="69" t="str">
        <f>IFERROR(__xludf.DUMMYFUNCTION("""COMPUTED_VALUE"""),"turismor")</f>
        <v>turismor</v>
      </c>
      <c r="B405" s="69" t="str">
        <f>IFERROR(__xludf.DUMMYFUNCTION("""COMPUTED_VALUE"""),"Turismo R")</f>
        <v>Turismo R</v>
      </c>
      <c r="C405" s="70">
        <f>IFERROR(__xludf.DUMMYFUNCTION("""COMPUTED_VALUE"""),340000.0)</f>
        <v>340000</v>
      </c>
      <c r="D405" s="70" t="str">
        <f>IFERROR(__xludf.DUMMYFUNCTION("""COMPUTED_VALUE"""),"Superdeportivo")</f>
        <v>Superdeportivo</v>
      </c>
      <c r="E405" s="71" t="str">
        <f>IFERROR(__xludf.DUMMYFUNCTION("""COMPUTED_VALUE"""),"https://docs.fivem.net/vehicles/turismor.webp")</f>
        <v>https://docs.fivem.net/vehicles/turismor.webp</v>
      </c>
    </row>
    <row r="406" ht="15.75" customHeight="1">
      <c r="A406" s="69" t="str">
        <f>IFERROR(__xludf.DUMMYFUNCTION("""COMPUTED_VALUE"""),"tyrant")</f>
        <v>tyrant</v>
      </c>
      <c r="B406" s="69" t="str">
        <f>IFERROR(__xludf.DUMMYFUNCTION("""COMPUTED_VALUE"""),"Tyrant")</f>
        <v>Tyrant</v>
      </c>
      <c r="C406" s="70">
        <f>IFERROR(__xludf.DUMMYFUNCTION("""COMPUTED_VALUE"""),210000.0)</f>
        <v>210000</v>
      </c>
      <c r="D406" s="70" t="str">
        <f>IFERROR(__xludf.DUMMYFUNCTION("""COMPUTED_VALUE"""),"Superdeportivo")</f>
        <v>Superdeportivo</v>
      </c>
      <c r="E406" s="71" t="str">
        <f>IFERROR(__xludf.DUMMYFUNCTION("""COMPUTED_VALUE"""),"https://docs.fivem.net/vehicles/tyrant.webp")</f>
        <v>https://docs.fivem.net/vehicles/tyrant.webp</v>
      </c>
    </row>
    <row r="407" ht="15.75" customHeight="1">
      <c r="A407" s="69" t="str">
        <f>IFERROR(__xludf.DUMMYFUNCTION("""COMPUTED_VALUE"""),"tyrus")</f>
        <v>tyrus</v>
      </c>
      <c r="B407" s="69" t="str">
        <f>IFERROR(__xludf.DUMMYFUNCTION("""COMPUTED_VALUE"""),"Tyrus")</f>
        <v>Tyrus</v>
      </c>
      <c r="C407" s="70">
        <f>IFERROR(__xludf.DUMMYFUNCTION("""COMPUTED_VALUE"""),230000.0)</f>
        <v>230000</v>
      </c>
      <c r="D407" s="70" t="str">
        <f>IFERROR(__xludf.DUMMYFUNCTION("""COMPUTED_VALUE"""),"Superdeportivo")</f>
        <v>Superdeportivo</v>
      </c>
      <c r="E407" s="71" t="str">
        <f>IFERROR(__xludf.DUMMYFUNCTION("""COMPUTED_VALUE"""),"https://docs.fivem.net/vehicles/tyrus.webp")</f>
        <v>https://docs.fivem.net/vehicles/tyrus.webp</v>
      </c>
    </row>
    <row r="408" ht="15.75" customHeight="1">
      <c r="A408" s="69" t="str">
        <f>IFERROR(__xludf.DUMMYFUNCTION("""COMPUTED_VALUE"""),"vacca")</f>
        <v>vacca</v>
      </c>
      <c r="B408" s="69" t="str">
        <f>IFERROR(__xludf.DUMMYFUNCTION("""COMPUTED_VALUE"""),"Vacca")</f>
        <v>Vacca</v>
      </c>
      <c r="C408" s="70">
        <f>IFERROR(__xludf.DUMMYFUNCTION("""COMPUTED_VALUE"""),135000.0)</f>
        <v>135000</v>
      </c>
      <c r="D408" s="70" t="str">
        <f>IFERROR(__xludf.DUMMYFUNCTION("""COMPUTED_VALUE"""),"Superdeportivo")</f>
        <v>Superdeportivo</v>
      </c>
      <c r="E408" s="71" t="str">
        <f>IFERROR(__xludf.DUMMYFUNCTION("""COMPUTED_VALUE"""),"https://docs.fivem.net/vehicles/vacca.webp")</f>
        <v>https://docs.fivem.net/vehicles/vacca.webp</v>
      </c>
    </row>
    <row r="409" ht="15.75" customHeight="1">
      <c r="A409" s="69" t="str">
        <f>IFERROR(__xludf.DUMMYFUNCTION("""COMPUTED_VALUE"""),"vagner")</f>
        <v>vagner</v>
      </c>
      <c r="B409" s="69" t="str">
        <f>IFERROR(__xludf.DUMMYFUNCTION("""COMPUTED_VALUE"""),"Vagner")</f>
        <v>Vagner</v>
      </c>
      <c r="C409" s="70">
        <f>IFERROR(__xludf.DUMMYFUNCTION("""COMPUTED_VALUE"""),526000.0)</f>
        <v>526000</v>
      </c>
      <c r="D409" s="70" t="str">
        <f>IFERROR(__xludf.DUMMYFUNCTION("""COMPUTED_VALUE"""),"Superdeportivo")</f>
        <v>Superdeportivo</v>
      </c>
      <c r="E409" s="71" t="str">
        <f>IFERROR(__xludf.DUMMYFUNCTION("""COMPUTED_VALUE"""),"https://docs.fivem.net/vehicles/vagner.webp")</f>
        <v>https://docs.fivem.net/vehicles/vagner.webp</v>
      </c>
    </row>
    <row r="410" ht="15.75" customHeight="1">
      <c r="A410" s="69" t="str">
        <f>IFERROR(__xludf.DUMMYFUNCTION("""COMPUTED_VALUE"""),"virtue")</f>
        <v>virtue</v>
      </c>
      <c r="B410" s="69" t="str">
        <f>IFERROR(__xludf.DUMMYFUNCTION("""COMPUTED_VALUE"""),"Virtue")</f>
        <v>Virtue</v>
      </c>
      <c r="C410" s="70">
        <f>IFERROR(__xludf.DUMMYFUNCTION("""COMPUTED_VALUE"""),375000.0)</f>
        <v>375000</v>
      </c>
      <c r="D410" s="70" t="str">
        <f>IFERROR(__xludf.DUMMYFUNCTION("""COMPUTED_VALUE"""),"Superdeportivo")</f>
        <v>Superdeportivo</v>
      </c>
      <c r="E410" s="71" t="str">
        <f>IFERROR(__xludf.DUMMYFUNCTION("""COMPUTED_VALUE"""),"https://docs.fivem.net/vehicles/virtue.webp")</f>
        <v>https://docs.fivem.net/vehicles/virtue.webp</v>
      </c>
    </row>
    <row r="411" ht="15.75" customHeight="1">
      <c r="A411" s="69" t="str">
        <f>IFERROR(__xludf.DUMMYFUNCTION("""COMPUTED_VALUE"""),"voltic")</f>
        <v>voltic</v>
      </c>
      <c r="B411" s="69" t="str">
        <f>IFERROR(__xludf.DUMMYFUNCTION("""COMPUTED_VALUE"""),"Voltic")</f>
        <v>Voltic</v>
      </c>
      <c r="C411" s="70">
        <f>IFERROR(__xludf.DUMMYFUNCTION("""COMPUTED_VALUE"""),135000.0)</f>
        <v>135000</v>
      </c>
      <c r="D411" s="70" t="str">
        <f>IFERROR(__xludf.DUMMYFUNCTION("""COMPUTED_VALUE"""),"Superdeportivo")</f>
        <v>Superdeportivo</v>
      </c>
      <c r="E411" s="71" t="str">
        <f>IFERROR(__xludf.DUMMYFUNCTION("""COMPUTED_VALUE"""),"https://docs.fivem.net/vehicles/voltic.webp")</f>
        <v>https://docs.fivem.net/vehicles/voltic.webp</v>
      </c>
    </row>
    <row r="412" ht="15.75" customHeight="1">
      <c r="A412" s="69" t="str">
        <f>IFERROR(__xludf.DUMMYFUNCTION("""COMPUTED_VALUE"""),"xa21")</f>
        <v>xa21</v>
      </c>
      <c r="B412" s="69" t="str">
        <f>IFERROR(__xludf.DUMMYFUNCTION("""COMPUTED_VALUE"""),"XA-21")</f>
        <v>XA-21</v>
      </c>
      <c r="C412" s="70">
        <f>IFERROR(__xludf.DUMMYFUNCTION("""COMPUTED_VALUE"""),285000.0)</f>
        <v>285000</v>
      </c>
      <c r="D412" s="70" t="str">
        <f>IFERROR(__xludf.DUMMYFUNCTION("""COMPUTED_VALUE"""),"Superdeportivo")</f>
        <v>Superdeportivo</v>
      </c>
      <c r="E412" s="71" t="str">
        <f>IFERROR(__xludf.DUMMYFUNCTION("""COMPUTED_VALUE"""),"https://docs.fivem.net/vehicles/xa21.webp")</f>
        <v>https://docs.fivem.net/vehicles/xa21.webp</v>
      </c>
    </row>
    <row r="413" ht="15.75" customHeight="1">
      <c r="A413" s="69" t="str">
        <f>IFERROR(__xludf.DUMMYFUNCTION("""COMPUTED_VALUE"""),"zeno")</f>
        <v>zeno</v>
      </c>
      <c r="B413" s="69" t="str">
        <f>IFERROR(__xludf.DUMMYFUNCTION("""COMPUTED_VALUE"""),"Zeno")</f>
        <v>Zeno</v>
      </c>
      <c r="C413" s="70">
        <f>IFERROR(__xludf.DUMMYFUNCTION("""COMPUTED_VALUE"""),375000.0)</f>
        <v>375000</v>
      </c>
      <c r="D413" s="70" t="str">
        <f>IFERROR(__xludf.DUMMYFUNCTION("""COMPUTED_VALUE"""),"Superdeportivo")</f>
        <v>Superdeportivo</v>
      </c>
      <c r="E413" s="71" t="str">
        <f>IFERROR(__xludf.DUMMYFUNCTION("""COMPUTED_VALUE"""),"https://docs.fivem.net/vehicles/zeno.webp")</f>
        <v>https://docs.fivem.net/vehicles/zeno.webp</v>
      </c>
    </row>
    <row r="414" ht="15.75" customHeight="1">
      <c r="A414" s="69" t="str">
        <f>IFERROR(__xludf.DUMMYFUNCTION("""COMPUTED_VALUE"""),"zentorno")</f>
        <v>zentorno</v>
      </c>
      <c r="B414" s="69" t="str">
        <f>IFERROR(__xludf.DUMMYFUNCTION("""COMPUTED_VALUE"""),"Zentorno")</f>
        <v>Zentorno</v>
      </c>
      <c r="C414" s="70">
        <f>IFERROR(__xludf.DUMMYFUNCTION("""COMPUTED_VALUE"""),750000.0)</f>
        <v>750000</v>
      </c>
      <c r="D414" s="70" t="str">
        <f>IFERROR(__xludf.DUMMYFUNCTION("""COMPUTED_VALUE"""),"Superdeportivo")</f>
        <v>Superdeportivo</v>
      </c>
      <c r="E414" s="71" t="str">
        <f>IFERROR(__xludf.DUMMYFUNCTION("""COMPUTED_VALUE"""),"https://docs.fivem.net/vehicles/zentorno.webp")</f>
        <v>https://docs.fivem.net/vehicles/zentorno.webp</v>
      </c>
    </row>
    <row r="415" ht="15.75" customHeight="1">
      <c r="A415" s="69" t="str">
        <f>IFERROR(__xludf.DUMMYFUNCTION("""COMPUTED_VALUE"""),"zorrusso")</f>
        <v>zorrusso</v>
      </c>
      <c r="B415" s="69" t="str">
        <f>IFERROR(__xludf.DUMMYFUNCTION("""COMPUTED_VALUE"""),"Zorrusso")</f>
        <v>Zorrusso</v>
      </c>
      <c r="C415" s="70">
        <f>IFERROR(__xludf.DUMMYFUNCTION("""COMPUTED_VALUE"""),245000.0)</f>
        <v>245000</v>
      </c>
      <c r="D415" s="70" t="str">
        <f>IFERROR(__xludf.DUMMYFUNCTION("""COMPUTED_VALUE"""),"Superdeportivo")</f>
        <v>Superdeportivo</v>
      </c>
      <c r="E415" s="71" t="str">
        <f>IFERROR(__xludf.DUMMYFUNCTION("""COMPUTED_VALUE"""),"https://docs.fivem.net/vehicles/zorrusso.webp")</f>
        <v>https://docs.fivem.net/vehicles/zorrusso.webp</v>
      </c>
    </row>
    <row r="416" ht="15.75" customHeight="1">
      <c r="A416" s="69" t="str">
        <f>IFERROR(__xludf.DUMMYFUNCTION("""COMPUTED_VALUE"""),"aleutian")</f>
        <v>aleutian</v>
      </c>
      <c r="B416" s="69" t="str">
        <f>IFERROR(__xludf.DUMMYFUNCTION("""COMPUTED_VALUE"""),"Aleutian")</f>
        <v>Aleutian</v>
      </c>
      <c r="C416" s="70">
        <f>IFERROR(__xludf.DUMMYFUNCTION("""COMPUTED_VALUE"""),65500.0)</f>
        <v>65500</v>
      </c>
      <c r="D416" s="70" t="str">
        <f>IFERROR(__xludf.DUMMYFUNCTION("""COMPUTED_VALUE"""),"SUVs")</f>
        <v>SUVs</v>
      </c>
      <c r="E416" s="71" t="str">
        <f>IFERROR(__xludf.DUMMYFUNCTION("""COMPUTED_VALUE"""),"https://docs.fivem.net/vehicles/aleutian.webp")</f>
        <v>https://docs.fivem.net/vehicles/aleutian.webp</v>
      </c>
    </row>
    <row r="417" ht="15.75" customHeight="1">
      <c r="A417" s="69" t="str">
        <f>IFERROR(__xludf.DUMMYFUNCTION("""COMPUTED_VALUE"""),"astron")</f>
        <v>astron</v>
      </c>
      <c r="B417" s="69" t="str">
        <f>IFERROR(__xludf.DUMMYFUNCTION("""COMPUTED_VALUE"""),"Astron")</f>
        <v>Astron</v>
      </c>
      <c r="C417" s="70">
        <f>IFERROR(__xludf.DUMMYFUNCTION("""COMPUTED_VALUE"""),94000.0)</f>
        <v>94000</v>
      </c>
      <c r="D417" s="70" t="str">
        <f>IFERROR(__xludf.DUMMYFUNCTION("""COMPUTED_VALUE"""),"SUVs")</f>
        <v>SUVs</v>
      </c>
      <c r="E417" s="71" t="str">
        <f>IFERROR(__xludf.DUMMYFUNCTION("""COMPUTED_VALUE"""),"https://docs.fivem.net/vehicles/astron.webp")</f>
        <v>https://docs.fivem.net/vehicles/astron.webp</v>
      </c>
    </row>
    <row r="418" ht="15.75" customHeight="1">
      <c r="A418" s="69" t="str">
        <f>IFERROR(__xludf.DUMMYFUNCTION("""COMPUTED_VALUE"""),"baller")</f>
        <v>baller</v>
      </c>
      <c r="B418" s="69" t="str">
        <f>IFERROR(__xludf.DUMMYFUNCTION("""COMPUTED_VALUE"""),"Baller")</f>
        <v>Baller</v>
      </c>
      <c r="C418" s="70">
        <f>IFERROR(__xludf.DUMMYFUNCTION("""COMPUTED_VALUE"""),42000.0)</f>
        <v>42000</v>
      </c>
      <c r="D418" s="70" t="str">
        <f>IFERROR(__xludf.DUMMYFUNCTION("""COMPUTED_VALUE"""),"SUVs")</f>
        <v>SUVs</v>
      </c>
      <c r="E418" s="71" t="str">
        <f>IFERROR(__xludf.DUMMYFUNCTION("""COMPUTED_VALUE"""),"https://docs.fivem.net/vehicles/baller.webp")</f>
        <v>https://docs.fivem.net/vehicles/baller.webp</v>
      </c>
    </row>
    <row r="419" ht="15.75" customHeight="1">
      <c r="A419" s="69" t="str">
        <f>IFERROR(__xludf.DUMMYFUNCTION("""COMPUTED_VALUE"""),"baller2")</f>
        <v>baller2</v>
      </c>
      <c r="B419" s="69" t="str">
        <f>IFERROR(__xludf.DUMMYFUNCTION("""COMPUTED_VALUE"""),"Baller II")</f>
        <v>Baller II</v>
      </c>
      <c r="C419" s="70">
        <f>IFERROR(__xludf.DUMMYFUNCTION("""COMPUTED_VALUE"""),46500.0)</f>
        <v>46500</v>
      </c>
      <c r="D419" s="70" t="str">
        <f>IFERROR(__xludf.DUMMYFUNCTION("""COMPUTED_VALUE"""),"SUVs")</f>
        <v>SUVs</v>
      </c>
      <c r="E419" s="71" t="str">
        <f>IFERROR(__xludf.DUMMYFUNCTION("""COMPUTED_VALUE"""),"https://docs.fivem.net/vehicles/baller2.webp")</f>
        <v>https://docs.fivem.net/vehicles/baller2.webp</v>
      </c>
    </row>
    <row r="420" ht="15.75" customHeight="1">
      <c r="A420" s="69" t="str">
        <f>IFERROR(__xludf.DUMMYFUNCTION("""COMPUTED_VALUE"""),"baller3")</f>
        <v>baller3</v>
      </c>
      <c r="B420" s="69" t="str">
        <f>IFERROR(__xludf.DUMMYFUNCTION("""COMPUTED_VALUE"""),"Baller LE")</f>
        <v>Baller LE</v>
      </c>
      <c r="C420" s="70">
        <f>IFERROR(__xludf.DUMMYFUNCTION("""COMPUTED_VALUE"""),56000.0)</f>
        <v>56000</v>
      </c>
      <c r="D420" s="70" t="str">
        <f>IFERROR(__xludf.DUMMYFUNCTION("""COMPUTED_VALUE"""),"SUVs")</f>
        <v>SUVs</v>
      </c>
      <c r="E420" s="71" t="str">
        <f>IFERROR(__xludf.DUMMYFUNCTION("""COMPUTED_VALUE"""),"https://docs.fivem.net/vehicles/baller3.webp")</f>
        <v>https://docs.fivem.net/vehicles/baller3.webp</v>
      </c>
    </row>
    <row r="421" ht="15.75" customHeight="1">
      <c r="A421" s="69" t="str">
        <f>IFERROR(__xludf.DUMMYFUNCTION("""COMPUTED_VALUE"""),"baller4")</f>
        <v>baller4</v>
      </c>
      <c r="B421" s="69" t="str">
        <f>IFERROR(__xludf.DUMMYFUNCTION("""COMPUTED_VALUE"""),"Baller LE LWB")</f>
        <v>Baller LE LWB</v>
      </c>
      <c r="C421" s="70">
        <f>IFERROR(__xludf.DUMMYFUNCTION("""COMPUTED_VALUE"""),59500.0)</f>
        <v>59500</v>
      </c>
      <c r="D421" s="70" t="str">
        <f>IFERROR(__xludf.DUMMYFUNCTION("""COMPUTED_VALUE"""),"SUVs")</f>
        <v>SUVs</v>
      </c>
      <c r="E421" s="71" t="str">
        <f>IFERROR(__xludf.DUMMYFUNCTION("""COMPUTED_VALUE"""),"https://docs.fivem.net/vehicles/baller4.webp")</f>
        <v>https://docs.fivem.net/vehicles/baller4.webp</v>
      </c>
    </row>
    <row r="422" ht="15.75" customHeight="1">
      <c r="A422" s="69" t="str">
        <f>IFERROR(__xludf.DUMMYFUNCTION("""COMPUTED_VALUE"""),"baller7")</f>
        <v>baller7</v>
      </c>
      <c r="B422" s="69" t="str">
        <f>IFERROR(__xludf.DUMMYFUNCTION("""COMPUTED_VALUE"""),"Baller ST")</f>
        <v>Baller ST</v>
      </c>
      <c r="C422" s="70">
        <f>IFERROR(__xludf.DUMMYFUNCTION("""COMPUTED_VALUE"""),78000.0)</f>
        <v>78000</v>
      </c>
      <c r="D422" s="70" t="str">
        <f>IFERROR(__xludf.DUMMYFUNCTION("""COMPUTED_VALUE"""),"SUVs")</f>
        <v>SUVs</v>
      </c>
      <c r="E422" s="71" t="str">
        <f>IFERROR(__xludf.DUMMYFUNCTION("""COMPUTED_VALUE"""),"https://docs.fivem.net/vehicles/baller7.webp")</f>
        <v>https://docs.fivem.net/vehicles/baller7.webp</v>
      </c>
    </row>
    <row r="423" ht="15.75" customHeight="1">
      <c r="A423" s="69" t="str">
        <f>IFERROR(__xludf.DUMMYFUNCTION("""COMPUTED_VALUE"""),"baller8")</f>
        <v>baller8</v>
      </c>
      <c r="B423" s="69" t="str">
        <f>IFERROR(__xludf.DUMMYFUNCTION("""COMPUTED_VALUE"""),"Baller ST-D")</f>
        <v>Baller ST-D</v>
      </c>
      <c r="C423" s="70">
        <f>IFERROR(__xludf.DUMMYFUNCTION("""COMPUTED_VALUE"""),95000.0)</f>
        <v>95000</v>
      </c>
      <c r="D423" s="70" t="str">
        <f>IFERROR(__xludf.DUMMYFUNCTION("""COMPUTED_VALUE"""),"SUVs")</f>
        <v>SUVs</v>
      </c>
      <c r="E423" s="71" t="str">
        <f>IFERROR(__xludf.DUMMYFUNCTION("""COMPUTED_VALUE"""),"https://docs.fivem.net/vehicles/baller8.webp")</f>
        <v>https://docs.fivem.net/vehicles/baller8.webp</v>
      </c>
    </row>
    <row r="424" ht="15.75" customHeight="1">
      <c r="A424" s="69" t="str">
        <f>IFERROR(__xludf.DUMMYFUNCTION("""COMPUTED_VALUE"""),"bjxl")</f>
        <v>bjxl</v>
      </c>
      <c r="B424" s="69" t="str">
        <f>IFERROR(__xludf.DUMMYFUNCTION("""COMPUTED_VALUE"""),"BeeJay XL")</f>
        <v>BeeJay XL</v>
      </c>
      <c r="C424" s="70">
        <f>IFERROR(__xludf.DUMMYFUNCTION("""COMPUTED_VALUE"""),28000.0)</f>
        <v>28000</v>
      </c>
      <c r="D424" s="70" t="str">
        <f>IFERROR(__xludf.DUMMYFUNCTION("""COMPUTED_VALUE"""),"SUVs")</f>
        <v>SUVs</v>
      </c>
      <c r="E424" s="71" t="str">
        <f>IFERROR(__xludf.DUMMYFUNCTION("""COMPUTED_VALUE"""),"https://docs.fivem.net/vehicles/bjxl.webp")</f>
        <v>https://docs.fivem.net/vehicles/bjxl.webp</v>
      </c>
    </row>
    <row r="425" ht="15.75" customHeight="1">
      <c r="A425" s="69" t="str">
        <f>IFERROR(__xludf.DUMMYFUNCTION("""COMPUTED_VALUE"""),"castigator")</f>
        <v>castigator</v>
      </c>
      <c r="B425" s="69" t="str">
        <f>IFERROR(__xludf.DUMMYFUNCTION("""COMPUTED_VALUE"""),"Castigator")</f>
        <v>Castigator</v>
      </c>
      <c r="C425" s="70">
        <f>IFERROR(__xludf.DUMMYFUNCTION("""COMPUTED_VALUE"""),48500.0)</f>
        <v>48500</v>
      </c>
      <c r="D425" s="70" t="str">
        <f>IFERROR(__xludf.DUMMYFUNCTION("""COMPUTED_VALUE"""),"SUVs")</f>
        <v>SUVs</v>
      </c>
      <c r="E425" s="71" t="str">
        <f>IFERROR(__xludf.DUMMYFUNCTION("""COMPUTED_VALUE"""),"https://docs.fivem.net/vehicles/castigator.webp")</f>
        <v>https://docs.fivem.net/vehicles/castigator.webp</v>
      </c>
    </row>
    <row r="426" ht="15.75" customHeight="1">
      <c r="A426" s="69" t="str">
        <f>IFERROR(__xludf.DUMMYFUNCTION("""COMPUTED_VALUE"""),"cavalcade")</f>
        <v>cavalcade</v>
      </c>
      <c r="B426" s="69" t="str">
        <f>IFERROR(__xludf.DUMMYFUNCTION("""COMPUTED_VALUE"""),"Cavalcade")</f>
        <v>Cavalcade</v>
      </c>
      <c r="C426" s="70">
        <f>IFERROR(__xludf.DUMMYFUNCTION("""COMPUTED_VALUE"""),28000.0)</f>
        <v>28000</v>
      </c>
      <c r="D426" s="70" t="str">
        <f>IFERROR(__xludf.DUMMYFUNCTION("""COMPUTED_VALUE"""),"SUVs")</f>
        <v>SUVs</v>
      </c>
      <c r="E426" s="71" t="str">
        <f>IFERROR(__xludf.DUMMYFUNCTION("""COMPUTED_VALUE"""),"https://docs.fivem.net/vehicles/cavalcade.webp")</f>
        <v>https://docs.fivem.net/vehicles/cavalcade.webp</v>
      </c>
    </row>
    <row r="427" ht="15.75" customHeight="1">
      <c r="A427" s="69" t="str">
        <f>IFERROR(__xludf.DUMMYFUNCTION("""COMPUTED_VALUE"""),"cavalcade2")</f>
        <v>cavalcade2</v>
      </c>
      <c r="B427" s="69" t="str">
        <f>IFERROR(__xludf.DUMMYFUNCTION("""COMPUTED_VALUE"""),"Cavalcade II")</f>
        <v>Cavalcade II</v>
      </c>
      <c r="C427" s="70">
        <f>IFERROR(__xludf.DUMMYFUNCTION("""COMPUTED_VALUE"""),40500.0)</f>
        <v>40500</v>
      </c>
      <c r="D427" s="70" t="str">
        <f>IFERROR(__xludf.DUMMYFUNCTION("""COMPUTED_VALUE"""),"SUVs")</f>
        <v>SUVs</v>
      </c>
      <c r="E427" s="71" t="str">
        <f>IFERROR(__xludf.DUMMYFUNCTION("""COMPUTED_VALUE"""),"https://docs.fivem.net/vehicles/cavalcade2.webp")</f>
        <v>https://docs.fivem.net/vehicles/cavalcade2.webp</v>
      </c>
    </row>
    <row r="428" ht="15.75" customHeight="1">
      <c r="A428" s="69" t="str">
        <f>IFERROR(__xludf.DUMMYFUNCTION("""COMPUTED_VALUE"""),"cavalcade3")</f>
        <v>cavalcade3</v>
      </c>
      <c r="B428" s="69" t="str">
        <f>IFERROR(__xludf.DUMMYFUNCTION("""COMPUTED_VALUE"""),"Cavalcade XL")</f>
        <v>Cavalcade XL</v>
      </c>
      <c r="C428" s="70">
        <f>IFERROR(__xludf.DUMMYFUNCTION("""COMPUTED_VALUE"""),69500.0)</f>
        <v>69500</v>
      </c>
      <c r="D428" s="70" t="str">
        <f>IFERROR(__xludf.DUMMYFUNCTION("""COMPUTED_VALUE"""),"SUVs")</f>
        <v>SUVs</v>
      </c>
      <c r="E428" s="71" t="str">
        <f>IFERROR(__xludf.DUMMYFUNCTION("""COMPUTED_VALUE"""),"https://docs.fivem.net/vehicles/cavalcade3.webp")</f>
        <v>https://docs.fivem.net/vehicles/cavalcade3.webp</v>
      </c>
    </row>
    <row r="429" ht="15.75" customHeight="1">
      <c r="A429" s="69" t="str">
        <f>IFERROR(__xludf.DUMMYFUNCTION("""COMPUTED_VALUE"""),"contender")</f>
        <v>contender</v>
      </c>
      <c r="B429" s="69" t="str">
        <f>IFERROR(__xludf.DUMMYFUNCTION("""COMPUTED_VALUE"""),"Contender")</f>
        <v>Contender</v>
      </c>
      <c r="C429" s="70">
        <f>IFERROR(__xludf.DUMMYFUNCTION("""COMPUTED_VALUE"""),90000.0)</f>
        <v>90000</v>
      </c>
      <c r="D429" s="70" t="str">
        <f>IFERROR(__xludf.DUMMYFUNCTION("""COMPUTED_VALUE"""),"SUVs")</f>
        <v>SUVs</v>
      </c>
      <c r="E429" s="71" t="str">
        <f>IFERROR(__xludf.DUMMYFUNCTION("""COMPUTED_VALUE"""),"https://docs.fivem.net/vehicles/contender.webp")</f>
        <v>https://docs.fivem.net/vehicles/contender.webp</v>
      </c>
    </row>
    <row r="430" ht="15.75" customHeight="1">
      <c r="A430" s="69" t="str">
        <f>IFERROR(__xludf.DUMMYFUNCTION("""COMPUTED_VALUE"""),"dorado")</f>
        <v>dorado</v>
      </c>
      <c r="B430" s="69" t="str">
        <f>IFERROR(__xludf.DUMMYFUNCTION("""COMPUTED_VALUE"""),"Dorado")</f>
        <v>Dorado</v>
      </c>
      <c r="C430" s="70">
        <f>IFERROR(__xludf.DUMMYFUNCTION("""COMPUTED_VALUE"""),24000.0)</f>
        <v>24000</v>
      </c>
      <c r="D430" s="70" t="str">
        <f>IFERROR(__xludf.DUMMYFUNCTION("""COMPUTED_VALUE"""),"SUVs")</f>
        <v>SUVs</v>
      </c>
      <c r="E430" s="71" t="str">
        <f>IFERROR(__xludf.DUMMYFUNCTION("""COMPUTED_VALUE"""),"https://docs.fivem.net/vehicles/dorado.webp")</f>
        <v>https://docs.fivem.net/vehicles/dorado.webp</v>
      </c>
    </row>
    <row r="431" ht="15.75" customHeight="1">
      <c r="A431" s="69" t="str">
        <f>IFERROR(__xludf.DUMMYFUNCTION("""COMPUTED_VALUE"""),"dubsta")</f>
        <v>dubsta</v>
      </c>
      <c r="B431" s="69" t="str">
        <f>IFERROR(__xludf.DUMMYFUNCTION("""COMPUTED_VALUE"""),"Dubsta")</f>
        <v>Dubsta</v>
      </c>
      <c r="C431" s="70">
        <f>IFERROR(__xludf.DUMMYFUNCTION("""COMPUTED_VALUE"""),50500.0)</f>
        <v>50500</v>
      </c>
      <c r="D431" s="70" t="str">
        <f>IFERROR(__xludf.DUMMYFUNCTION("""COMPUTED_VALUE"""),"SUVs")</f>
        <v>SUVs</v>
      </c>
      <c r="E431" s="71" t="str">
        <f>IFERROR(__xludf.DUMMYFUNCTION("""COMPUTED_VALUE"""),"https://docs.fivem.net/vehicles/dubsta.webp")</f>
        <v>https://docs.fivem.net/vehicles/dubsta.webp</v>
      </c>
    </row>
    <row r="432" ht="15.75" customHeight="1">
      <c r="A432" s="69" t="str">
        <f>IFERROR(__xludf.DUMMYFUNCTION("""COMPUTED_VALUE"""),"dubsta2")</f>
        <v>dubsta2</v>
      </c>
      <c r="B432" s="69" t="str">
        <f>IFERROR(__xludf.DUMMYFUNCTION("""COMPUTED_VALUE"""),"Dubsta Luxury")</f>
        <v>Dubsta Luxury</v>
      </c>
      <c r="C432" s="70">
        <f>IFERROR(__xludf.DUMMYFUNCTION("""COMPUTED_VALUE"""),69000.0)</f>
        <v>69000</v>
      </c>
      <c r="D432" s="70" t="str">
        <f>IFERROR(__xludf.DUMMYFUNCTION("""COMPUTED_VALUE"""),"SUVs")</f>
        <v>SUVs</v>
      </c>
      <c r="E432" s="71" t="str">
        <f>IFERROR(__xludf.DUMMYFUNCTION("""COMPUTED_VALUE"""),"https://docs.fivem.net/vehicles/dubsta2.webp")</f>
        <v>https://docs.fivem.net/vehicles/dubsta2.webp</v>
      </c>
    </row>
    <row r="433" ht="15.75" customHeight="1">
      <c r="A433" s="69" t="str">
        <f>IFERROR(__xludf.DUMMYFUNCTION("""COMPUTED_VALUE"""),"fq2")</f>
        <v>fq2</v>
      </c>
      <c r="B433" s="69" t="str">
        <f>IFERROR(__xludf.DUMMYFUNCTION("""COMPUTED_VALUE"""),"FQ2")</f>
        <v>FQ2</v>
      </c>
      <c r="C433" s="70">
        <f>IFERROR(__xludf.DUMMYFUNCTION("""COMPUTED_VALUE"""),59000.0)</f>
        <v>59000</v>
      </c>
      <c r="D433" s="70" t="str">
        <f>IFERROR(__xludf.DUMMYFUNCTION("""COMPUTED_VALUE"""),"SUVs")</f>
        <v>SUVs</v>
      </c>
      <c r="E433" s="71" t="str">
        <f>IFERROR(__xludf.DUMMYFUNCTION("""COMPUTED_VALUE"""),"https://docs.fivem.net/vehicles/fq2.webp")</f>
        <v>https://docs.fivem.net/vehicles/fq2.webp</v>
      </c>
    </row>
    <row r="434" ht="15.75" customHeight="1">
      <c r="A434" s="69" t="str">
        <f>IFERROR(__xludf.DUMMYFUNCTION("""COMPUTED_VALUE"""),"granger")</f>
        <v>granger</v>
      </c>
      <c r="B434" s="69" t="str">
        <f>IFERROR(__xludf.DUMMYFUNCTION("""COMPUTED_VALUE"""),"Granger")</f>
        <v>Granger</v>
      </c>
      <c r="C434" s="70">
        <f>IFERROR(__xludf.DUMMYFUNCTION("""COMPUTED_VALUE"""),64000.0)</f>
        <v>64000</v>
      </c>
      <c r="D434" s="70" t="str">
        <f>IFERROR(__xludf.DUMMYFUNCTION("""COMPUTED_VALUE"""),"SUVs")</f>
        <v>SUVs</v>
      </c>
      <c r="E434" s="71" t="str">
        <f>IFERROR(__xludf.DUMMYFUNCTION("""COMPUTED_VALUE"""),"https://docs.fivem.net/vehicles/granger.webp")</f>
        <v>https://docs.fivem.net/vehicles/granger.webp</v>
      </c>
    </row>
    <row r="435" ht="15.75" customHeight="1">
      <c r="A435" s="69" t="str">
        <f>IFERROR(__xludf.DUMMYFUNCTION("""COMPUTED_VALUE"""),"granger2")</f>
        <v>granger2</v>
      </c>
      <c r="B435" s="69" t="str">
        <f>IFERROR(__xludf.DUMMYFUNCTION("""COMPUTED_VALUE"""),"Granger 3600LX")</f>
        <v>Granger 3600LX</v>
      </c>
      <c r="C435" s="70">
        <f>IFERROR(__xludf.DUMMYFUNCTION("""COMPUTED_VALUE"""),68000.0)</f>
        <v>68000</v>
      </c>
      <c r="D435" s="70" t="str">
        <f>IFERROR(__xludf.DUMMYFUNCTION("""COMPUTED_VALUE"""),"SUVs")</f>
        <v>SUVs</v>
      </c>
      <c r="E435" s="71" t="str">
        <f>IFERROR(__xludf.DUMMYFUNCTION("""COMPUTED_VALUE"""),"https://docs.fivem.net/vehicles/granger2.webp")</f>
        <v>https://docs.fivem.net/vehicles/granger2.webp</v>
      </c>
    </row>
    <row r="436" ht="15.75" customHeight="1">
      <c r="A436" s="69" t="str">
        <f>IFERROR(__xludf.DUMMYFUNCTION("""COMPUTED_VALUE"""),"gresley")</f>
        <v>gresley</v>
      </c>
      <c r="B436" s="69" t="str">
        <f>IFERROR(__xludf.DUMMYFUNCTION("""COMPUTED_VALUE"""),"Gresley")</f>
        <v>Gresley</v>
      </c>
      <c r="C436" s="70">
        <f>IFERROR(__xludf.DUMMYFUNCTION("""COMPUTED_VALUE"""),42000.0)</f>
        <v>42000</v>
      </c>
      <c r="D436" s="70" t="str">
        <f>IFERROR(__xludf.DUMMYFUNCTION("""COMPUTED_VALUE"""),"SUVs")</f>
        <v>SUVs</v>
      </c>
      <c r="E436" s="71" t="str">
        <f>IFERROR(__xludf.DUMMYFUNCTION("""COMPUTED_VALUE"""),"https://docs.fivem.net/vehicles/gresley.webp")</f>
        <v>https://docs.fivem.net/vehicles/gresley.webp</v>
      </c>
    </row>
    <row r="437" ht="15.75" customHeight="1">
      <c r="A437" s="69" t="str">
        <f>IFERROR(__xludf.DUMMYFUNCTION("""COMPUTED_VALUE"""),"habanero")</f>
        <v>habanero</v>
      </c>
      <c r="B437" s="69" t="str">
        <f>IFERROR(__xludf.DUMMYFUNCTION("""COMPUTED_VALUE"""),"Habanero")</f>
        <v>Habanero</v>
      </c>
      <c r="C437" s="70">
        <f>IFERROR(__xludf.DUMMYFUNCTION("""COMPUTED_VALUE"""),9000.0)</f>
        <v>9000</v>
      </c>
      <c r="D437" s="70" t="str">
        <f>IFERROR(__xludf.DUMMYFUNCTION("""COMPUTED_VALUE"""),"SUVs")</f>
        <v>SUVs</v>
      </c>
      <c r="E437" s="71" t="str">
        <f>IFERROR(__xludf.DUMMYFUNCTION("""COMPUTED_VALUE"""),"https://docs.fivem.net/vehicles/habanero.webp")</f>
        <v>https://docs.fivem.net/vehicles/habanero.webp</v>
      </c>
    </row>
    <row r="438" ht="15.75" customHeight="1">
      <c r="A438" s="69" t="str">
        <f>IFERROR(__xludf.DUMMYFUNCTION("""COMPUTED_VALUE"""),"huntley")</f>
        <v>huntley</v>
      </c>
      <c r="B438" s="69" t="str">
        <f>IFERROR(__xludf.DUMMYFUNCTION("""COMPUTED_VALUE"""),"Huntley S")</f>
        <v>Huntley S</v>
      </c>
      <c r="C438" s="70">
        <f>IFERROR(__xludf.DUMMYFUNCTION("""COMPUTED_VALUE"""),57500.0)</f>
        <v>57500</v>
      </c>
      <c r="D438" s="70" t="str">
        <f>IFERROR(__xludf.DUMMYFUNCTION("""COMPUTED_VALUE"""),"SUVs")</f>
        <v>SUVs</v>
      </c>
      <c r="E438" s="71" t="str">
        <f>IFERROR(__xludf.DUMMYFUNCTION("""COMPUTED_VALUE"""),"https://docs.fivem.net/vehicles/huntley.webp")</f>
        <v>https://docs.fivem.net/vehicles/huntley.webp</v>
      </c>
    </row>
    <row r="439" ht="15.75" customHeight="1">
      <c r="A439" s="69" t="str">
        <f>IFERROR(__xludf.DUMMYFUNCTION("""COMPUTED_VALUE"""),"iwagen")</f>
        <v>iwagen</v>
      </c>
      <c r="B439" s="69" t="str">
        <f>IFERROR(__xludf.DUMMYFUNCTION("""COMPUTED_VALUE"""),"I-wagen")</f>
        <v>I-wagen</v>
      </c>
      <c r="C439" s="70">
        <f>IFERROR(__xludf.DUMMYFUNCTION("""COMPUTED_VALUE"""),39500.0)</f>
        <v>39500</v>
      </c>
      <c r="D439" s="70" t="str">
        <f>IFERROR(__xludf.DUMMYFUNCTION("""COMPUTED_VALUE"""),"SUVs")</f>
        <v>SUVs</v>
      </c>
      <c r="E439" s="71" t="str">
        <f>IFERROR(__xludf.DUMMYFUNCTION("""COMPUTED_VALUE"""),"https://docs.fivem.net/vehicles/iwagen.webp")</f>
        <v>https://docs.fivem.net/vehicles/iwagen.webp</v>
      </c>
    </row>
    <row r="440" ht="15.75" customHeight="1">
      <c r="A440" s="69" t="str">
        <f>IFERROR(__xludf.DUMMYFUNCTION("""COMPUTED_VALUE"""),"jubilee")</f>
        <v>jubilee</v>
      </c>
      <c r="B440" s="69" t="str">
        <f>IFERROR(__xludf.DUMMYFUNCTION("""COMPUTED_VALUE"""),"Jubilee")</f>
        <v>Jubilee</v>
      </c>
      <c r="C440" s="70">
        <f>IFERROR(__xludf.DUMMYFUNCTION("""COMPUTED_VALUE"""),98000.0)</f>
        <v>98000</v>
      </c>
      <c r="D440" s="70" t="str">
        <f>IFERROR(__xludf.DUMMYFUNCTION("""COMPUTED_VALUE"""),"SUVs")</f>
        <v>SUVs</v>
      </c>
      <c r="E440" s="71" t="str">
        <f>IFERROR(__xludf.DUMMYFUNCTION("""COMPUTED_VALUE"""),"https://docs.fivem.net/vehicles/jubilee.webp")</f>
        <v>https://docs.fivem.net/vehicles/jubilee.webp</v>
      </c>
    </row>
    <row r="441" ht="15.75" customHeight="1">
      <c r="A441" s="69" t="str">
        <f>IFERROR(__xludf.DUMMYFUNCTION("""COMPUTED_VALUE"""),"landstalker")</f>
        <v>landstalker</v>
      </c>
      <c r="B441" s="69" t="str">
        <f>IFERROR(__xludf.DUMMYFUNCTION("""COMPUTED_VALUE"""),"Landstalker")</f>
        <v>Landstalker</v>
      </c>
      <c r="C441" s="70">
        <f>IFERROR(__xludf.DUMMYFUNCTION("""COMPUTED_VALUE"""),42500.0)</f>
        <v>42500</v>
      </c>
      <c r="D441" s="70" t="str">
        <f>IFERROR(__xludf.DUMMYFUNCTION("""COMPUTED_VALUE"""),"SUVs")</f>
        <v>SUVs</v>
      </c>
      <c r="E441" s="71" t="str">
        <f>IFERROR(__xludf.DUMMYFUNCTION("""COMPUTED_VALUE"""),"https://docs.fivem.net/vehicles/landstalker.webp")</f>
        <v>https://docs.fivem.net/vehicles/landstalker.webp</v>
      </c>
    </row>
    <row r="442" ht="15.75" customHeight="1">
      <c r="A442" s="69" t="str">
        <f>IFERROR(__xludf.DUMMYFUNCTION("""COMPUTED_VALUE"""),"landstalker2")</f>
        <v>landstalker2</v>
      </c>
      <c r="B442" s="69" t="str">
        <f>IFERROR(__xludf.DUMMYFUNCTION("""COMPUTED_VALUE"""),"Landstalker XL")</f>
        <v>Landstalker XL</v>
      </c>
      <c r="C442" s="70">
        <f>IFERROR(__xludf.DUMMYFUNCTION("""COMPUTED_VALUE"""),46500.0)</f>
        <v>46500</v>
      </c>
      <c r="D442" s="70" t="str">
        <f>IFERROR(__xludf.DUMMYFUNCTION("""COMPUTED_VALUE"""),"SUVs")</f>
        <v>SUVs</v>
      </c>
      <c r="E442" s="71" t="str">
        <f>IFERROR(__xludf.DUMMYFUNCTION("""COMPUTED_VALUE"""),"https://docs.fivem.net/vehicles/landstalker2.webp")</f>
        <v>https://docs.fivem.net/vehicles/landstalker2.webp</v>
      </c>
    </row>
    <row r="443" ht="15.75" customHeight="1">
      <c r="A443" s="69" t="str">
        <f>IFERROR(__xludf.DUMMYFUNCTION("""COMPUTED_VALUE"""),"novak")</f>
        <v>novak</v>
      </c>
      <c r="B443" s="69" t="str">
        <f>IFERROR(__xludf.DUMMYFUNCTION("""COMPUTED_VALUE"""),"Novak")</f>
        <v>Novak</v>
      </c>
      <c r="C443" s="70">
        <f>IFERROR(__xludf.DUMMYFUNCTION("""COMPUTED_VALUE"""),78000.0)</f>
        <v>78000</v>
      </c>
      <c r="D443" s="70" t="str">
        <f>IFERROR(__xludf.DUMMYFUNCTION("""COMPUTED_VALUE"""),"SUVs")</f>
        <v>SUVs</v>
      </c>
      <c r="E443" s="71" t="str">
        <f>IFERROR(__xludf.DUMMYFUNCTION("""COMPUTED_VALUE"""),"https://docs.fivem.net/vehicles/novak.webp")</f>
        <v>https://docs.fivem.net/vehicles/novak.webp</v>
      </c>
    </row>
    <row r="444" ht="15.75" customHeight="1">
      <c r="A444" s="69" t="str">
        <f>IFERROR(__xludf.DUMMYFUNCTION("""COMPUTED_VALUE"""),"patriot")</f>
        <v>patriot</v>
      </c>
      <c r="B444" s="69" t="str">
        <f>IFERROR(__xludf.DUMMYFUNCTION("""COMPUTED_VALUE"""),"Patriot")</f>
        <v>Patriot</v>
      </c>
      <c r="C444" s="70">
        <f>IFERROR(__xludf.DUMMYFUNCTION("""COMPUTED_VALUE"""),43500.0)</f>
        <v>43500</v>
      </c>
      <c r="D444" s="70" t="str">
        <f>IFERROR(__xludf.DUMMYFUNCTION("""COMPUTED_VALUE"""),"SUVs")</f>
        <v>SUVs</v>
      </c>
      <c r="E444" s="71" t="str">
        <f>IFERROR(__xludf.DUMMYFUNCTION("""COMPUTED_VALUE"""),"https://docs.fivem.net/vehicles/patriot.webp")</f>
        <v>https://docs.fivem.net/vehicles/patriot.webp</v>
      </c>
    </row>
    <row r="445" ht="15.75" customHeight="1">
      <c r="A445" s="69" t="str">
        <f>IFERROR(__xludf.DUMMYFUNCTION("""COMPUTED_VALUE"""),"patriot3")</f>
        <v>patriot3</v>
      </c>
      <c r="B445" s="69" t="str">
        <f>IFERROR(__xludf.DUMMYFUNCTION("""COMPUTED_VALUE"""),"Patriot Military")</f>
        <v>Patriot Military</v>
      </c>
      <c r="C445" s="70">
        <f>IFERROR(__xludf.DUMMYFUNCTION("""COMPUTED_VALUE"""),92000.0)</f>
        <v>92000</v>
      </c>
      <c r="D445" s="70" t="str">
        <f>IFERROR(__xludf.DUMMYFUNCTION("""COMPUTED_VALUE"""),"SUVs")</f>
        <v>SUVs</v>
      </c>
      <c r="E445" s="71" t="str">
        <f>IFERROR(__xludf.DUMMYFUNCTION("""COMPUTED_VALUE"""),"https://docs.fivem.net/vehicles/patriot3.webp")</f>
        <v>https://docs.fivem.net/vehicles/patriot3.webp</v>
      </c>
    </row>
    <row r="446" ht="15.75" customHeight="1">
      <c r="A446" s="69" t="str">
        <f>IFERROR(__xludf.DUMMYFUNCTION("""COMPUTED_VALUE"""),"radi")</f>
        <v>radi</v>
      </c>
      <c r="B446" s="69" t="str">
        <f>IFERROR(__xludf.DUMMYFUNCTION("""COMPUTED_VALUE"""),"Radius")</f>
        <v>Radius</v>
      </c>
      <c r="C446" s="70">
        <f>IFERROR(__xludf.DUMMYFUNCTION("""COMPUTED_VALUE"""),16000.0)</f>
        <v>16000</v>
      </c>
      <c r="D446" s="70" t="str">
        <f>IFERROR(__xludf.DUMMYFUNCTION("""COMPUTED_VALUE"""),"SUVs")</f>
        <v>SUVs</v>
      </c>
      <c r="E446" s="71" t="str">
        <f>IFERROR(__xludf.DUMMYFUNCTION("""COMPUTED_VALUE"""),"https://docs.fivem.net/vehicles/radi.webp")</f>
        <v>https://docs.fivem.net/vehicles/radi.webp</v>
      </c>
    </row>
    <row r="447" ht="15.75" customHeight="1">
      <c r="A447" s="69" t="str">
        <f>IFERROR(__xludf.DUMMYFUNCTION("""COMPUTED_VALUE"""),"rebla")</f>
        <v>rebla</v>
      </c>
      <c r="B447" s="69" t="str">
        <f>IFERROR(__xludf.DUMMYFUNCTION("""COMPUTED_VALUE"""),"Rebla GTS")</f>
        <v>Rebla GTS</v>
      </c>
      <c r="C447" s="70">
        <f>IFERROR(__xludf.DUMMYFUNCTION("""COMPUTED_VALUE"""),115000.0)</f>
        <v>115000</v>
      </c>
      <c r="D447" s="70" t="str">
        <f>IFERROR(__xludf.DUMMYFUNCTION("""COMPUTED_VALUE"""),"SUVs")</f>
        <v>SUVs</v>
      </c>
      <c r="E447" s="71" t="str">
        <f>IFERROR(__xludf.DUMMYFUNCTION("""COMPUTED_VALUE"""),"https://docs.fivem.net/vehicles/rebla.webp")</f>
        <v>https://docs.fivem.net/vehicles/rebla.webp</v>
      </c>
    </row>
    <row r="448" ht="15.75" customHeight="1">
      <c r="A448" s="69" t="str">
        <f>IFERROR(__xludf.DUMMYFUNCTION("""COMPUTED_VALUE"""),"rocoto")</f>
        <v>rocoto</v>
      </c>
      <c r="B448" s="69" t="str">
        <f>IFERROR(__xludf.DUMMYFUNCTION("""COMPUTED_VALUE"""),"Rocoto")</f>
        <v>Rocoto</v>
      </c>
      <c r="C448" s="70">
        <f>IFERROR(__xludf.DUMMYFUNCTION("""COMPUTED_VALUE"""),44500.0)</f>
        <v>44500</v>
      </c>
      <c r="D448" s="70" t="str">
        <f>IFERROR(__xludf.DUMMYFUNCTION("""COMPUTED_VALUE"""),"SUVs")</f>
        <v>SUVs</v>
      </c>
      <c r="E448" s="71" t="str">
        <f>IFERROR(__xludf.DUMMYFUNCTION("""COMPUTED_VALUE"""),"https://docs.fivem.net/vehicles/rocoto.webp")</f>
        <v>https://docs.fivem.net/vehicles/rocoto.webp</v>
      </c>
    </row>
    <row r="449" ht="15.75" customHeight="1">
      <c r="A449" s="69" t="str">
        <f>IFERROR(__xludf.DUMMYFUNCTION("""COMPUTED_VALUE"""),"seminole")</f>
        <v>seminole</v>
      </c>
      <c r="B449" s="69" t="str">
        <f>IFERROR(__xludf.DUMMYFUNCTION("""COMPUTED_VALUE"""),"Seminole")</f>
        <v>Seminole</v>
      </c>
      <c r="C449" s="70">
        <f>IFERROR(__xludf.DUMMYFUNCTION("""COMPUTED_VALUE"""),29500.0)</f>
        <v>29500</v>
      </c>
      <c r="D449" s="70" t="str">
        <f>IFERROR(__xludf.DUMMYFUNCTION("""COMPUTED_VALUE"""),"SUVs")</f>
        <v>SUVs</v>
      </c>
      <c r="E449" s="71" t="str">
        <f>IFERROR(__xludf.DUMMYFUNCTION("""COMPUTED_VALUE"""),"https://docs.fivem.net/vehicles/seminole.webp")</f>
        <v>https://docs.fivem.net/vehicles/seminole.webp</v>
      </c>
    </row>
    <row r="450" ht="15.75" customHeight="1">
      <c r="A450" s="69" t="str">
        <f>IFERROR(__xludf.DUMMYFUNCTION("""COMPUTED_VALUE"""),"seminole2")</f>
        <v>seminole2</v>
      </c>
      <c r="B450" s="69" t="str">
        <f>IFERROR(__xludf.DUMMYFUNCTION("""COMPUTED_VALUE"""),"Seminole Frontier")</f>
        <v>Seminole Frontier</v>
      </c>
      <c r="C450" s="70">
        <f>IFERROR(__xludf.DUMMYFUNCTION("""COMPUTED_VALUE"""),34000.0)</f>
        <v>34000</v>
      </c>
      <c r="D450" s="70" t="str">
        <f>IFERROR(__xludf.DUMMYFUNCTION("""COMPUTED_VALUE"""),"SUVs")</f>
        <v>SUVs</v>
      </c>
      <c r="E450" s="71" t="str">
        <f>IFERROR(__xludf.DUMMYFUNCTION("""COMPUTED_VALUE"""),"https://docs.fivem.net/vehicles/seminole2.webp")</f>
        <v>https://docs.fivem.net/vehicles/seminole2.webp</v>
      </c>
    </row>
    <row r="451" ht="15.75" customHeight="1">
      <c r="A451" s="69" t="str">
        <f>IFERROR(__xludf.DUMMYFUNCTION("""COMPUTED_VALUE"""),"serrano")</f>
        <v>serrano</v>
      </c>
      <c r="B451" s="69" t="str">
        <f>IFERROR(__xludf.DUMMYFUNCTION("""COMPUTED_VALUE"""),"Serrano")</f>
        <v>Serrano</v>
      </c>
      <c r="C451" s="70">
        <f>IFERROR(__xludf.DUMMYFUNCTION("""COMPUTED_VALUE"""),36500.0)</f>
        <v>36500</v>
      </c>
      <c r="D451" s="70" t="str">
        <f>IFERROR(__xludf.DUMMYFUNCTION("""COMPUTED_VALUE"""),"SUVs")</f>
        <v>SUVs</v>
      </c>
      <c r="E451" s="71" t="str">
        <f>IFERROR(__xludf.DUMMYFUNCTION("""COMPUTED_VALUE"""),"https://docs.fivem.net/vehicles/serrano.webp")</f>
        <v>https://docs.fivem.net/vehicles/serrano.webp</v>
      </c>
    </row>
    <row r="452" ht="15.75" customHeight="1">
      <c r="A452" s="69" t="str">
        <f>IFERROR(__xludf.DUMMYFUNCTION("""COMPUTED_VALUE"""),"toros")</f>
        <v>toros</v>
      </c>
      <c r="B452" s="69" t="str">
        <f>IFERROR(__xludf.DUMMYFUNCTION("""COMPUTED_VALUE"""),"Toros")</f>
        <v>Toros</v>
      </c>
      <c r="C452" s="70">
        <f>IFERROR(__xludf.DUMMYFUNCTION("""COMPUTED_VALUE"""),165000.0)</f>
        <v>165000</v>
      </c>
      <c r="D452" s="70" t="str">
        <f>IFERROR(__xludf.DUMMYFUNCTION("""COMPUTED_VALUE"""),"SUVs")</f>
        <v>SUVs</v>
      </c>
      <c r="E452" s="71" t="str">
        <f>IFERROR(__xludf.DUMMYFUNCTION("""COMPUTED_VALUE"""),"https://docs.fivem.net/vehicles/toros.webp")</f>
        <v>https://docs.fivem.net/vehicles/toros.webp</v>
      </c>
    </row>
    <row r="453" ht="15.75" customHeight="1">
      <c r="A453" s="69" t="str">
        <f>IFERROR(__xludf.DUMMYFUNCTION("""COMPUTED_VALUE"""),"vivanite")</f>
        <v>vivanite</v>
      </c>
      <c r="B453" s="69" t="str">
        <f>IFERROR(__xludf.DUMMYFUNCTION("""COMPUTED_VALUE"""),"Vivanite")</f>
        <v>Vivanite</v>
      </c>
      <c r="C453" s="70">
        <f>IFERROR(__xludf.DUMMYFUNCTION("""COMPUTED_VALUE"""),48000.0)</f>
        <v>48000</v>
      </c>
      <c r="D453" s="70" t="str">
        <f>IFERROR(__xludf.DUMMYFUNCTION("""COMPUTED_VALUE"""),"SUVs")</f>
        <v>SUVs</v>
      </c>
      <c r="E453" s="71" t="str">
        <f>IFERROR(__xludf.DUMMYFUNCTION("""COMPUTED_VALUE"""),"https://docs.fivem.net/vehicles/vivanite.webp")</f>
        <v>https://docs.fivem.net/vehicles/vivanite.webp</v>
      </c>
    </row>
    <row r="454" ht="15.75" customHeight="1">
      <c r="A454" s="69" t="str">
        <f>IFERROR(__xludf.DUMMYFUNCTION("""COMPUTED_VALUE"""),"xls")</f>
        <v>xls</v>
      </c>
      <c r="B454" s="69" t="str">
        <f>IFERROR(__xludf.DUMMYFUNCTION("""COMPUTED_VALUE"""),"XLS")</f>
        <v>XLS</v>
      </c>
      <c r="C454" s="70">
        <f>IFERROR(__xludf.DUMMYFUNCTION("""COMPUTED_VALUE"""),48500.0)</f>
        <v>48500</v>
      </c>
      <c r="D454" s="70" t="str">
        <f>IFERROR(__xludf.DUMMYFUNCTION("""COMPUTED_VALUE"""),"SUVs")</f>
        <v>SUVs</v>
      </c>
      <c r="E454" s="71" t="str">
        <f>IFERROR(__xludf.DUMMYFUNCTION("""COMPUTED_VALUE"""),"https://docs.fivem.net/vehicles/xls.webp")</f>
        <v>https://docs.fivem.net/vehicles/xls.webp</v>
      </c>
    </row>
    <row r="455" ht="15.75" customHeight="1">
      <c r="A455" s="69" t="str">
        <f>IFERROR(__xludf.DUMMYFUNCTION("""COMPUTED_VALUE"""),"bfinjection")</f>
        <v>bfinjection</v>
      </c>
      <c r="B455" s="69" t="str">
        <f>IFERROR(__xludf.DUMMYFUNCTION("""COMPUTED_VALUE"""),"Bf Injection")</f>
        <v>Bf Injection</v>
      </c>
      <c r="C455" s="70">
        <f>IFERROR(__xludf.DUMMYFUNCTION("""COMPUTED_VALUE"""),18000.0)</f>
        <v>18000</v>
      </c>
      <c r="D455" s="70" t="str">
        <f>IFERROR(__xludf.DUMMYFUNCTION("""COMPUTED_VALUE"""),"Todoterrenos")</f>
        <v>Todoterrenos</v>
      </c>
      <c r="E455" s="71" t="str">
        <f>IFERROR(__xludf.DUMMYFUNCTION("""COMPUTED_VALUE"""),"https://docs.fivem.net/vehicles/bfinjection.webp")</f>
        <v>https://docs.fivem.net/vehicles/bfinjection.webp</v>
      </c>
    </row>
    <row r="456" ht="15.75" customHeight="1">
      <c r="A456" s="69" t="str">
        <f>IFERROR(__xludf.DUMMYFUNCTION("""COMPUTED_VALUE"""),"bifta")</f>
        <v>bifta</v>
      </c>
      <c r="B456" s="69" t="str">
        <f>IFERROR(__xludf.DUMMYFUNCTION("""COMPUTED_VALUE"""),"Bifta")</f>
        <v>Bifta</v>
      </c>
      <c r="C456" s="70">
        <f>IFERROR(__xludf.DUMMYFUNCTION("""COMPUTED_VALUE"""),24000.0)</f>
        <v>24000</v>
      </c>
      <c r="D456" s="70" t="str">
        <f>IFERROR(__xludf.DUMMYFUNCTION("""COMPUTED_VALUE"""),"Todoterrenos")</f>
        <v>Todoterrenos</v>
      </c>
      <c r="E456" s="71" t="str">
        <f>IFERROR(__xludf.DUMMYFUNCTION("""COMPUTED_VALUE"""),"https://docs.fivem.net/vehicles/bifta.webp")</f>
        <v>https://docs.fivem.net/vehicles/bifta.webp</v>
      </c>
    </row>
    <row r="457" ht="15.75" customHeight="1">
      <c r="A457" s="69" t="str">
        <f>IFERROR(__xludf.DUMMYFUNCTION("""COMPUTED_VALUE"""),"blazer")</f>
        <v>blazer</v>
      </c>
      <c r="B457" s="69" t="str">
        <f>IFERROR(__xludf.DUMMYFUNCTION("""COMPUTED_VALUE"""),"Blazer")</f>
        <v>Blazer</v>
      </c>
      <c r="C457" s="70">
        <f>IFERROR(__xludf.DUMMYFUNCTION("""COMPUTED_VALUE"""),18000.0)</f>
        <v>18000</v>
      </c>
      <c r="D457" s="70" t="str">
        <f>IFERROR(__xludf.DUMMYFUNCTION("""COMPUTED_VALUE"""),"Todoterrenos")</f>
        <v>Todoterrenos</v>
      </c>
      <c r="E457" s="71" t="str">
        <f>IFERROR(__xludf.DUMMYFUNCTION("""COMPUTED_VALUE"""),"https://docs.fivem.net/vehicles/blazer.webp")</f>
        <v>https://docs.fivem.net/vehicles/blazer.webp</v>
      </c>
    </row>
    <row r="458" ht="15.75" customHeight="1">
      <c r="A458" s="69" t="str">
        <f>IFERROR(__xludf.DUMMYFUNCTION("""COMPUTED_VALUE"""),"blazer3")</f>
        <v>blazer3</v>
      </c>
      <c r="B458" s="69" t="str">
        <f>IFERROR(__xludf.DUMMYFUNCTION("""COMPUTED_VALUE"""),"Blazer Hot Rod")</f>
        <v>Blazer Hot Rod</v>
      </c>
      <c r="C458" s="70">
        <f>IFERROR(__xludf.DUMMYFUNCTION("""COMPUTED_VALUE"""),8000.0)</f>
        <v>8000</v>
      </c>
      <c r="D458" s="70" t="str">
        <f>IFERROR(__xludf.DUMMYFUNCTION("""COMPUTED_VALUE"""),"Todoterrenos")</f>
        <v>Todoterrenos</v>
      </c>
      <c r="E458" s="71" t="str">
        <f>IFERROR(__xludf.DUMMYFUNCTION("""COMPUTED_VALUE"""),"https://docs.fivem.net/vehicles/blazer3.webp")</f>
        <v>https://docs.fivem.net/vehicles/blazer3.webp</v>
      </c>
    </row>
    <row r="459" ht="15.75" customHeight="1">
      <c r="A459" s="69" t="str">
        <f>IFERROR(__xludf.DUMMYFUNCTION("""COMPUTED_VALUE"""),"blazer4")</f>
        <v>blazer4</v>
      </c>
      <c r="B459" s="69" t="str">
        <f>IFERROR(__xludf.DUMMYFUNCTION("""COMPUTED_VALUE"""),"Blazer Sport")</f>
        <v>Blazer Sport</v>
      </c>
      <c r="C459" s="70">
        <f>IFERROR(__xludf.DUMMYFUNCTION("""COMPUTED_VALUE"""),35000.0)</f>
        <v>35000</v>
      </c>
      <c r="D459" s="70" t="str">
        <f>IFERROR(__xludf.DUMMYFUNCTION("""COMPUTED_VALUE"""),"Todoterrenos")</f>
        <v>Todoterrenos</v>
      </c>
      <c r="E459" s="71" t="str">
        <f>IFERROR(__xludf.DUMMYFUNCTION("""COMPUTED_VALUE"""),"https://docs.fivem.net/vehicles/blazer4.webp")</f>
        <v>https://docs.fivem.net/vehicles/blazer4.webp</v>
      </c>
    </row>
    <row r="460" ht="15.75" customHeight="1">
      <c r="A460" s="69" t="str">
        <f>IFERROR(__xludf.DUMMYFUNCTION("""COMPUTED_VALUE"""),"brawler")</f>
        <v>brawler</v>
      </c>
      <c r="B460" s="69" t="str">
        <f>IFERROR(__xludf.DUMMYFUNCTION("""COMPUTED_VALUE"""),"Brawler")</f>
        <v>Brawler</v>
      </c>
      <c r="C460" s="70">
        <f>IFERROR(__xludf.DUMMYFUNCTION("""COMPUTED_VALUE"""),60000.0)</f>
        <v>60000</v>
      </c>
      <c r="D460" s="70" t="str">
        <f>IFERROR(__xludf.DUMMYFUNCTION("""COMPUTED_VALUE"""),"Todoterrenos")</f>
        <v>Todoterrenos</v>
      </c>
      <c r="E460" s="71" t="str">
        <f>IFERROR(__xludf.DUMMYFUNCTION("""COMPUTED_VALUE"""),"https://docs.fivem.net/vehicles/brawler.webp")</f>
        <v>https://docs.fivem.net/vehicles/brawler.webp</v>
      </c>
    </row>
    <row r="461" ht="15.75" customHeight="1">
      <c r="A461" s="69" t="str">
        <f>IFERROR(__xludf.DUMMYFUNCTION("""COMPUTED_VALUE"""),"caracara")</f>
        <v>caracara</v>
      </c>
      <c r="B461" s="69" t="str">
        <f>IFERROR(__xludf.DUMMYFUNCTION("""COMPUTED_VALUE"""),"Caracara")</f>
        <v>Caracara</v>
      </c>
      <c r="C461" s="70">
        <f>IFERROR(__xludf.DUMMYFUNCTION("""COMPUTED_VALUE"""),105000.0)</f>
        <v>105000</v>
      </c>
      <c r="D461" s="70" t="str">
        <f>IFERROR(__xludf.DUMMYFUNCTION("""COMPUTED_VALUE"""),"Todoterrenos")</f>
        <v>Todoterrenos</v>
      </c>
      <c r="E461" s="71" t="str">
        <f>IFERROR(__xludf.DUMMYFUNCTION("""COMPUTED_VALUE"""),"https://docs.fivem.net/vehicles/caracara.webp")</f>
        <v>https://docs.fivem.net/vehicles/caracara.webp</v>
      </c>
    </row>
    <row r="462" ht="15.75" customHeight="1">
      <c r="A462" s="69" t="str">
        <f>IFERROR(__xludf.DUMMYFUNCTION("""COMPUTED_VALUE"""),"caracara2")</f>
        <v>caracara2</v>
      </c>
      <c r="B462" s="69" t="str">
        <f>IFERROR(__xludf.DUMMYFUNCTION("""COMPUTED_VALUE"""),"Caracara 4x4")</f>
        <v>Caracara 4x4</v>
      </c>
      <c r="C462" s="70">
        <f>IFERROR(__xludf.DUMMYFUNCTION("""COMPUTED_VALUE"""),95000.0)</f>
        <v>95000</v>
      </c>
      <c r="D462" s="70" t="str">
        <f>IFERROR(__xludf.DUMMYFUNCTION("""COMPUTED_VALUE"""),"Todoterrenos")</f>
        <v>Todoterrenos</v>
      </c>
      <c r="E462" s="71" t="str">
        <f>IFERROR(__xludf.DUMMYFUNCTION("""COMPUTED_VALUE"""),"https://docs.fivem.net/vehicles/caracara2.webp")</f>
        <v>https://docs.fivem.net/vehicles/caracara2.webp</v>
      </c>
    </row>
    <row r="463" ht="15.75" customHeight="1">
      <c r="A463" s="69" t="str">
        <f>IFERROR(__xludf.DUMMYFUNCTION("""COMPUTED_VALUE"""),"draugur")</f>
        <v>draugur</v>
      </c>
      <c r="B463" s="69" t="str">
        <f>IFERROR(__xludf.DUMMYFUNCTION("""COMPUTED_VALUE"""),"Draugur")</f>
        <v>Draugur</v>
      </c>
      <c r="C463" s="70">
        <f>IFERROR(__xludf.DUMMYFUNCTION("""COMPUTED_VALUE"""),130000.0)</f>
        <v>130000</v>
      </c>
      <c r="D463" s="70" t="str">
        <f>IFERROR(__xludf.DUMMYFUNCTION("""COMPUTED_VALUE"""),"Todoterrenos")</f>
        <v>Todoterrenos</v>
      </c>
      <c r="E463" s="71" t="str">
        <f>IFERROR(__xludf.DUMMYFUNCTION("""COMPUTED_VALUE"""),"https://docs.fivem.net/vehicles/draugur.webp")</f>
        <v>https://docs.fivem.net/vehicles/draugur.webp</v>
      </c>
    </row>
    <row r="464" ht="15.75" customHeight="1">
      <c r="A464" s="69" t="str">
        <f>IFERROR(__xludf.DUMMYFUNCTION("""COMPUTED_VALUE"""),"dubsta3")</f>
        <v>dubsta3</v>
      </c>
      <c r="B464" s="69" t="str">
        <f>IFERROR(__xludf.DUMMYFUNCTION("""COMPUTED_VALUE"""),"Dubsta 6x6")</f>
        <v>Dubsta 6x6</v>
      </c>
      <c r="C464" s="70">
        <f>IFERROR(__xludf.DUMMYFUNCTION("""COMPUTED_VALUE"""),97000.0)</f>
        <v>97000</v>
      </c>
      <c r="D464" s="70" t="str">
        <f>IFERROR(__xludf.DUMMYFUNCTION("""COMPUTED_VALUE"""),"Todoterrenos")</f>
        <v>Todoterrenos</v>
      </c>
      <c r="E464" s="71" t="str">
        <f>IFERROR(__xludf.DUMMYFUNCTION("""COMPUTED_VALUE"""),"https://docs.fivem.net/vehicles/dubsta3.webp")</f>
        <v>https://docs.fivem.net/vehicles/dubsta3.webp</v>
      </c>
    </row>
    <row r="465" ht="15.75" customHeight="1">
      <c r="A465" s="69" t="str">
        <f>IFERROR(__xludf.DUMMYFUNCTION("""COMPUTED_VALUE"""),"dune")</f>
        <v>dune</v>
      </c>
      <c r="B465" s="69" t="str">
        <f>IFERROR(__xludf.DUMMYFUNCTION("""COMPUTED_VALUE"""),"Dune Buggy")</f>
        <v>Dune Buggy</v>
      </c>
      <c r="C465" s="70">
        <f>IFERROR(__xludf.DUMMYFUNCTION("""COMPUTED_VALUE"""),88500.0)</f>
        <v>88500</v>
      </c>
      <c r="D465" s="70" t="str">
        <f>IFERROR(__xludf.DUMMYFUNCTION("""COMPUTED_VALUE"""),"Todoterrenos")</f>
        <v>Todoterrenos</v>
      </c>
      <c r="E465" s="71" t="str">
        <f>IFERROR(__xludf.DUMMYFUNCTION("""COMPUTED_VALUE"""),"https://docs.fivem.net/vehicles/dune.webp")</f>
        <v>https://docs.fivem.net/vehicles/dune.webp</v>
      </c>
    </row>
    <row r="466" ht="15.75" customHeight="1">
      <c r="A466" s="69" t="str">
        <f>IFERROR(__xludf.DUMMYFUNCTION("""COMPUTED_VALUE"""),"everon")</f>
        <v>everon</v>
      </c>
      <c r="B466" s="69" t="str">
        <f>IFERROR(__xludf.DUMMYFUNCTION("""COMPUTED_VALUE"""),"Everon")</f>
        <v>Everon</v>
      </c>
      <c r="C466" s="70">
        <f>IFERROR(__xludf.DUMMYFUNCTION("""COMPUTED_VALUE"""),80000.0)</f>
        <v>80000</v>
      </c>
      <c r="D466" s="70" t="str">
        <f>IFERROR(__xludf.DUMMYFUNCTION("""COMPUTED_VALUE"""),"Todoterrenos")</f>
        <v>Todoterrenos</v>
      </c>
      <c r="E466" s="71" t="str">
        <f>IFERROR(__xludf.DUMMYFUNCTION("""COMPUTED_VALUE"""),"https://docs.fivem.net/vehicles/everon.webp")</f>
        <v>https://docs.fivem.net/vehicles/everon.webp</v>
      </c>
    </row>
    <row r="467" ht="15.75" customHeight="1">
      <c r="A467" s="69" t="str">
        <f>IFERROR(__xludf.DUMMYFUNCTION("""COMPUTED_VALUE"""),"freecrawler")</f>
        <v>freecrawler</v>
      </c>
      <c r="B467" s="69" t="str">
        <f>IFERROR(__xludf.DUMMYFUNCTION("""COMPUTED_VALUE"""),"Freecrawler")</f>
        <v>Freecrawler</v>
      </c>
      <c r="C467" s="70">
        <f>IFERROR(__xludf.DUMMYFUNCTION("""COMPUTED_VALUE"""),65000.0)</f>
        <v>65000</v>
      </c>
      <c r="D467" s="70" t="str">
        <f>IFERROR(__xludf.DUMMYFUNCTION("""COMPUTED_VALUE"""),"Todoterrenos")</f>
        <v>Todoterrenos</v>
      </c>
      <c r="E467" s="71" t="str">
        <f>IFERROR(__xludf.DUMMYFUNCTION("""COMPUTED_VALUE"""),"https://docs.fivem.net/vehicles/freecrawler.webp")</f>
        <v>https://docs.fivem.net/vehicles/freecrawler.webp</v>
      </c>
    </row>
    <row r="468" ht="15.75" customHeight="1">
      <c r="A468" s="69" t="str">
        <f>IFERROR(__xludf.DUMMYFUNCTION("""COMPUTED_VALUE"""),"guardian")</f>
        <v>guardian</v>
      </c>
      <c r="B468" s="69" t="str">
        <f>IFERROR(__xludf.DUMMYFUNCTION("""COMPUTED_VALUE"""),"Guardian")</f>
        <v>Guardian</v>
      </c>
      <c r="C468" s="70">
        <f>IFERROR(__xludf.DUMMYFUNCTION("""COMPUTED_VALUE"""),150000.0)</f>
        <v>150000</v>
      </c>
      <c r="D468" s="70" t="str">
        <f>IFERROR(__xludf.DUMMYFUNCTION("""COMPUTED_VALUE"""),"Todoterrenos")</f>
        <v>Todoterrenos</v>
      </c>
      <c r="E468" s="71" t="str">
        <f>IFERROR(__xludf.DUMMYFUNCTION("""COMPUTED_VALUE"""),"https://docs.fivem.net/vehicles/guardian.webp")</f>
        <v>https://docs.fivem.net/vehicles/guardian.webp</v>
      </c>
    </row>
    <row r="469" ht="15.75" customHeight="1">
      <c r="A469" s="69" t="str">
        <f>IFERROR(__xludf.DUMMYFUNCTION("""COMPUTED_VALUE"""),"hellion")</f>
        <v>hellion</v>
      </c>
      <c r="B469" s="69" t="str">
        <f>IFERROR(__xludf.DUMMYFUNCTION("""COMPUTED_VALUE"""),"Hellion")</f>
        <v>Hellion</v>
      </c>
      <c r="C469" s="70">
        <f>IFERROR(__xludf.DUMMYFUNCTION("""COMPUTED_VALUE"""),38000.0)</f>
        <v>38000</v>
      </c>
      <c r="D469" s="70" t="str">
        <f>IFERROR(__xludf.DUMMYFUNCTION("""COMPUTED_VALUE"""),"Todoterrenos")</f>
        <v>Todoterrenos</v>
      </c>
      <c r="E469" s="71" t="str">
        <f>IFERROR(__xludf.DUMMYFUNCTION("""COMPUTED_VALUE"""),"https://docs.fivem.net/vehicles/hellion.webp")</f>
        <v>https://docs.fivem.net/vehicles/hellion.webp</v>
      </c>
    </row>
    <row r="470" ht="15.75" customHeight="1">
      <c r="A470" s="69" t="str">
        <f>IFERROR(__xludf.DUMMYFUNCTION("""COMPUTED_VALUE"""),"kalahari")</f>
        <v>kalahari</v>
      </c>
      <c r="B470" s="69" t="str">
        <f>IFERROR(__xludf.DUMMYFUNCTION("""COMPUTED_VALUE"""),"Kalahari")</f>
        <v>Kalahari</v>
      </c>
      <c r="C470" s="70">
        <f>IFERROR(__xludf.DUMMYFUNCTION("""COMPUTED_VALUE"""),7500.0)</f>
        <v>7500</v>
      </c>
      <c r="D470" s="70" t="str">
        <f>IFERROR(__xludf.DUMMYFUNCTION("""COMPUTED_VALUE"""),"Todoterrenos")</f>
        <v>Todoterrenos</v>
      </c>
      <c r="E470" s="71" t="str">
        <f>IFERROR(__xludf.DUMMYFUNCTION("""COMPUTED_VALUE"""),"https://docs.fivem.net/vehicles/kalahari.webp")</f>
        <v>https://docs.fivem.net/vehicles/kalahari.webp</v>
      </c>
    </row>
    <row r="471" ht="15.75" customHeight="1">
      <c r="A471" s="69" t="str">
        <f>IFERROR(__xludf.DUMMYFUNCTION("""COMPUTED_VALUE"""),"kamacho")</f>
        <v>kamacho</v>
      </c>
      <c r="B471" s="69" t="str">
        <f>IFERROR(__xludf.DUMMYFUNCTION("""COMPUTED_VALUE"""),"Kamacho")</f>
        <v>Kamacho</v>
      </c>
      <c r="C471" s="70">
        <f>IFERROR(__xludf.DUMMYFUNCTION("""COMPUTED_VALUE"""),90000.0)</f>
        <v>90000</v>
      </c>
      <c r="D471" s="70" t="str">
        <f>IFERROR(__xludf.DUMMYFUNCTION("""COMPUTED_VALUE"""),"Todoterrenos")</f>
        <v>Todoterrenos</v>
      </c>
      <c r="E471" s="71" t="str">
        <f>IFERROR(__xludf.DUMMYFUNCTION("""COMPUTED_VALUE"""),"https://docs.fivem.net/vehicles/kamacho.webp")</f>
        <v>https://docs.fivem.net/vehicles/kamacho.webp</v>
      </c>
    </row>
    <row r="472" ht="15.75" customHeight="1">
      <c r="A472" s="69" t="str">
        <f>IFERROR(__xludf.DUMMYFUNCTION("""COMPUTED_VALUE"""),"l35")</f>
        <v>l35</v>
      </c>
      <c r="B472" s="69" t="str">
        <f>IFERROR(__xludf.DUMMYFUNCTION("""COMPUTED_VALUE"""),"Walton L35")</f>
        <v>Walton L35</v>
      </c>
      <c r="C472" s="70">
        <f>IFERROR(__xludf.DUMMYFUNCTION("""COMPUTED_VALUE"""),18500.0)</f>
        <v>18500</v>
      </c>
      <c r="D472" s="70" t="str">
        <f>IFERROR(__xludf.DUMMYFUNCTION("""COMPUTED_VALUE"""),"Todoterrenos")</f>
        <v>Todoterrenos</v>
      </c>
      <c r="E472" s="71" t="str">
        <f>IFERROR(__xludf.DUMMYFUNCTION("""COMPUTED_VALUE"""),"https://docs.fivem.net/vehicles/l35.webp")</f>
        <v>https://docs.fivem.net/vehicles/l35.webp</v>
      </c>
    </row>
    <row r="473" ht="15.75" customHeight="1">
      <c r="A473" s="69" t="str">
        <f>IFERROR(__xludf.DUMMYFUNCTION("""COMPUTED_VALUE"""),"mesa")</f>
        <v>mesa</v>
      </c>
      <c r="B473" s="69" t="str">
        <f>IFERROR(__xludf.DUMMYFUNCTION("""COMPUTED_VALUE"""),"Mesa")</f>
        <v>Mesa</v>
      </c>
      <c r="C473" s="70">
        <f>IFERROR(__xludf.DUMMYFUNCTION("""COMPUTED_VALUE"""),30000.0)</f>
        <v>30000</v>
      </c>
      <c r="D473" s="70" t="str">
        <f>IFERROR(__xludf.DUMMYFUNCTION("""COMPUTED_VALUE"""),"Todoterrenos")</f>
        <v>Todoterrenos</v>
      </c>
      <c r="E473" s="71" t="str">
        <f>IFERROR(__xludf.DUMMYFUNCTION("""COMPUTED_VALUE"""),"https://docs.fivem.net/vehicles/mesa.webp")</f>
        <v>https://docs.fivem.net/vehicles/mesa.webp</v>
      </c>
    </row>
    <row r="474" ht="15.75" customHeight="1">
      <c r="A474" s="69" t="str">
        <f>IFERROR(__xludf.DUMMYFUNCTION("""COMPUTED_VALUE"""),"mesa3")</f>
        <v>mesa3</v>
      </c>
      <c r="B474" s="69" t="str">
        <f>IFERROR(__xludf.DUMMYFUNCTION("""COMPUTED_VALUE"""),"Mesa Merryweather")</f>
        <v>Mesa Merryweather</v>
      </c>
      <c r="C474" s="70">
        <f>IFERROR(__xludf.DUMMYFUNCTION("""COMPUTED_VALUE"""),59500.0)</f>
        <v>59500</v>
      </c>
      <c r="D474" s="70" t="str">
        <f>IFERROR(__xludf.DUMMYFUNCTION("""COMPUTED_VALUE"""),"Todoterrenos")</f>
        <v>Todoterrenos</v>
      </c>
      <c r="E474" s="71" t="str">
        <f>IFERROR(__xludf.DUMMYFUNCTION("""COMPUTED_VALUE"""),"https://docs.fivem.net/vehicles/mesa3.webp")</f>
        <v>https://docs.fivem.net/vehicles/mesa3.webp</v>
      </c>
    </row>
    <row r="475" ht="15.75" customHeight="1">
      <c r="A475" s="69" t="str">
        <f>IFERROR(__xludf.DUMMYFUNCTION("""COMPUTED_VALUE"""),"monstrociti")</f>
        <v>monstrociti</v>
      </c>
      <c r="B475" s="69" t="str">
        <f>IFERROR(__xludf.DUMMYFUNCTION("""COMPUTED_VALUE"""),"MonstroCiti")</f>
        <v>MonstroCiti</v>
      </c>
      <c r="C475" s="70">
        <f>IFERROR(__xludf.DUMMYFUNCTION("""COMPUTED_VALUE"""),64000.0)</f>
        <v>64000</v>
      </c>
      <c r="D475" s="70" t="str">
        <f>IFERROR(__xludf.DUMMYFUNCTION("""COMPUTED_VALUE"""),"Todoterrenos")</f>
        <v>Todoterrenos</v>
      </c>
      <c r="E475" s="71" t="str">
        <f>IFERROR(__xludf.DUMMYFUNCTION("""COMPUTED_VALUE"""),"https://docs.fivem.net/vehicles/monstrociti.webp")</f>
        <v>https://docs.fivem.net/vehicles/monstrociti.webp</v>
      </c>
    </row>
    <row r="476" ht="15.75" customHeight="1">
      <c r="A476" s="69" t="str">
        <f>IFERROR(__xludf.DUMMYFUNCTION("""COMPUTED_VALUE"""),"outlaw")</f>
        <v>outlaw</v>
      </c>
      <c r="B476" s="69" t="str">
        <f>IFERROR(__xludf.DUMMYFUNCTION("""COMPUTED_VALUE"""),"Outlaw")</f>
        <v>Outlaw</v>
      </c>
      <c r="C476" s="70">
        <f>IFERROR(__xludf.DUMMYFUNCTION("""COMPUTED_VALUE"""),65000.0)</f>
        <v>65000</v>
      </c>
      <c r="D476" s="70" t="str">
        <f>IFERROR(__xludf.DUMMYFUNCTION("""COMPUTED_VALUE"""),"Todoterrenos")</f>
        <v>Todoterrenos</v>
      </c>
      <c r="E476" s="71" t="str">
        <f>IFERROR(__xludf.DUMMYFUNCTION("""COMPUTED_VALUE"""),"https://docs.fivem.net/vehicles/outlaw.webp")</f>
        <v>https://docs.fivem.net/vehicles/outlaw.webp</v>
      </c>
    </row>
    <row r="477" ht="15.75" customHeight="1">
      <c r="A477" s="69" t="str">
        <f>IFERROR(__xludf.DUMMYFUNCTION("""COMPUTED_VALUE"""),"rancherxl")</f>
        <v>rancherxl</v>
      </c>
      <c r="B477" s="69" t="str">
        <f>IFERROR(__xludf.DUMMYFUNCTION("""COMPUTED_VALUE"""),"Rancher XL")</f>
        <v>Rancher XL</v>
      </c>
      <c r="C477" s="70">
        <f>IFERROR(__xludf.DUMMYFUNCTION("""COMPUTED_VALUE"""),24000.0)</f>
        <v>24000</v>
      </c>
      <c r="D477" s="70" t="str">
        <f>IFERROR(__xludf.DUMMYFUNCTION("""COMPUTED_VALUE"""),"Todoterrenos")</f>
        <v>Todoterrenos</v>
      </c>
      <c r="E477" s="71" t="str">
        <f>IFERROR(__xludf.DUMMYFUNCTION("""COMPUTED_VALUE"""),"https://docs.fivem.net/vehicles/rancherxl.webp")</f>
        <v>https://docs.fivem.net/vehicles/rancherxl.webp</v>
      </c>
    </row>
    <row r="478" ht="15.75" customHeight="1">
      <c r="A478" s="69" t="str">
        <f>IFERROR(__xludf.DUMMYFUNCTION("""COMPUTED_VALUE"""),"ratel")</f>
        <v>ratel</v>
      </c>
      <c r="B478" s="69" t="str">
        <f>IFERROR(__xludf.DUMMYFUNCTION("""COMPUTED_VALUE"""),"Ratel")</f>
        <v>Ratel</v>
      </c>
      <c r="C478" s="70">
        <f>IFERROR(__xludf.DUMMYFUNCTION("""COMPUTED_VALUE"""),84000.0)</f>
        <v>84000</v>
      </c>
      <c r="D478" s="70" t="str">
        <f>IFERROR(__xludf.DUMMYFUNCTION("""COMPUTED_VALUE"""),"Todoterrenos")</f>
        <v>Todoterrenos</v>
      </c>
      <c r="E478" s="71" t="str">
        <f>IFERROR(__xludf.DUMMYFUNCTION("""COMPUTED_VALUE"""),"https://docs.fivem.net/vehicles/ratel.webp")</f>
        <v>https://docs.fivem.net/vehicles/ratel.webp</v>
      </c>
    </row>
    <row r="479" ht="15.75" customHeight="1">
      <c r="A479" s="69" t="str">
        <f>IFERROR(__xludf.DUMMYFUNCTION("""COMPUTED_VALUE"""),"rebel2")</f>
        <v>rebel2</v>
      </c>
      <c r="B479" s="69" t="str">
        <f>IFERROR(__xludf.DUMMYFUNCTION("""COMPUTED_VALUE"""),"Rebel")</f>
        <v>Rebel</v>
      </c>
      <c r="C479" s="70">
        <f>IFERROR(__xludf.DUMMYFUNCTION("""COMPUTED_VALUE"""),17500.0)</f>
        <v>17500</v>
      </c>
      <c r="D479" s="70" t="str">
        <f>IFERROR(__xludf.DUMMYFUNCTION("""COMPUTED_VALUE"""),"Todoterrenos")</f>
        <v>Todoterrenos</v>
      </c>
      <c r="E479" s="71" t="str">
        <f>IFERROR(__xludf.DUMMYFUNCTION("""COMPUTED_VALUE"""),"https://docs.fivem.net/vehicles/rebel2.webp")</f>
        <v>https://docs.fivem.net/vehicles/rebel2.webp</v>
      </c>
    </row>
    <row r="480" ht="15.75" customHeight="1">
      <c r="A480" s="69" t="str">
        <f>IFERROR(__xludf.DUMMYFUNCTION("""COMPUTED_VALUE"""),"riata")</f>
        <v>riata</v>
      </c>
      <c r="B480" s="69" t="str">
        <f>IFERROR(__xludf.DUMMYFUNCTION("""COMPUTED_VALUE"""),"Riata")</f>
        <v>Riata</v>
      </c>
      <c r="C480" s="70">
        <f>IFERROR(__xludf.DUMMYFUNCTION("""COMPUTED_VALUE"""),46000.0)</f>
        <v>46000</v>
      </c>
      <c r="D480" s="70" t="str">
        <f>IFERROR(__xludf.DUMMYFUNCTION("""COMPUTED_VALUE"""),"Todoterrenos")</f>
        <v>Todoterrenos</v>
      </c>
      <c r="E480" s="71" t="str">
        <f>IFERROR(__xludf.DUMMYFUNCTION("""COMPUTED_VALUE"""),"https://docs.fivem.net/vehicles/riata.webp")</f>
        <v>https://docs.fivem.net/vehicles/riata.webp</v>
      </c>
    </row>
    <row r="481" ht="15.75" customHeight="1">
      <c r="A481" s="69" t="str">
        <f>IFERROR(__xludf.DUMMYFUNCTION("""COMPUTED_VALUE"""),"sandking")</f>
        <v>sandking</v>
      </c>
      <c r="B481" s="69" t="str">
        <f>IFERROR(__xludf.DUMMYFUNCTION("""COMPUTED_VALUE"""),"Sandking XL")</f>
        <v>Sandking XL</v>
      </c>
      <c r="C481" s="70">
        <f>IFERROR(__xludf.DUMMYFUNCTION("""COMPUTED_VALUE"""),48000.0)</f>
        <v>48000</v>
      </c>
      <c r="D481" s="70" t="str">
        <f>IFERROR(__xludf.DUMMYFUNCTION("""COMPUTED_VALUE"""),"Todoterrenos")</f>
        <v>Todoterrenos</v>
      </c>
      <c r="E481" s="71" t="str">
        <f>IFERROR(__xludf.DUMMYFUNCTION("""COMPUTED_VALUE"""),"https://docs.fivem.net/vehicles/sandking.webp")</f>
        <v>https://docs.fivem.net/vehicles/sandking.webp</v>
      </c>
    </row>
    <row r="482" ht="15.75" customHeight="1">
      <c r="A482" s="69" t="str">
        <f>IFERROR(__xludf.DUMMYFUNCTION("""COMPUTED_VALUE"""),"sandking2")</f>
        <v>sandking2</v>
      </c>
      <c r="B482" s="69" t="str">
        <f>IFERROR(__xludf.DUMMYFUNCTION("""COMPUTED_VALUE"""),"Sandking SWB")</f>
        <v>Sandking SWB</v>
      </c>
      <c r="C482" s="70">
        <f>IFERROR(__xludf.DUMMYFUNCTION("""COMPUTED_VALUE"""),42000.0)</f>
        <v>42000</v>
      </c>
      <c r="D482" s="70" t="str">
        <f>IFERROR(__xludf.DUMMYFUNCTION("""COMPUTED_VALUE"""),"Todoterrenos")</f>
        <v>Todoterrenos</v>
      </c>
      <c r="E482" s="71" t="str">
        <f>IFERROR(__xludf.DUMMYFUNCTION("""COMPUTED_VALUE"""),"https://docs.fivem.net/vehicles/sandking2.webp")</f>
        <v>https://docs.fivem.net/vehicles/sandking2.webp</v>
      </c>
    </row>
    <row r="483" ht="15.75" customHeight="1">
      <c r="A483" s="69" t="str">
        <f>IFERROR(__xludf.DUMMYFUNCTION("""COMPUTED_VALUE"""),"terminus")</f>
        <v>terminus</v>
      </c>
      <c r="B483" s="69" t="str">
        <f>IFERROR(__xludf.DUMMYFUNCTION("""COMPUTED_VALUE"""),"Terminus")</f>
        <v>Terminus</v>
      </c>
      <c r="C483" s="70">
        <f>IFERROR(__xludf.DUMMYFUNCTION("""COMPUTED_VALUE"""),90000.0)</f>
        <v>90000</v>
      </c>
      <c r="D483" s="70" t="str">
        <f>IFERROR(__xludf.DUMMYFUNCTION("""COMPUTED_VALUE"""),"Todoterrenos")</f>
        <v>Todoterrenos</v>
      </c>
      <c r="E483" s="71" t="str">
        <f>IFERROR(__xludf.DUMMYFUNCTION("""COMPUTED_VALUE"""),"https://docs.fivem.net/vehicles/terminus.webp")</f>
        <v>https://docs.fivem.net/vehicles/terminus.webp</v>
      </c>
    </row>
    <row r="484" ht="15.75" customHeight="1">
      <c r="A484" s="69" t="str">
        <f>IFERROR(__xludf.DUMMYFUNCTION("""COMPUTED_VALUE"""),"trophytruck")</f>
        <v>trophytruck</v>
      </c>
      <c r="B484" s="69" t="str">
        <f>IFERROR(__xludf.DUMMYFUNCTION("""COMPUTED_VALUE"""),"Trophy Truck")</f>
        <v>Trophy Truck</v>
      </c>
      <c r="C484" s="70">
        <f>IFERROR(__xludf.DUMMYFUNCTION("""COMPUTED_VALUE"""),83500.0)</f>
        <v>83500</v>
      </c>
      <c r="D484" s="70" t="str">
        <f>IFERROR(__xludf.DUMMYFUNCTION("""COMPUTED_VALUE"""),"Todoterrenos")</f>
        <v>Todoterrenos</v>
      </c>
      <c r="E484" s="71" t="str">
        <f>IFERROR(__xludf.DUMMYFUNCTION("""COMPUTED_VALUE"""),"https://docs.fivem.net/vehicles/trophytruck.webp")</f>
        <v>https://docs.fivem.net/vehicles/trophytruck.webp</v>
      </c>
    </row>
    <row r="485" ht="15.75" customHeight="1">
      <c r="A485" s="69" t="str">
        <f>IFERROR(__xludf.DUMMYFUNCTION("""COMPUTED_VALUE"""),"trophytruck2")</f>
        <v>trophytruck2</v>
      </c>
      <c r="B485" s="69" t="str">
        <f>IFERROR(__xludf.DUMMYFUNCTION("""COMPUTED_VALUE"""),"Desert Raid")</f>
        <v>Desert Raid</v>
      </c>
      <c r="C485" s="70">
        <f>IFERROR(__xludf.DUMMYFUNCTION("""COMPUTED_VALUE"""),83500.0)</f>
        <v>83500</v>
      </c>
      <c r="D485" s="70" t="str">
        <f>IFERROR(__xludf.DUMMYFUNCTION("""COMPUTED_VALUE"""),"Todoterrenos")</f>
        <v>Todoterrenos</v>
      </c>
      <c r="E485" s="71" t="str">
        <f>IFERROR(__xludf.DUMMYFUNCTION("""COMPUTED_VALUE"""),"https://docs.fivem.net/vehicles/trophytruck2.webp")</f>
        <v>https://docs.fivem.net/vehicles/trophytruck2.webp</v>
      </c>
    </row>
    <row r="486" ht="15.75" customHeight="1">
      <c r="A486" s="69" t="str">
        <f>IFERROR(__xludf.DUMMYFUNCTION("""COMPUTED_VALUE"""),"vagrant")</f>
        <v>vagrant</v>
      </c>
      <c r="B486" s="69" t="str">
        <f>IFERROR(__xludf.DUMMYFUNCTION("""COMPUTED_VALUE"""),"Vagrant")</f>
        <v>Vagrant</v>
      </c>
      <c r="C486" s="70">
        <f>IFERROR(__xludf.DUMMYFUNCTION("""COMPUTED_VALUE"""),175000.0)</f>
        <v>175000</v>
      </c>
      <c r="D486" s="70" t="str">
        <f>IFERROR(__xludf.DUMMYFUNCTION("""COMPUTED_VALUE"""),"Todoterrenos")</f>
        <v>Todoterrenos</v>
      </c>
      <c r="E486" s="71" t="str">
        <f>IFERROR(__xludf.DUMMYFUNCTION("""COMPUTED_VALUE"""),"https://docs.fivem.net/vehicles/vagrant.webp")</f>
        <v>https://docs.fivem.net/vehicles/vagrant.webp</v>
      </c>
    </row>
    <row r="487" ht="15.75" customHeight="1">
      <c r="A487" s="69" t="str">
        <f>IFERROR(__xludf.DUMMYFUNCTION("""COMPUTED_VALUE"""),"verus")</f>
        <v>verus</v>
      </c>
      <c r="B487" s="69" t="str">
        <f>IFERROR(__xludf.DUMMYFUNCTION("""COMPUTED_VALUE"""),"Verus")</f>
        <v>Verus</v>
      </c>
      <c r="C487" s="70">
        <f>IFERROR(__xludf.DUMMYFUNCTION("""COMPUTED_VALUE"""),19000.0)</f>
        <v>19000</v>
      </c>
      <c r="D487" s="70" t="str">
        <f>IFERROR(__xludf.DUMMYFUNCTION("""COMPUTED_VALUE"""),"Todoterrenos")</f>
        <v>Todoterrenos</v>
      </c>
      <c r="E487" s="71" t="str">
        <f>IFERROR(__xludf.DUMMYFUNCTION("""COMPUTED_VALUE"""),"https://docs.fivem.net/vehicles/verus.webp")</f>
        <v>https://docs.fivem.net/vehicles/verus.webp</v>
      </c>
    </row>
    <row r="488" ht="15.75" customHeight="1">
      <c r="A488" s="69" t="str">
        <f>IFERROR(__xludf.DUMMYFUNCTION("""COMPUTED_VALUE"""),"winky")</f>
        <v>winky</v>
      </c>
      <c r="B488" s="69" t="str">
        <f>IFERROR(__xludf.DUMMYFUNCTION("""COMPUTED_VALUE"""),"Winky")</f>
        <v>Winky</v>
      </c>
      <c r="C488" s="70">
        <f>IFERROR(__xludf.DUMMYFUNCTION("""COMPUTED_VALUE"""),5000.0)</f>
        <v>5000</v>
      </c>
      <c r="D488" s="70" t="str">
        <f>IFERROR(__xludf.DUMMYFUNCTION("""COMPUTED_VALUE"""),"Todoterrenos")</f>
        <v>Todoterrenos</v>
      </c>
      <c r="E488" s="71" t="str">
        <f>IFERROR(__xludf.DUMMYFUNCTION("""COMPUTED_VALUE"""),"https://docs.fivem.net/vehicles/winky.webp")</f>
        <v>https://docs.fivem.net/vehicles/winky.webp</v>
      </c>
    </row>
    <row r="489" ht="15.75" customHeight="1">
      <c r="A489" s="69" t="str">
        <f>IFERROR(__xludf.DUMMYFUNCTION("""COMPUTED_VALUE"""),"yosemite3")</f>
        <v>yosemite3</v>
      </c>
      <c r="B489" s="69" t="str">
        <f>IFERROR(__xludf.DUMMYFUNCTION("""COMPUTED_VALUE"""),"Yosemite Rancher")</f>
        <v>Yosemite Rancher</v>
      </c>
      <c r="C489" s="70">
        <f>IFERROR(__xludf.DUMMYFUNCTION("""COMPUTED_VALUE"""),28000.0)</f>
        <v>28000</v>
      </c>
      <c r="D489" s="70" t="str">
        <f>IFERROR(__xludf.DUMMYFUNCTION("""COMPUTED_VALUE"""),"Todoterrenos")</f>
        <v>Todoterrenos</v>
      </c>
      <c r="E489" s="71" t="str">
        <f>IFERROR(__xludf.DUMMYFUNCTION("""COMPUTED_VALUE"""),"https://docs.fivem.net/vehicles/yosemite3.webp")</f>
        <v>https://docs.fivem.net/vehicles/yosemite3.webp</v>
      </c>
    </row>
    <row r="490" ht="15.75" customHeight="1">
      <c r="A490" s="69" t="str">
        <f>IFERROR(__xludf.DUMMYFUNCTION("""COMPUTED_VALUE"""),"620gts")</f>
        <v>620gts</v>
      </c>
      <c r="B490" s="69" t="str">
        <f>IFERROR(__xludf.DUMMYFUNCTION("""COMPUTED_VALUE"""),"620 GTS")</f>
        <v>620 GTS</v>
      </c>
      <c r="C490" s="70" t="str">
        <f>IFERROR(__xludf.DUMMYFUNCTION("""COMPUTED_VALUE"""),"Null")</f>
        <v>Null</v>
      </c>
      <c r="D490" s="70" t="str">
        <f>IFERROR(__xludf.DUMMYFUNCTION("""COMPUTED_VALUE"""),"VIP")</f>
        <v>VIP</v>
      </c>
      <c r="E490" s="71" t="str">
        <f>IFERROR(__xludf.DUMMYFUNCTION("""COMPUTED_VALUE"""),"https://docs.fivem.net/vehicles/620gts.webp")</f>
        <v>https://docs.fivem.net/vehicles/620gts.webp</v>
      </c>
    </row>
    <row r="491" ht="15.75" customHeight="1">
      <c r="A491" s="69" t="str">
        <f>IFERROR(__xludf.DUMMYFUNCTION("""COMPUTED_VALUE"""),"dc_elite")</f>
        <v>dc_elite</v>
      </c>
      <c r="B491" s="69" t="str">
        <f>IFERROR(__xludf.DUMMYFUNCTION("""COMPUTED_VALUE"""),"Elite")</f>
        <v>Elite</v>
      </c>
      <c r="C491" s="70" t="str">
        <f>IFERROR(__xludf.DUMMYFUNCTION("""COMPUTED_VALUE"""),"Null")</f>
        <v>Null</v>
      </c>
      <c r="D491" s="70" t="str">
        <f>IFERROR(__xludf.DUMMYFUNCTION("""COMPUTED_VALUE"""),"VIP")</f>
        <v>VIP</v>
      </c>
      <c r="E491" s="71" t="str">
        <f>IFERROR(__xludf.DUMMYFUNCTION("""COMPUTED_VALUE"""),"https://docs.fivem.net/vehicles/dc_elite.webp")</f>
        <v>https://docs.fivem.net/vehicles/dc_elite.webp</v>
      </c>
    </row>
    <row r="492" ht="15.75" customHeight="1">
      <c r="A492" s="69" t="str">
        <f>IFERROR(__xludf.DUMMYFUNCTION("""COMPUTED_VALUE"""),"dc_evo900comet")</f>
        <v>dc_evo900comet</v>
      </c>
      <c r="B492" s="69" t="str">
        <f>IFERROR(__xludf.DUMMYFUNCTION("""COMPUTED_VALUE"""),"Comet Evo")</f>
        <v>Comet Evo</v>
      </c>
      <c r="C492" s="70" t="str">
        <f>IFERROR(__xludf.DUMMYFUNCTION("""COMPUTED_VALUE"""),"Null")</f>
        <v>Null</v>
      </c>
      <c r="D492" s="70" t="str">
        <f>IFERROR(__xludf.DUMMYFUNCTION("""COMPUTED_VALUE"""),"VIP")</f>
        <v>VIP</v>
      </c>
      <c r="E492" s="71" t="str">
        <f>IFERROR(__xludf.DUMMYFUNCTION("""COMPUTED_VALUE"""),"https://docs.fivem.net/vehicles/dc_evo900comet.webp")</f>
        <v>https://docs.fivem.net/vehicles/dc_evo900comet.webp</v>
      </c>
    </row>
    <row r="493" ht="15.75" customHeight="1">
      <c r="A493" s="69" t="str">
        <f>IFERROR(__xludf.DUMMYFUNCTION("""COMPUTED_VALUE"""),"dc500l")</f>
        <v>dc500l</v>
      </c>
      <c r="B493" s="69" t="str">
        <f>IFERROR(__xludf.DUMMYFUNCTION("""COMPUTED_VALUE"""),"DC500 Limousine")</f>
        <v>DC500 Limousine</v>
      </c>
      <c r="C493" s="70" t="str">
        <f>IFERROR(__xludf.DUMMYFUNCTION("""COMPUTED_VALUE"""),"Null")</f>
        <v>Null</v>
      </c>
      <c r="D493" s="70" t="str">
        <f>IFERROR(__xludf.DUMMYFUNCTION("""COMPUTED_VALUE"""),"VIP")</f>
        <v>VIP</v>
      </c>
      <c r="E493" s="71" t="str">
        <f>IFERROR(__xludf.DUMMYFUNCTION("""COMPUTED_VALUE"""),"https://docs.fivem.net/vehicles/dc500l.webp")</f>
        <v>https://docs.fivem.net/vehicles/dc500l.webp</v>
      </c>
    </row>
    <row r="494" ht="15.75" customHeight="1">
      <c r="A494" s="69" t="str">
        <f>IFERROR(__xludf.DUMMYFUNCTION("""COMPUTED_VALUE"""),"evocometwoc")</f>
        <v>evocometwoc</v>
      </c>
      <c r="B494" s="69" t="str">
        <f>IFERROR(__xludf.DUMMYFUNCTION("""COMPUTED_VALUE"""),"Comet Greenhell")</f>
        <v>Comet Greenhell</v>
      </c>
      <c r="C494" s="70" t="str">
        <f>IFERROR(__xludf.DUMMYFUNCTION("""COMPUTED_VALUE"""),"Null")</f>
        <v>Null</v>
      </c>
      <c r="D494" s="70" t="str">
        <f>IFERROR(__xludf.DUMMYFUNCTION("""COMPUTED_VALUE"""),"VIP")</f>
        <v>VIP</v>
      </c>
      <c r="E494" s="71" t="str">
        <f>IFERROR(__xludf.DUMMYFUNCTION("""COMPUTED_VALUE"""),"https://docs.fivem.net/vehicles/evocometwoc.webp")</f>
        <v>https://docs.fivem.net/vehicles/evocometwoc.webp</v>
      </c>
    </row>
    <row r="495" ht="15.75" customHeight="1">
      <c r="A495" s="69" t="str">
        <f>IFERROR(__xludf.DUMMYFUNCTION("""COMPUTED_VALUE"""),"g4m82")</f>
        <v>g4m82</v>
      </c>
      <c r="B495" s="69" t="str">
        <f>IFERROR(__xludf.DUMMYFUNCTION("""COMPUTED_VALUE"""),"G4 M82")</f>
        <v>G4 M82</v>
      </c>
      <c r="C495" s="70" t="str">
        <f>IFERROR(__xludf.DUMMYFUNCTION("""COMPUTED_VALUE"""),"Null")</f>
        <v>Null</v>
      </c>
      <c r="D495" s="70" t="str">
        <f>IFERROR(__xludf.DUMMYFUNCTION("""COMPUTED_VALUE"""),"VIP")</f>
        <v>VIP</v>
      </c>
      <c r="E495" s="71" t="str">
        <f>IFERROR(__xludf.DUMMYFUNCTION("""COMPUTED_VALUE"""),"https://docs.fivem.net/vehicles/g4m82.webp")</f>
        <v>https://docs.fivem.net/vehicles/g4m82.webp</v>
      </c>
    </row>
    <row r="496" ht="15.75" customHeight="1">
      <c r="A496" s="69" t="str">
        <f>IFERROR(__xludf.DUMMYFUNCTION("""COMPUTED_VALUE"""),"g4m82touring")</f>
        <v>g4m82touring</v>
      </c>
      <c r="B496" s="69" t="str">
        <f>IFERROR(__xludf.DUMMYFUNCTION("""COMPUTED_VALUE"""),"G4 M82 Touring")</f>
        <v>G4 M82 Touring</v>
      </c>
      <c r="C496" s="70" t="str">
        <f>IFERROR(__xludf.DUMMYFUNCTION("""COMPUTED_VALUE"""),"Null")</f>
        <v>Null</v>
      </c>
      <c r="D496" s="70" t="str">
        <f>IFERROR(__xludf.DUMMYFUNCTION("""COMPUTED_VALUE"""),"VIP")</f>
        <v>VIP</v>
      </c>
      <c r="E496" s="71" t="str">
        <f>IFERROR(__xludf.DUMMYFUNCTION("""COMPUTED_VALUE"""),"https://docs.fivem.net/vehicles/g4m82touring.webp")</f>
        <v>https://docs.fivem.net/vehicles/g4m82touring.webp</v>
      </c>
    </row>
    <row r="497" ht="15.75" customHeight="1">
      <c r="A497" s="69" t="str">
        <f>IFERROR(__xludf.DUMMYFUNCTION("""COMPUTED_VALUE"""),"gbbanshees")</f>
        <v>gbbanshees</v>
      </c>
      <c r="B497" s="69" t="str">
        <f>IFERROR(__xludf.DUMMYFUNCTION("""COMPUTED_VALUE"""),"Banshee S")</f>
        <v>Banshee S</v>
      </c>
      <c r="C497" s="70" t="str">
        <f>IFERROR(__xludf.DUMMYFUNCTION("""COMPUTED_VALUE"""),"Null")</f>
        <v>Null</v>
      </c>
      <c r="D497" s="70" t="str">
        <f>IFERROR(__xludf.DUMMYFUNCTION("""COMPUTED_VALUE"""),"VIP")</f>
        <v>VIP</v>
      </c>
      <c r="E497" s="71" t="str">
        <f>IFERROR(__xludf.DUMMYFUNCTION("""COMPUTED_VALUE"""),"https://docs.fivem.net/vehicles/gbbanshees.webp")</f>
        <v>https://docs.fivem.net/vehicles/gbbanshees.webp</v>
      </c>
    </row>
    <row r="498" ht="15.75" customHeight="1">
      <c r="A498" s="69" t="str">
        <f>IFERROR(__xludf.DUMMYFUNCTION("""COMPUTED_VALUE"""),"gbbisonhf")</f>
        <v>gbbisonhf</v>
      </c>
      <c r="B498" s="69" t="str">
        <f>IFERROR(__xludf.DUMMYFUNCTION("""COMPUTED_VALUE"""),"Bison HF")</f>
        <v>Bison HF</v>
      </c>
      <c r="C498" s="70" t="str">
        <f>IFERROR(__xludf.DUMMYFUNCTION("""COMPUTED_VALUE"""),"Null")</f>
        <v>Null</v>
      </c>
      <c r="D498" s="70" t="str">
        <f>IFERROR(__xludf.DUMMYFUNCTION("""COMPUTED_VALUE"""),"VIP")</f>
        <v>VIP</v>
      </c>
      <c r="E498" s="71" t="str">
        <f>IFERROR(__xludf.DUMMYFUNCTION("""COMPUTED_VALUE"""),"https://docs.fivem.net/vehicles/gbbisonhf.webp")</f>
        <v>https://docs.fivem.net/vehicles/gbbisonhf.webp</v>
      </c>
    </row>
    <row r="499" ht="15.75" customHeight="1">
      <c r="A499" s="69" t="str">
        <f>IFERROR(__xludf.DUMMYFUNCTION("""COMPUTED_VALUE"""),"gbclubxr")</f>
        <v>gbclubxr</v>
      </c>
      <c r="B499" s="69" t="str">
        <f>IFERROR(__xludf.DUMMYFUNCTION("""COMPUTED_VALUE"""),"Club XR")</f>
        <v>Club XR</v>
      </c>
      <c r="C499" s="70" t="str">
        <f>IFERROR(__xludf.DUMMYFUNCTION("""COMPUTED_VALUE"""),"Null")</f>
        <v>Null</v>
      </c>
      <c r="D499" s="70" t="str">
        <f>IFERROR(__xludf.DUMMYFUNCTION("""COMPUTED_VALUE"""),"VIP")</f>
        <v>VIP</v>
      </c>
      <c r="E499" s="71" t="str">
        <f>IFERROR(__xludf.DUMMYFUNCTION("""COMPUTED_VALUE"""),"https://docs.fivem.net/vehicles/gbclubxr.webp")</f>
        <v>https://docs.fivem.net/vehicles/gbclubxr.webp</v>
      </c>
    </row>
    <row r="500" ht="15.75" customHeight="1">
      <c r="A500" s="69" t="str">
        <f>IFERROR(__xludf.DUMMYFUNCTION("""COMPUTED_VALUE"""),"gbcometcl")</f>
        <v>gbcometcl</v>
      </c>
      <c r="B500" s="69" t="str">
        <f>IFERROR(__xludf.DUMMYFUNCTION("""COMPUTED_VALUE"""),"Comet CL")</f>
        <v>Comet CL</v>
      </c>
      <c r="C500" s="70" t="str">
        <f>IFERROR(__xludf.DUMMYFUNCTION("""COMPUTED_VALUE"""),"Null")</f>
        <v>Null</v>
      </c>
      <c r="D500" s="70" t="str">
        <f>IFERROR(__xludf.DUMMYFUNCTION("""COMPUTED_VALUE"""),"VIP")</f>
        <v>VIP</v>
      </c>
      <c r="E500" s="71" t="str">
        <f>IFERROR(__xludf.DUMMYFUNCTION("""COMPUTED_VALUE"""),"https://docs.fivem.net/vehicles/gbcometcl.webp")</f>
        <v>https://docs.fivem.net/vehicles/gbcometcl.webp</v>
      </c>
    </row>
    <row r="501" ht="15.75" customHeight="1">
      <c r="A501" s="69" t="str">
        <f>IFERROR(__xludf.DUMMYFUNCTION("""COMPUTED_VALUE"""),"gbcomets1t")</f>
        <v>gbcomets1t</v>
      </c>
      <c r="B501" s="69" t="str">
        <f>IFERROR(__xludf.DUMMYFUNCTION("""COMPUTED_VALUE"""),"Comet S1T")</f>
        <v>Comet S1T</v>
      </c>
      <c r="C501" s="70" t="str">
        <f>IFERROR(__xludf.DUMMYFUNCTION("""COMPUTED_VALUE"""),"Null")</f>
        <v>Null</v>
      </c>
      <c r="D501" s="70" t="str">
        <f>IFERROR(__xludf.DUMMYFUNCTION("""COMPUTED_VALUE"""),"VIP")</f>
        <v>VIP</v>
      </c>
      <c r="E501" s="71" t="str">
        <f>IFERROR(__xludf.DUMMYFUNCTION("""COMPUTED_VALUE"""),"https://docs.fivem.net/vehicles/gbcomets1t.webp")</f>
        <v>https://docs.fivem.net/vehicles/gbcomets1t.webp</v>
      </c>
    </row>
    <row r="502" ht="15.75" customHeight="1">
      <c r="A502" s="69" t="str">
        <f>IFERROR(__xludf.DUMMYFUNCTION("""COMPUTED_VALUE"""),"gbcomets2r")</f>
        <v>gbcomets2r</v>
      </c>
      <c r="B502" s="69" t="str">
        <f>IFERROR(__xludf.DUMMYFUNCTION("""COMPUTED_VALUE"""),"Comet S2R")</f>
        <v>Comet S2R</v>
      </c>
      <c r="C502" s="70" t="str">
        <f>IFERROR(__xludf.DUMMYFUNCTION("""COMPUTED_VALUE"""),"Null")</f>
        <v>Null</v>
      </c>
      <c r="D502" s="70" t="str">
        <f>IFERROR(__xludf.DUMMYFUNCTION("""COMPUTED_VALUE"""),"VIP")</f>
        <v>VIP</v>
      </c>
      <c r="E502" s="71" t="str">
        <f>IFERROR(__xludf.DUMMYFUNCTION("""COMPUTED_VALUE"""),"https://docs.fivem.net/vehicles/gbcomets2r.webp")</f>
        <v>https://docs.fivem.net/vehicles/gbcomets2r.webp</v>
      </c>
    </row>
    <row r="503" ht="15.75" customHeight="1">
      <c r="A503" s="69" t="str">
        <f>IFERROR(__xludf.DUMMYFUNCTION("""COMPUTED_VALUE"""),"gbcomets2rc")</f>
        <v>gbcomets2rc</v>
      </c>
      <c r="B503" s="69" t="str">
        <f>IFERROR(__xludf.DUMMYFUNCTION("""COMPUTED_VALUE"""),"Comet S2RC")</f>
        <v>Comet S2RC</v>
      </c>
      <c r="C503" s="70" t="str">
        <f>IFERROR(__xludf.DUMMYFUNCTION("""COMPUTED_VALUE"""),"Null")</f>
        <v>Null</v>
      </c>
      <c r="D503" s="70" t="str">
        <f>IFERROR(__xludf.DUMMYFUNCTION("""COMPUTED_VALUE"""),"VIP")</f>
        <v>VIP</v>
      </c>
      <c r="E503" s="71" t="str">
        <f>IFERROR(__xludf.DUMMYFUNCTION("""COMPUTED_VALUE"""),"https://docs.fivem.net/vehicles/gbcomets2rc.webp")</f>
        <v>https://docs.fivem.net/vehicles/gbcomets2rc.webp</v>
      </c>
    </row>
    <row r="504" ht="15.75" customHeight="1">
      <c r="A504" s="69" t="str">
        <f>IFERROR(__xludf.DUMMYFUNCTION("""COMPUTED_VALUE"""),"gbdominatorgsx")</f>
        <v>gbdominatorgsx</v>
      </c>
      <c r="B504" s="69" t="str">
        <f>IFERROR(__xludf.DUMMYFUNCTION("""COMPUTED_VALUE"""),"Dominator GSX")</f>
        <v>Dominator GSX</v>
      </c>
      <c r="C504" s="70" t="str">
        <f>IFERROR(__xludf.DUMMYFUNCTION("""COMPUTED_VALUE"""),"Null")</f>
        <v>Null</v>
      </c>
      <c r="D504" s="70" t="str">
        <f>IFERROR(__xludf.DUMMYFUNCTION("""COMPUTED_VALUE"""),"VIP")</f>
        <v>VIP</v>
      </c>
      <c r="E504" s="71" t="str">
        <f>IFERROR(__xludf.DUMMYFUNCTION("""COMPUTED_VALUE"""),"https://docs.fivem.net/vehicles/gbdominatorgsx.webp")</f>
        <v>https://docs.fivem.net/vehicles/gbdominatorgsx.webp</v>
      </c>
    </row>
    <row r="505" ht="15.75" customHeight="1">
      <c r="A505" s="69" t="str">
        <f>IFERROR(__xludf.DUMMYFUNCTION("""COMPUTED_VALUE"""),"gbemerussb1")</f>
        <v>gbemerussb1</v>
      </c>
      <c r="B505" s="69" t="str">
        <f>IFERROR(__xludf.DUMMYFUNCTION("""COMPUTED_VALUE"""),"Emerus SB1")</f>
        <v>Emerus SB1</v>
      </c>
      <c r="C505" s="70" t="str">
        <f>IFERROR(__xludf.DUMMYFUNCTION("""COMPUTED_VALUE"""),"Null")</f>
        <v>Null</v>
      </c>
      <c r="D505" s="70" t="str">
        <f>IFERROR(__xludf.DUMMYFUNCTION("""COMPUTED_VALUE"""),"VIP")</f>
        <v>VIP</v>
      </c>
      <c r="E505" s="71" t="str">
        <f>IFERROR(__xludf.DUMMYFUNCTION("""COMPUTED_VALUE"""),"https://docs.fivem.net/vehicles/gbemerussb1.webp")</f>
        <v>https://docs.fivem.net/vehicles/gbemerussb1.webp</v>
      </c>
    </row>
    <row r="506" ht="15.75" customHeight="1">
      <c r="A506" s="69" t="str">
        <f>IFERROR(__xludf.DUMMYFUNCTION("""COMPUTED_VALUE"""),"gbeon")</f>
        <v>gbeon</v>
      </c>
      <c r="B506" s="69" t="str">
        <f>IFERROR(__xludf.DUMMYFUNCTION("""COMPUTED_VALUE"""),"Eon")</f>
        <v>Eon</v>
      </c>
      <c r="C506" s="70" t="str">
        <f>IFERROR(__xludf.DUMMYFUNCTION("""COMPUTED_VALUE"""),"Null")</f>
        <v>Null</v>
      </c>
      <c r="D506" s="70" t="str">
        <f>IFERROR(__xludf.DUMMYFUNCTION("""COMPUTED_VALUE"""),"VIP")</f>
        <v>VIP</v>
      </c>
      <c r="E506" s="71" t="str">
        <f>IFERROR(__xludf.DUMMYFUNCTION("""COMPUTED_VALUE"""),"https://docs.fivem.net/vehicles/gbeon.webp")</f>
        <v>https://docs.fivem.net/vehicles/gbeon.webp</v>
      </c>
    </row>
    <row r="507" ht="15.75" customHeight="1">
      <c r="A507" s="69" t="str">
        <f>IFERROR(__xludf.DUMMYFUNCTION("""COMPUTED_VALUE"""),"gbesperta")</f>
        <v>gbesperta</v>
      </c>
      <c r="B507" s="69" t="str">
        <f>IFERROR(__xludf.DUMMYFUNCTION("""COMPUTED_VALUE"""),"Esperta")</f>
        <v>Esperta</v>
      </c>
      <c r="C507" s="70" t="str">
        <f>IFERROR(__xludf.DUMMYFUNCTION("""COMPUTED_VALUE"""),"Null")</f>
        <v>Null</v>
      </c>
      <c r="D507" s="70" t="str">
        <f>IFERROR(__xludf.DUMMYFUNCTION("""COMPUTED_VALUE"""),"VIP")</f>
        <v>VIP</v>
      </c>
      <c r="E507" s="71" t="str">
        <f>IFERROR(__xludf.DUMMYFUNCTION("""COMPUTED_VALUE"""),"https://docs.fivem.net/vehicles/gbesperta.webp")</f>
        <v>https://docs.fivem.net/vehicles/gbesperta.webp</v>
      </c>
    </row>
    <row r="508" ht="15.75" customHeight="1">
      <c r="A508" s="69" t="str">
        <f>IFERROR(__xludf.DUMMYFUNCTION("""COMPUTED_VALUE"""),"gbgresleystx")</f>
        <v>gbgresleystx</v>
      </c>
      <c r="B508" s="69" t="str">
        <f>IFERROR(__xludf.DUMMYFUNCTION("""COMPUTED_VALUE"""),"Gresley STX")</f>
        <v>Gresley STX</v>
      </c>
      <c r="C508" s="70" t="str">
        <f>IFERROR(__xludf.DUMMYFUNCTION("""COMPUTED_VALUE"""),"Null")</f>
        <v>Null</v>
      </c>
      <c r="D508" s="70" t="str">
        <f>IFERROR(__xludf.DUMMYFUNCTION("""COMPUTED_VALUE"""),"VIP")</f>
        <v>VIP</v>
      </c>
      <c r="E508" s="71" t="str">
        <f>IFERROR(__xludf.DUMMYFUNCTION("""COMPUTED_VALUE"""),"https://docs.fivem.net/vehicles/gbgresleystx.webp")</f>
        <v>https://docs.fivem.net/vehicles/gbgresleystx.webp</v>
      </c>
    </row>
    <row r="509" ht="15.75" customHeight="1">
      <c r="A509" s="69" t="str">
        <f>IFERROR(__xludf.DUMMYFUNCTION("""COMPUTED_VALUE"""),"gbhades")</f>
        <v>gbhades</v>
      </c>
      <c r="B509" s="69" t="str">
        <f>IFERROR(__xludf.DUMMYFUNCTION("""COMPUTED_VALUE"""),"Hades")</f>
        <v>Hades</v>
      </c>
      <c r="C509" s="70" t="str">
        <f>IFERROR(__xludf.DUMMYFUNCTION("""COMPUTED_VALUE"""),"Null")</f>
        <v>Null</v>
      </c>
      <c r="D509" s="70" t="str">
        <f>IFERROR(__xludf.DUMMYFUNCTION("""COMPUTED_VALUE"""),"VIP")</f>
        <v>VIP</v>
      </c>
      <c r="E509" s="71" t="str">
        <f>IFERROR(__xludf.DUMMYFUNCTION("""COMPUTED_VALUE"""),"https://docs.fivem.net/vehicles/gbhades.webp")</f>
        <v>https://docs.fivem.net/vehicles/gbhades.webp</v>
      </c>
    </row>
    <row r="510" ht="15.75" customHeight="1">
      <c r="A510" s="69" t="str">
        <f>IFERROR(__xludf.DUMMYFUNCTION("""COMPUTED_VALUE"""),"gbharmann")</f>
        <v>gbharmann</v>
      </c>
      <c r="B510" s="69" t="str">
        <f>IFERROR(__xludf.DUMMYFUNCTION("""COMPUTED_VALUE"""),"Harmann")</f>
        <v>Harmann</v>
      </c>
      <c r="C510" s="70" t="str">
        <f>IFERROR(__xludf.DUMMYFUNCTION("""COMPUTED_VALUE"""),"Null")</f>
        <v>Null</v>
      </c>
      <c r="D510" s="70" t="str">
        <f>IFERROR(__xludf.DUMMYFUNCTION("""COMPUTED_VALUE"""),"VIP")</f>
        <v>VIP</v>
      </c>
      <c r="E510" s="71" t="str">
        <f>IFERROR(__xludf.DUMMYFUNCTION("""COMPUTED_VALUE"""),"https://docs.fivem.net/vehicles/gbharmann.webp")</f>
        <v>https://docs.fivem.net/vehicles/gbharmann.webp</v>
      </c>
    </row>
    <row r="511" ht="15.75" customHeight="1">
      <c r="A511" s="69" t="str">
        <f>IFERROR(__xludf.DUMMYFUNCTION("""COMPUTED_VALUE"""),"gbimpaler")</f>
        <v>gbimpaler</v>
      </c>
      <c r="B511" s="69" t="str">
        <f>IFERROR(__xludf.DUMMYFUNCTION("""COMPUTED_VALUE"""),"Impaler")</f>
        <v>Impaler</v>
      </c>
      <c r="C511" s="70" t="str">
        <f>IFERROR(__xludf.DUMMYFUNCTION("""COMPUTED_VALUE"""),"Null")</f>
        <v>Null</v>
      </c>
      <c r="D511" s="70" t="str">
        <f>IFERROR(__xludf.DUMMYFUNCTION("""COMPUTED_VALUE"""),"VIP")</f>
        <v>VIP</v>
      </c>
      <c r="E511" s="71" t="str">
        <f>IFERROR(__xludf.DUMMYFUNCTION("""COMPUTED_VALUE"""),"https://docs.fivem.net/vehicles/gbimpaler.webp")</f>
        <v>https://docs.fivem.net/vehicles/gbimpaler.webp</v>
      </c>
    </row>
    <row r="512" ht="15.75" customHeight="1">
      <c r="A512" s="69" t="str">
        <f>IFERROR(__xludf.DUMMYFUNCTION("""COMPUTED_VALUE"""),"gbirisz")</f>
        <v>gbirisz</v>
      </c>
      <c r="B512" s="69" t="str">
        <f>IFERROR(__xludf.DUMMYFUNCTION("""COMPUTED_VALUE"""),"Iris Z")</f>
        <v>Iris Z</v>
      </c>
      <c r="C512" s="70" t="str">
        <f>IFERROR(__xludf.DUMMYFUNCTION("""COMPUTED_VALUE"""),"Null")</f>
        <v>Null</v>
      </c>
      <c r="D512" s="70" t="str">
        <f>IFERROR(__xludf.DUMMYFUNCTION("""COMPUTED_VALUE"""),"VIP")</f>
        <v>VIP</v>
      </c>
      <c r="E512" s="71" t="str">
        <f>IFERROR(__xludf.DUMMYFUNCTION("""COMPUTED_VALUE"""),"https://docs.fivem.net/vehicles/gbirisz.webp")</f>
        <v>https://docs.fivem.net/vehicles/gbirisz.webp</v>
      </c>
    </row>
    <row r="513" ht="15.75" customHeight="1">
      <c r="A513" s="69" t="str">
        <f>IFERROR(__xludf.DUMMYFUNCTION("""COMPUTED_VALUE"""),"gbissimetro")</f>
        <v>gbissimetro</v>
      </c>
      <c r="B513" s="69" t="str">
        <f>IFERROR(__xludf.DUMMYFUNCTION("""COMPUTED_VALUE"""),"Issi Metro")</f>
        <v>Issi Metro</v>
      </c>
      <c r="C513" s="70" t="str">
        <f>IFERROR(__xludf.DUMMYFUNCTION("""COMPUTED_VALUE"""),"Null")</f>
        <v>Null</v>
      </c>
      <c r="D513" s="70" t="str">
        <f>IFERROR(__xludf.DUMMYFUNCTION("""COMPUTED_VALUE"""),"VIP")</f>
        <v>VIP</v>
      </c>
      <c r="E513" s="71" t="str">
        <f>IFERROR(__xludf.DUMMYFUNCTION("""COMPUTED_VALUE"""),"https://docs.fivem.net/vehicles/gbissimetro.webp")</f>
        <v>https://docs.fivem.net/vehicles/gbissimetro.webp</v>
      </c>
    </row>
    <row r="514" ht="15.75" customHeight="1">
      <c r="A514" s="69" t="str">
        <f>IFERROR(__xludf.DUMMYFUNCTION("""COMPUTED_VALUE"""),"gbkomodagt")</f>
        <v>gbkomodagt</v>
      </c>
      <c r="B514" s="69" t="str">
        <f>IFERROR(__xludf.DUMMYFUNCTION("""COMPUTED_VALUE"""),"Komoda GT")</f>
        <v>Komoda GT</v>
      </c>
      <c r="C514" s="70" t="str">
        <f>IFERROR(__xludf.DUMMYFUNCTION("""COMPUTED_VALUE"""),"Null")</f>
        <v>Null</v>
      </c>
      <c r="D514" s="70" t="str">
        <f>IFERROR(__xludf.DUMMYFUNCTION("""COMPUTED_VALUE"""),"VIP")</f>
        <v>VIP</v>
      </c>
      <c r="E514" s="71" t="str">
        <f>IFERROR(__xludf.DUMMYFUNCTION("""COMPUTED_VALUE"""),"https://docs.fivem.net/vehicles/gbkomodagt.webp")</f>
        <v>https://docs.fivem.net/vehicles/gbkomodagt.webp</v>
      </c>
    </row>
    <row r="515" ht="15.75" customHeight="1">
      <c r="A515" s="69" t="str">
        <f>IFERROR(__xludf.DUMMYFUNCTION("""COMPUTED_VALUE"""),"gblod4")</f>
        <v>gblod4</v>
      </c>
      <c r="B515" s="69" t="str">
        <f>IFERROR(__xludf.DUMMYFUNCTION("""COMPUTED_VALUE"""),"LOD4")</f>
        <v>LOD4</v>
      </c>
      <c r="C515" s="70" t="str">
        <f>IFERROR(__xludf.DUMMYFUNCTION("""COMPUTED_VALUE"""),"Null")</f>
        <v>Null</v>
      </c>
      <c r="D515" s="70" t="str">
        <f>IFERROR(__xludf.DUMMYFUNCTION("""COMPUTED_VALUE"""),"VIP")</f>
        <v>VIP</v>
      </c>
      <c r="E515" s="71" t="str">
        <f>IFERROR(__xludf.DUMMYFUNCTION("""COMPUTED_VALUE"""),"https://docs.fivem.net/vehicles/gblod4.webp")</f>
        <v>https://docs.fivem.net/vehicles/gblod4.webp</v>
      </c>
    </row>
    <row r="516" ht="15.75" customHeight="1">
      <c r="A516" s="69" t="str">
        <f>IFERROR(__xludf.DUMMYFUNCTION("""COMPUTED_VALUE"""),"gbmilano")</f>
        <v>gbmilano</v>
      </c>
      <c r="B516" s="69" t="str">
        <f>IFERROR(__xludf.DUMMYFUNCTION("""COMPUTED_VALUE"""),"Milano")</f>
        <v>Milano</v>
      </c>
      <c r="C516" s="70" t="str">
        <f>IFERROR(__xludf.DUMMYFUNCTION("""COMPUTED_VALUE"""),"Null")</f>
        <v>Null</v>
      </c>
      <c r="D516" s="70" t="str">
        <f>IFERROR(__xludf.DUMMYFUNCTION("""COMPUTED_VALUE"""),"VIP")</f>
        <v>VIP</v>
      </c>
      <c r="E516" s="71" t="str">
        <f>IFERROR(__xludf.DUMMYFUNCTION("""COMPUTED_VALUE"""),"https://docs.fivem.net/vehicles/gbmilano.webp")</f>
        <v>https://docs.fivem.net/vehicles/gbmilano.webp</v>
      </c>
    </row>
    <row r="517" ht="15.75" customHeight="1">
      <c r="A517" s="69" t="str">
        <f>IFERROR(__xludf.DUMMYFUNCTION("""COMPUTED_VALUE"""),"gbmogulrs")</f>
        <v>gbmogulrs</v>
      </c>
      <c r="B517" s="69" t="str">
        <f>IFERROR(__xludf.DUMMYFUNCTION("""COMPUTED_VALUE"""),"Mogul RS")</f>
        <v>Mogul RS</v>
      </c>
      <c r="C517" s="70" t="str">
        <f>IFERROR(__xludf.DUMMYFUNCTION("""COMPUTED_VALUE"""),"Null")</f>
        <v>Null</v>
      </c>
      <c r="D517" s="70" t="str">
        <f>IFERROR(__xludf.DUMMYFUNCTION("""COMPUTED_VALUE"""),"VIP")</f>
        <v>VIP</v>
      </c>
      <c r="E517" s="71" t="str">
        <f>IFERROR(__xludf.DUMMYFUNCTION("""COMPUTED_VALUE"""),"https://docs.fivem.net/vehicles/gbmogulrs.webp")</f>
        <v>https://docs.fivem.net/vehicles/gbmogulrs.webp</v>
      </c>
    </row>
    <row r="518" ht="15.75" customHeight="1">
      <c r="A518" s="69" t="str">
        <f>IFERROR(__xludf.DUMMYFUNCTION("""COMPUTED_VALUE"""),"gbmojave")</f>
        <v>gbmojave</v>
      </c>
      <c r="B518" s="69" t="str">
        <f>IFERROR(__xludf.DUMMYFUNCTION("""COMPUTED_VALUE"""),"Mojave")</f>
        <v>Mojave</v>
      </c>
      <c r="C518" s="70" t="str">
        <f>IFERROR(__xludf.DUMMYFUNCTION("""COMPUTED_VALUE"""),"Null")</f>
        <v>Null</v>
      </c>
      <c r="D518" s="70" t="str">
        <f>IFERROR(__xludf.DUMMYFUNCTION("""COMPUTED_VALUE"""),"VIP")</f>
        <v>VIP</v>
      </c>
      <c r="E518" s="71" t="str">
        <f>IFERROR(__xludf.DUMMYFUNCTION("""COMPUTED_VALUE"""),"https://docs.fivem.net/vehicles/gbmojave.webp")</f>
        <v>https://docs.fivem.net/vehicles/gbmojave.webp</v>
      </c>
    </row>
    <row r="519" ht="15.75" customHeight="1">
      <c r="A519" s="69" t="str">
        <f>IFERROR(__xludf.DUMMYFUNCTION("""COMPUTED_VALUE"""),"gbneonct")</f>
        <v>gbneonct</v>
      </c>
      <c r="B519" s="69" t="str">
        <f>IFERROR(__xludf.DUMMYFUNCTION("""COMPUTED_VALUE"""),"Neon CT")</f>
        <v>Neon CT</v>
      </c>
      <c r="C519" s="70" t="str">
        <f>IFERROR(__xludf.DUMMYFUNCTION("""COMPUTED_VALUE"""),"Null")</f>
        <v>Null</v>
      </c>
      <c r="D519" s="70" t="str">
        <f>IFERROR(__xludf.DUMMYFUNCTION("""COMPUTED_VALUE"""),"VIP")</f>
        <v>VIP</v>
      </c>
      <c r="E519" s="71" t="str">
        <f>IFERROR(__xludf.DUMMYFUNCTION("""COMPUTED_VALUE"""),"https://docs.fivem.net/vehicles/gbneonct.webp")</f>
        <v>https://docs.fivem.net/vehicles/gbneonct.webp</v>
      </c>
    </row>
    <row r="520" ht="15.75" customHeight="1">
      <c r="A520" s="69" t="str">
        <f>IFERROR(__xludf.DUMMYFUNCTION("""COMPUTED_VALUE"""),"gbnexusrr")</f>
        <v>gbnexusrr</v>
      </c>
      <c r="B520" s="69" t="str">
        <f>IFERROR(__xludf.DUMMYFUNCTION("""COMPUTED_VALUE"""),"Nexus RR")</f>
        <v>Nexus RR</v>
      </c>
      <c r="C520" s="70" t="str">
        <f>IFERROR(__xludf.DUMMYFUNCTION("""COMPUTED_VALUE"""),"Null")</f>
        <v>Null</v>
      </c>
      <c r="D520" s="70" t="str">
        <f>IFERROR(__xludf.DUMMYFUNCTION("""COMPUTED_VALUE"""),"VIP")</f>
        <v>VIP</v>
      </c>
      <c r="E520" s="71" t="str">
        <f>IFERROR(__xludf.DUMMYFUNCTION("""COMPUTED_VALUE"""),"https://docs.fivem.net/vehicles/gbnexusrr.webp")</f>
        <v>https://docs.fivem.net/vehicles/gbnexusrr.webp</v>
      </c>
    </row>
    <row r="521" ht="15.75" customHeight="1">
      <c r="A521" s="69" t="str">
        <f>IFERROR(__xludf.DUMMYFUNCTION("""COMPUTED_VALUE"""),"gbprospero")</f>
        <v>gbprospero</v>
      </c>
      <c r="B521" s="69" t="str">
        <f>IFERROR(__xludf.DUMMYFUNCTION("""COMPUTED_VALUE"""),"Prospero")</f>
        <v>Prospero</v>
      </c>
      <c r="C521" s="70" t="str">
        <f>IFERROR(__xludf.DUMMYFUNCTION("""COMPUTED_VALUE"""),"Null")</f>
        <v>Null</v>
      </c>
      <c r="D521" s="70" t="str">
        <f>IFERROR(__xludf.DUMMYFUNCTION("""COMPUTED_VALUE"""),"VIP")</f>
        <v>VIP</v>
      </c>
      <c r="E521" s="71" t="str">
        <f>IFERROR(__xludf.DUMMYFUNCTION("""COMPUTED_VALUE"""),"https://docs.fivem.net/vehicles/gbprospero.webp")</f>
        <v>https://docs.fivem.net/vehicles/gbprospero.webp</v>
      </c>
    </row>
    <row r="522" ht="15.75" customHeight="1">
      <c r="A522" s="69" t="str">
        <f>IFERROR(__xludf.DUMMYFUNCTION("""COMPUTED_VALUE"""),"gbraidillon")</f>
        <v>gbraidillon</v>
      </c>
      <c r="B522" s="69" t="str">
        <f>IFERROR(__xludf.DUMMYFUNCTION("""COMPUTED_VALUE"""),"Raidillon")</f>
        <v>Raidillon</v>
      </c>
      <c r="C522" s="70" t="str">
        <f>IFERROR(__xludf.DUMMYFUNCTION("""COMPUTED_VALUE"""),"Null")</f>
        <v>Null</v>
      </c>
      <c r="D522" s="70" t="str">
        <f>IFERROR(__xludf.DUMMYFUNCTION("""COMPUTED_VALUE"""),"VIP")</f>
        <v>VIP</v>
      </c>
      <c r="E522" s="71" t="str">
        <f>IFERROR(__xludf.DUMMYFUNCTION("""COMPUTED_VALUE"""),"https://docs.fivem.net/vehicles/gbraidillon.webp")</f>
        <v>https://docs.fivem.net/vehicles/gbraidillon.webp</v>
      </c>
    </row>
    <row r="523" ht="15.75" customHeight="1">
      <c r="A523" s="69" t="str">
        <f>IFERROR(__xludf.DUMMYFUNCTION("""COMPUTED_VALUE"""),"gbronin")</f>
        <v>gbronin</v>
      </c>
      <c r="B523" s="69" t="str">
        <f>IFERROR(__xludf.DUMMYFUNCTION("""COMPUTED_VALUE"""),"Ronin")</f>
        <v>Ronin</v>
      </c>
      <c r="C523" s="70" t="str">
        <f>IFERROR(__xludf.DUMMYFUNCTION("""COMPUTED_VALUE"""),"Null")</f>
        <v>Null</v>
      </c>
      <c r="D523" s="70" t="str">
        <f>IFERROR(__xludf.DUMMYFUNCTION("""COMPUTED_VALUE"""),"VIP")</f>
        <v>VIP</v>
      </c>
      <c r="E523" s="71" t="str">
        <f>IFERROR(__xludf.DUMMYFUNCTION("""COMPUTED_VALUE"""),"https://docs.fivem.net/vehicles/gbronin.webp")</f>
        <v>https://docs.fivem.net/vehicles/gbronin.webp</v>
      </c>
    </row>
    <row r="524" ht="15.75" customHeight="1">
      <c r="A524" s="69" t="str">
        <f>IFERROR(__xludf.DUMMYFUNCTION("""COMPUTED_VALUE"""),"gbsapphire")</f>
        <v>gbsapphire</v>
      </c>
      <c r="B524" s="69" t="str">
        <f>IFERROR(__xludf.DUMMYFUNCTION("""COMPUTED_VALUE"""),"Sapphire")</f>
        <v>Sapphire</v>
      </c>
      <c r="C524" s="70" t="str">
        <f>IFERROR(__xludf.DUMMYFUNCTION("""COMPUTED_VALUE"""),"Null")</f>
        <v>Null</v>
      </c>
      <c r="D524" s="70" t="str">
        <f>IFERROR(__xludf.DUMMYFUNCTION("""COMPUTED_VALUE"""),"VIP")</f>
        <v>VIP</v>
      </c>
      <c r="E524" s="71" t="str">
        <f>IFERROR(__xludf.DUMMYFUNCTION("""COMPUTED_VALUE"""),"https://docs.fivem.net/vehicles/gbsapphire.webp")</f>
        <v>https://docs.fivem.net/vehicles/gbsapphire.webp</v>
      </c>
    </row>
    <row r="525" ht="15.75" customHeight="1">
      <c r="A525" s="69" t="str">
        <f>IFERROR(__xludf.DUMMYFUNCTION("""COMPUTED_VALUE"""),"gbschlagenr")</f>
        <v>gbschlagenr</v>
      </c>
      <c r="B525" s="69" t="str">
        <f>IFERROR(__xludf.DUMMYFUNCTION("""COMPUTED_VALUE"""),"Schlagen R")</f>
        <v>Schlagen R</v>
      </c>
      <c r="C525" s="70" t="str">
        <f>IFERROR(__xludf.DUMMYFUNCTION("""COMPUTED_VALUE"""),"Null")</f>
        <v>Null</v>
      </c>
      <c r="D525" s="70" t="str">
        <f>IFERROR(__xludf.DUMMYFUNCTION("""COMPUTED_VALUE"""),"VIP")</f>
        <v>VIP</v>
      </c>
      <c r="E525" s="71" t="str">
        <f>IFERROR(__xludf.DUMMYFUNCTION("""COMPUTED_VALUE"""),"https://docs.fivem.net/vehicles/gbschlagenr.webp")</f>
        <v>https://docs.fivem.net/vehicles/gbschlagenr.webp</v>
      </c>
    </row>
    <row r="526" ht="15.75" customHeight="1">
      <c r="A526" s="69" t="str">
        <f>IFERROR(__xludf.DUMMYFUNCTION("""COMPUTED_VALUE"""),"gbschlagensp")</f>
        <v>gbschlagensp</v>
      </c>
      <c r="B526" s="69" t="str">
        <f>IFERROR(__xludf.DUMMYFUNCTION("""COMPUTED_VALUE"""),"Schlagen SP")</f>
        <v>Schlagen SP</v>
      </c>
      <c r="C526" s="70" t="str">
        <f>IFERROR(__xludf.DUMMYFUNCTION("""COMPUTED_VALUE"""),"Null")</f>
        <v>Null</v>
      </c>
      <c r="D526" s="70" t="str">
        <f>IFERROR(__xludf.DUMMYFUNCTION("""COMPUTED_VALUE"""),"VIP")</f>
        <v>VIP</v>
      </c>
      <c r="E526" s="71" t="str">
        <f>IFERROR(__xludf.DUMMYFUNCTION("""COMPUTED_VALUE"""),"https://docs.fivem.net/vehicles/gbschlagensp.webp")</f>
        <v>https://docs.fivem.net/vehicles/gbschlagensp.webp</v>
      </c>
    </row>
    <row r="527" ht="15.75" customHeight="1">
      <c r="A527" s="69" t="str">
        <f>IFERROR(__xludf.DUMMYFUNCTION("""COMPUTED_VALUE"""),"gbschrauber")</f>
        <v>gbschrauber</v>
      </c>
      <c r="B527" s="69" t="str">
        <f>IFERROR(__xludf.DUMMYFUNCTION("""COMPUTED_VALUE"""),"Schrauber")</f>
        <v>Schrauber</v>
      </c>
      <c r="C527" s="70" t="str">
        <f>IFERROR(__xludf.DUMMYFUNCTION("""COMPUTED_VALUE"""),"Null")</f>
        <v>Null</v>
      </c>
      <c r="D527" s="70" t="str">
        <f>IFERROR(__xludf.DUMMYFUNCTION("""COMPUTED_VALUE"""),"VIP")</f>
        <v>VIP</v>
      </c>
      <c r="E527" s="71" t="str">
        <f>IFERROR(__xludf.DUMMYFUNCTION("""COMPUTED_VALUE"""),"https://docs.fivem.net/vehicles/gbschrauber.webp")</f>
        <v>https://docs.fivem.net/vehicles/gbschrauber.webp</v>
      </c>
    </row>
    <row r="528" ht="15.75" customHeight="1">
      <c r="A528" s="69" t="str">
        <f>IFERROR(__xludf.DUMMYFUNCTION("""COMPUTED_VALUE"""),"gbschwartzers")</f>
        <v>gbschwartzers</v>
      </c>
      <c r="B528" s="69" t="str">
        <f>IFERROR(__xludf.DUMMYFUNCTION("""COMPUTED_VALUE"""),"Schwartzer S")</f>
        <v>Schwartzer S</v>
      </c>
      <c r="C528" s="70" t="str">
        <f>IFERROR(__xludf.DUMMYFUNCTION("""COMPUTED_VALUE"""),"Null")</f>
        <v>Null</v>
      </c>
      <c r="D528" s="70" t="str">
        <f>IFERROR(__xludf.DUMMYFUNCTION("""COMPUTED_VALUE"""),"VIP")</f>
        <v>VIP</v>
      </c>
      <c r="E528" s="71" t="str">
        <f>IFERROR(__xludf.DUMMYFUNCTION("""COMPUTED_VALUE"""),"https://docs.fivem.net/vehicles/gbschwartzers.webp")</f>
        <v>https://docs.fivem.net/vehicles/gbschwartzers.webp</v>
      </c>
    </row>
    <row r="529" ht="15.75" customHeight="1">
      <c r="A529" s="69" t="str">
        <f>IFERROR(__xludf.DUMMYFUNCTION("""COMPUTED_VALUE"""),"gbsentinelgts")</f>
        <v>gbsentinelgts</v>
      </c>
      <c r="B529" s="69" t="str">
        <f>IFERROR(__xludf.DUMMYFUNCTION("""COMPUTED_VALUE"""),"Sentinel GTS")</f>
        <v>Sentinel GTS</v>
      </c>
      <c r="C529" s="70" t="str">
        <f>IFERROR(__xludf.DUMMYFUNCTION("""COMPUTED_VALUE"""),"Null")</f>
        <v>Null</v>
      </c>
      <c r="D529" s="70" t="str">
        <f>IFERROR(__xludf.DUMMYFUNCTION("""COMPUTED_VALUE"""),"VIP")</f>
        <v>VIP</v>
      </c>
      <c r="E529" s="71" t="str">
        <f>IFERROR(__xludf.DUMMYFUNCTION("""COMPUTED_VALUE"""),"https://docs.fivem.net/vehicles/gbsentinelgts.webp")</f>
        <v>https://docs.fivem.net/vehicles/gbsentinelgts.webp</v>
      </c>
    </row>
    <row r="530" ht="15.75" customHeight="1">
      <c r="A530" s="69" t="str">
        <f>IFERROR(__xludf.DUMMYFUNCTION("""COMPUTED_VALUE"""),"gbsidewinder")</f>
        <v>gbsidewinder</v>
      </c>
      <c r="B530" s="69" t="str">
        <f>IFERROR(__xludf.DUMMYFUNCTION("""COMPUTED_VALUE"""),"Sidewinder")</f>
        <v>Sidewinder</v>
      </c>
      <c r="C530" s="70" t="str">
        <f>IFERROR(__xludf.DUMMYFUNCTION("""COMPUTED_VALUE"""),"Null")</f>
        <v>Null</v>
      </c>
      <c r="D530" s="70" t="str">
        <f>IFERROR(__xludf.DUMMYFUNCTION("""COMPUTED_VALUE"""),"VIP")</f>
        <v>VIP</v>
      </c>
      <c r="E530" s="71" t="str">
        <f>IFERROR(__xludf.DUMMYFUNCTION("""COMPUTED_VALUE"""),"https://docs.fivem.net/vehicles/gbsidewinder.webp")</f>
        <v>https://docs.fivem.net/vehicles/gbsidewinder.webp</v>
      </c>
    </row>
    <row r="531" ht="15.75" customHeight="1">
      <c r="A531" s="69" t="str">
        <f>IFERROR(__xludf.DUMMYFUNCTION("""COMPUTED_VALUE"""),"gbsolace")</f>
        <v>gbsolace</v>
      </c>
      <c r="B531" s="69" t="str">
        <f>IFERROR(__xludf.DUMMYFUNCTION("""COMPUTED_VALUE"""),"Solace")</f>
        <v>Solace</v>
      </c>
      <c r="C531" s="70" t="str">
        <f>IFERROR(__xludf.DUMMYFUNCTION("""COMPUTED_VALUE"""),"Null")</f>
        <v>Null</v>
      </c>
      <c r="D531" s="70" t="str">
        <f>IFERROR(__xludf.DUMMYFUNCTION("""COMPUTED_VALUE"""),"VIP")</f>
        <v>VIP</v>
      </c>
      <c r="E531" s="71" t="str">
        <f>IFERROR(__xludf.DUMMYFUNCTION("""COMPUTED_VALUE"""),"https://docs.fivem.net/vehicles/gbsolace.webp")</f>
        <v>https://docs.fivem.net/vehicles/gbsolace.webp</v>
      </c>
    </row>
    <row r="532" ht="15.75" customHeight="1">
      <c r="A532" s="69" t="str">
        <f>IFERROR(__xludf.DUMMYFUNCTION("""COMPUTED_VALUE"""),"gbsolacev")</f>
        <v>gbsolacev</v>
      </c>
      <c r="B532" s="69" t="str">
        <f>IFERROR(__xludf.DUMMYFUNCTION("""COMPUTED_VALUE"""),"Solace V")</f>
        <v>Solace V</v>
      </c>
      <c r="C532" s="70" t="str">
        <f>IFERROR(__xludf.DUMMYFUNCTION("""COMPUTED_VALUE"""),"Null")</f>
        <v>Null</v>
      </c>
      <c r="D532" s="70" t="str">
        <f>IFERROR(__xludf.DUMMYFUNCTION("""COMPUTED_VALUE"""),"VIP")</f>
        <v>VIP</v>
      </c>
      <c r="E532" s="71" t="str">
        <f>IFERROR(__xludf.DUMMYFUNCTION("""COMPUTED_VALUE"""),"https://docs.fivem.net/vehicles/gbsolacev.webp")</f>
        <v>https://docs.fivem.net/vehicles/gbsolacev.webp</v>
      </c>
    </row>
    <row r="533" ht="15.75" customHeight="1">
      <c r="A533" s="69" t="str">
        <f>IFERROR(__xludf.DUMMYFUNCTION("""COMPUTED_VALUE"""),"gbstarlight")</f>
        <v>gbstarlight</v>
      </c>
      <c r="B533" s="69" t="str">
        <f>IFERROR(__xludf.DUMMYFUNCTION("""COMPUTED_VALUE"""),"Starlight")</f>
        <v>Starlight</v>
      </c>
      <c r="C533" s="70" t="str">
        <f>IFERROR(__xludf.DUMMYFUNCTION("""COMPUTED_VALUE"""),"Null")</f>
        <v>Null</v>
      </c>
      <c r="D533" s="70" t="str">
        <f>IFERROR(__xludf.DUMMYFUNCTION("""COMPUTED_VALUE"""),"VIP")</f>
        <v>VIP</v>
      </c>
      <c r="E533" s="71" t="str">
        <f>IFERROR(__xludf.DUMMYFUNCTION("""COMPUTED_VALUE"""),"https://docs.fivem.net/vehicles/gbstarlight.webp")</f>
        <v>https://docs.fivem.net/vehicles/gbstarlight.webp</v>
      </c>
    </row>
    <row r="534" ht="15.75" customHeight="1">
      <c r="A534" s="69" t="str">
        <f>IFERROR(__xludf.DUMMYFUNCTION("""COMPUTED_VALUE"""),"gbsultanrsx")</f>
        <v>gbsultanrsx</v>
      </c>
      <c r="B534" s="69" t="str">
        <f>IFERROR(__xludf.DUMMYFUNCTION("""COMPUTED_VALUE"""),"Sultan RSX")</f>
        <v>Sultan RSX</v>
      </c>
      <c r="C534" s="70" t="str">
        <f>IFERROR(__xludf.DUMMYFUNCTION("""COMPUTED_VALUE"""),"Null")</f>
        <v>Null</v>
      </c>
      <c r="D534" s="70" t="str">
        <f>IFERROR(__xludf.DUMMYFUNCTION("""COMPUTED_VALUE"""),"VIP")</f>
        <v>VIP</v>
      </c>
      <c r="E534" s="71" t="str">
        <f>IFERROR(__xludf.DUMMYFUNCTION("""COMPUTED_VALUE"""),"https://docs.fivem.net/vehicles/gbsultanrsx.webp")</f>
        <v>https://docs.fivem.net/vehicles/gbsultanrsx.webp</v>
      </c>
    </row>
    <row r="535" ht="15.75" customHeight="1">
      <c r="A535" s="69" t="str">
        <f>IFERROR(__xludf.DUMMYFUNCTION("""COMPUTED_VALUE"""),"gbtahomagt")</f>
        <v>gbtahomagt</v>
      </c>
      <c r="B535" s="69" t="str">
        <f>IFERROR(__xludf.DUMMYFUNCTION("""COMPUTED_VALUE"""),"Tahoma GT")</f>
        <v>Tahoma GT</v>
      </c>
      <c r="C535" s="70" t="str">
        <f>IFERROR(__xludf.DUMMYFUNCTION("""COMPUTED_VALUE"""),"Null")</f>
        <v>Null</v>
      </c>
      <c r="D535" s="70" t="str">
        <f>IFERROR(__xludf.DUMMYFUNCTION("""COMPUTED_VALUE"""),"VIP")</f>
        <v>VIP</v>
      </c>
      <c r="E535" s="72" t="str">
        <f>IFERROR(__xludf.DUMMYFUNCTION("""COMPUTED_VALUE"""),"https://docs.fivem.net/vehicles/gbtahomagt.webp")</f>
        <v>https://docs.fivem.net/vehicles/gbtahomagt.webp</v>
      </c>
    </row>
    <row r="536" ht="15.75" customHeight="1">
      <c r="A536" s="69" t="str">
        <f>IFERROR(__xludf.DUMMYFUNCTION("""COMPUTED_VALUE"""),"gbtenfr")</f>
        <v>gbtenfr</v>
      </c>
      <c r="B536" s="69" t="str">
        <f>IFERROR(__xludf.DUMMYFUNCTION("""COMPUTED_VALUE"""),"Ten FR")</f>
        <v>Ten FR</v>
      </c>
      <c r="C536" s="70" t="str">
        <f>IFERROR(__xludf.DUMMYFUNCTION("""COMPUTED_VALUE"""),"Null")</f>
        <v>Null</v>
      </c>
      <c r="D536" s="70" t="str">
        <f>IFERROR(__xludf.DUMMYFUNCTION("""COMPUTED_VALUE"""),"VIP")</f>
        <v>VIP</v>
      </c>
      <c r="E536" s="72" t="str">
        <f>IFERROR(__xludf.DUMMYFUNCTION("""COMPUTED_VALUE"""),"https://docs.fivem.net/vehicles/gbtenfr.webp")</f>
        <v>https://docs.fivem.net/vehicles/gbtenfr.webp</v>
      </c>
    </row>
    <row r="537" ht="15.75" customHeight="1">
      <c r="A537" s="69" t="str">
        <f>IFERROR(__xludf.DUMMYFUNCTION("""COMPUTED_VALUE"""),"gbterrorizer")</f>
        <v>gbterrorizer</v>
      </c>
      <c r="B537" s="69" t="str">
        <f>IFERROR(__xludf.DUMMYFUNCTION("""COMPUTED_VALUE"""),"Terrorizer")</f>
        <v>Terrorizer</v>
      </c>
      <c r="C537" s="70" t="str">
        <f>IFERROR(__xludf.DUMMYFUNCTION("""COMPUTED_VALUE"""),"Null")</f>
        <v>Null</v>
      </c>
      <c r="D537" s="70" t="str">
        <f>IFERROR(__xludf.DUMMYFUNCTION("""COMPUTED_VALUE"""),"VIP")</f>
        <v>VIP</v>
      </c>
      <c r="E537" s="72" t="str">
        <f>IFERROR(__xludf.DUMMYFUNCTION("""COMPUTED_VALUE"""),"https://docs.fivem.net/vehicles/gbterrorizer.webp")</f>
        <v>https://docs.fivem.net/vehicles/gbterrorizer.webp</v>
      </c>
    </row>
    <row r="538" ht="15.75" customHeight="1">
      <c r="A538" s="69" t="str">
        <f>IFERROR(__xludf.DUMMYFUNCTION("""COMPUTED_VALUE"""),"gbtr3s")</f>
        <v>gbtr3s</v>
      </c>
      <c r="B538" s="69" t="str">
        <f>IFERROR(__xludf.DUMMYFUNCTION("""COMPUTED_VALUE"""),"TR3S")</f>
        <v>TR3S</v>
      </c>
      <c r="C538" s="70" t="str">
        <f>IFERROR(__xludf.DUMMYFUNCTION("""COMPUTED_VALUE"""),"Null")</f>
        <v>Null</v>
      </c>
      <c r="D538" s="70" t="str">
        <f>IFERROR(__xludf.DUMMYFUNCTION("""COMPUTED_VALUE"""),"VIP")</f>
        <v>VIP</v>
      </c>
      <c r="E538" s="72" t="str">
        <f>IFERROR(__xludf.DUMMYFUNCTION("""COMPUTED_VALUE"""),"https://docs.fivem.net/vehicles/gbtr3s.webp")</f>
        <v>https://docs.fivem.net/vehicles/gbtr3s.webp</v>
      </c>
    </row>
    <row r="539" ht="15.75" customHeight="1">
      <c r="A539" s="69" t="str">
        <f>IFERROR(__xludf.DUMMYFUNCTION("""COMPUTED_VALUE"""),"gbturismogts")</f>
        <v>gbturismogts</v>
      </c>
      <c r="B539" s="69" t="str">
        <f>IFERROR(__xludf.DUMMYFUNCTION("""COMPUTED_VALUE"""),"Turismo GTS")</f>
        <v>Turismo GTS</v>
      </c>
      <c r="C539" s="70" t="str">
        <f>IFERROR(__xludf.DUMMYFUNCTION("""COMPUTED_VALUE"""),"Null")</f>
        <v>Null</v>
      </c>
      <c r="D539" s="70" t="str">
        <f>IFERROR(__xludf.DUMMYFUNCTION("""COMPUTED_VALUE"""),"VIP")</f>
        <v>VIP</v>
      </c>
      <c r="E539" s="72" t="str">
        <f>IFERROR(__xludf.DUMMYFUNCTION("""COMPUTED_VALUE"""),"https://docs.fivem.net/vehicles/gbturismogts.webp")</f>
        <v>https://docs.fivem.net/vehicles/gbturismogts.webp</v>
      </c>
    </row>
    <row r="540" ht="15.75" customHeight="1">
      <c r="A540" s="69" t="str">
        <f>IFERROR(__xludf.DUMMYFUNCTION("""COMPUTED_VALUE"""),"gbvivant")</f>
        <v>gbvivant</v>
      </c>
      <c r="B540" s="69" t="str">
        <f>IFERROR(__xludf.DUMMYFUNCTION("""COMPUTED_VALUE"""),"Vivant")</f>
        <v>Vivant</v>
      </c>
      <c r="C540" s="70" t="str">
        <f>IFERROR(__xludf.DUMMYFUNCTION("""COMPUTED_VALUE"""),"Null")</f>
        <v>Null</v>
      </c>
      <c r="D540" s="70" t="str">
        <f>IFERROR(__xludf.DUMMYFUNCTION("""COMPUTED_VALUE"""),"VIP")</f>
        <v>VIP</v>
      </c>
      <c r="E540" s="72" t="str">
        <f>IFERROR(__xludf.DUMMYFUNCTION("""COMPUTED_VALUE"""),"https://docs.fivem.net/vehicles/gbvivant.webp")</f>
        <v>https://docs.fivem.net/vehicles/gbvivant.webp</v>
      </c>
    </row>
    <row r="541" ht="15.75" customHeight="1">
      <c r="A541" s="69" t="str">
        <f>IFERROR(__xludf.DUMMYFUNCTION("""COMPUTED_VALUE"""),"gbvivantgrb")</f>
        <v>gbvivantgrb</v>
      </c>
      <c r="B541" s="69" t="str">
        <f>IFERROR(__xludf.DUMMYFUNCTION("""COMPUTED_VALUE"""),"Vivant GRB")</f>
        <v>Vivant GRB</v>
      </c>
      <c r="C541" s="70" t="str">
        <f>IFERROR(__xludf.DUMMYFUNCTION("""COMPUTED_VALUE"""),"Null")</f>
        <v>Null</v>
      </c>
      <c r="D541" s="70" t="str">
        <f>IFERROR(__xludf.DUMMYFUNCTION("""COMPUTED_VALUE"""),"VIP")</f>
        <v>VIP</v>
      </c>
      <c r="E541" s="72" t="str">
        <f>IFERROR(__xludf.DUMMYFUNCTION("""COMPUTED_VALUE"""),"https://docs.fivem.net/vehicles/gbvivantgrb.webp")</f>
        <v>https://docs.fivem.net/vehicles/gbvivantgrb.webp</v>
      </c>
    </row>
    <row r="542" ht="15.75" customHeight="1">
      <c r="A542" s="69" t="str">
        <f>IFERROR(__xludf.DUMMYFUNCTION("""COMPUTED_VALUE"""),"ixr")</f>
        <v>ixr</v>
      </c>
      <c r="B542" s="69" t="str">
        <f>IFERROR(__xludf.DUMMYFUNCTION("""COMPUTED_VALUE"""),"IXR")</f>
        <v>IXR</v>
      </c>
      <c r="C542" s="70" t="str">
        <f>IFERROR(__xludf.DUMMYFUNCTION("""COMPUTED_VALUE"""),"Null")</f>
        <v>Null</v>
      </c>
      <c r="D542" s="70" t="str">
        <f>IFERROR(__xludf.DUMMYFUNCTION("""COMPUTED_VALUE"""),"VIP")</f>
        <v>VIP</v>
      </c>
      <c r="E542" s="72" t="str">
        <f>IFERROR(__xludf.DUMMYFUNCTION("""COMPUTED_VALUE"""),"https://docs.fivem.net/vehicles/ixr.webp")</f>
        <v>https://docs.fivem.net/vehicles/ixr.webp</v>
      </c>
    </row>
    <row r="543" ht="15.75" customHeight="1">
      <c r="A543" s="69" t="str">
        <f>IFERROR(__xludf.DUMMYFUNCTION("""COMPUTED_VALUE"""),"obeysport")</f>
        <v>obeysport</v>
      </c>
      <c r="B543" s="69" t="str">
        <f>IFERROR(__xludf.DUMMYFUNCTION("""COMPUTED_VALUE"""),"Obey Sport GT")</f>
        <v>Obey Sport GT</v>
      </c>
      <c r="C543" s="70" t="str">
        <f>IFERROR(__xludf.DUMMYFUNCTION("""COMPUTED_VALUE"""),"Null")</f>
        <v>Null</v>
      </c>
      <c r="D543" s="70" t="str">
        <f>IFERROR(__xludf.DUMMYFUNCTION("""COMPUTED_VALUE"""),"VIP")</f>
        <v>VIP</v>
      </c>
      <c r="E543" s="72" t="str">
        <f>IFERROR(__xludf.DUMMYFUNCTION("""COMPUTED_VALUE"""),"https://docs.fivem.net/vehicles/obeysport.webp")</f>
        <v>https://docs.fivem.net/vehicles/obeysport.webp</v>
      </c>
    </row>
    <row r="544" ht="15.75" customHeight="1">
      <c r="A544" s="69" t="str">
        <f>IFERROR(__xludf.DUMMYFUNCTION("""COMPUTED_VALUE"""),"offzenith")</f>
        <v>offzenith</v>
      </c>
      <c r="B544" s="69" t="str">
        <f>IFERROR(__xludf.DUMMYFUNCTION("""COMPUTED_VALUE"""),"Zenith Offroad")</f>
        <v>Zenith Offroad</v>
      </c>
      <c r="C544" s="70" t="str">
        <f>IFERROR(__xludf.DUMMYFUNCTION("""COMPUTED_VALUE"""),"Null")</f>
        <v>Null</v>
      </c>
      <c r="D544" s="70" t="str">
        <f>IFERROR(__xludf.DUMMYFUNCTION("""COMPUTED_VALUE"""),"VIP")</f>
        <v>VIP</v>
      </c>
      <c r="E544" s="72" t="str">
        <f>IFERROR(__xludf.DUMMYFUNCTION("""COMPUTED_VALUE"""),"https://docs.fivem.net/vehicles/offzenith.webp")</f>
        <v>https://docs.fivem.net/vehicles/offzenith.webp</v>
      </c>
    </row>
    <row r="545" ht="15.75" customHeight="1">
      <c r="A545" s="69" t="str">
        <f>IFERROR(__xludf.DUMMYFUNCTION("""COMPUTED_VALUE"""),"revenant")</f>
        <v>revenant</v>
      </c>
      <c r="B545" s="69" t="str">
        <f>IFERROR(__xludf.DUMMYFUNCTION("""COMPUTED_VALUE"""),"revenant")</f>
        <v>revenant</v>
      </c>
      <c r="C545" s="70" t="str">
        <f>IFERROR(__xludf.DUMMYFUNCTION("""COMPUTED_VALUE"""),"Null")</f>
        <v>Null</v>
      </c>
      <c r="D545" s="70" t="str">
        <f>IFERROR(__xludf.DUMMYFUNCTION("""COMPUTED_VALUE"""),"VIP")</f>
        <v>VIP</v>
      </c>
      <c r="E545" s="72" t="str">
        <f>IFERROR(__xludf.DUMMYFUNCTION("""COMPUTED_VALUE"""),"https://docs.fivem.net/vehicles/revenant.webp")</f>
        <v>https://docs.fivem.net/vehicles/revenant.webp</v>
      </c>
    </row>
    <row r="546" ht="15.75" customHeight="1">
      <c r="A546" s="69" t="str">
        <f>IFERROR(__xludf.DUMMYFUNCTION("""COMPUTED_VALUE"""),"s790 ")</f>
        <v>s790 </v>
      </c>
      <c r="B546" s="69" t="str">
        <f>IFERROR(__xludf.DUMMYFUNCTION("""COMPUTED_VALUE"""),"s790  ")</f>
        <v>s790  </v>
      </c>
      <c r="C546" s="70" t="str">
        <f>IFERROR(__xludf.DUMMYFUNCTION("""COMPUTED_VALUE"""),"Null")</f>
        <v>Null</v>
      </c>
      <c r="D546" s="70" t="str">
        <f>IFERROR(__xludf.DUMMYFUNCTION("""COMPUTED_VALUE"""),"VIP")</f>
        <v>VIP</v>
      </c>
      <c r="E546" s="70" t="str">
        <f>IFERROR(__xludf.DUMMYFUNCTION("""COMPUTED_VALUE"""),"https://docs.fivem.net/vehicles/s790 .webp")</f>
        <v>https://docs.fivem.net/vehicles/s790 .webp</v>
      </c>
    </row>
    <row r="547" ht="15.75" customHeight="1">
      <c r="A547" s="69" t="str">
        <f>IFERROR(__xludf.DUMMYFUNCTION("""COMPUTED_VALUE"""),"s790anim")</f>
        <v>s790anim</v>
      </c>
      <c r="B547" s="69" t="str">
        <f>IFERROR(__xludf.DUMMYFUNCTION("""COMPUTED_VALUE"""),"S790 Animated")</f>
        <v>S790 Animated</v>
      </c>
      <c r="C547" s="70" t="str">
        <f>IFERROR(__xludf.DUMMYFUNCTION("""COMPUTED_VALUE"""),"Null")</f>
        <v>Null</v>
      </c>
      <c r="D547" s="70" t="str">
        <f>IFERROR(__xludf.DUMMYFUNCTION("""COMPUTED_VALUE"""),"VIP")</f>
        <v>VIP</v>
      </c>
      <c r="E547" s="72" t="str">
        <f>IFERROR(__xludf.DUMMYFUNCTION("""COMPUTED_VALUE"""),"https://docs.fivem.net/vehicles/s790anim.webp")</f>
        <v>https://docs.fivem.net/vehicles/s790anim.webp</v>
      </c>
    </row>
    <row r="548" ht="15.75" customHeight="1">
      <c r="A548" s="69" t="str">
        <f>IFERROR(__xludf.DUMMYFUNCTION("""COMPUTED_VALUE"""),"terminator")</f>
        <v>terminator</v>
      </c>
      <c r="B548" s="69" t="str">
        <f>IFERROR(__xludf.DUMMYFUNCTION("""COMPUTED_VALUE"""),"Terminator")</f>
        <v>Terminator</v>
      </c>
      <c r="C548" s="70" t="str">
        <f>IFERROR(__xludf.DUMMYFUNCTION("""COMPUTED_VALUE"""),"Null")</f>
        <v>Null</v>
      </c>
      <c r="D548" s="70" t="str">
        <f>IFERROR(__xludf.DUMMYFUNCTION("""COMPUTED_VALUE"""),"VIP")</f>
        <v>VIP</v>
      </c>
      <c r="E548" s="72" t="str">
        <f>IFERROR(__xludf.DUMMYFUNCTION("""COMPUTED_VALUE"""),"https://docs.fivem.net/vehicles/terminator.webp")</f>
        <v>https://docs.fivem.net/vehicles/terminator.webp</v>
      </c>
    </row>
    <row r="549" ht="15.75" customHeight="1">
      <c r="A549" s="69" t="str">
        <f>IFERROR(__xludf.DUMMYFUNCTION("""COMPUTED_VALUE"""),"toroslxstance")</f>
        <v>toroslxstance</v>
      </c>
      <c r="B549" s="69" t="str">
        <f>IFERROR(__xludf.DUMMYFUNCTION("""COMPUTED_VALUE"""),"Toros LX Stance")</f>
        <v>Toros LX Stance</v>
      </c>
      <c r="C549" s="70" t="str">
        <f>IFERROR(__xludf.DUMMYFUNCTION("""COMPUTED_VALUE"""),"Null")</f>
        <v>Null</v>
      </c>
      <c r="D549" s="70" t="str">
        <f>IFERROR(__xludf.DUMMYFUNCTION("""COMPUTED_VALUE"""),"VIP")</f>
        <v>VIP</v>
      </c>
      <c r="E549" s="72" t="str">
        <f>IFERROR(__xludf.DUMMYFUNCTION("""COMPUTED_VALUE"""),"https://docs.fivem.net/vehicles/toroslxstance.webp")</f>
        <v>https://docs.fivem.net/vehicles/toroslxstance.webp</v>
      </c>
    </row>
    <row r="550" ht="15.75" customHeight="1">
      <c r="A550" s="69" t="str">
        <f>IFERROR(__xludf.DUMMYFUNCTION("""COMPUTED_VALUE"""),"zenith")</f>
        <v>zenith</v>
      </c>
      <c r="B550" s="69" t="str">
        <f>IFERROR(__xludf.DUMMYFUNCTION("""COMPUTED_VALUE"""),"Benefactor Zenith")</f>
        <v>Benefactor Zenith</v>
      </c>
      <c r="C550" s="70" t="str">
        <f>IFERROR(__xludf.DUMMYFUNCTION("""COMPUTED_VALUE"""),"Null")</f>
        <v>Null</v>
      </c>
      <c r="D550" s="70" t="str">
        <f>IFERROR(__xludf.DUMMYFUNCTION("""COMPUTED_VALUE"""),"VIP")</f>
        <v>VIP</v>
      </c>
      <c r="E550" s="72" t="str">
        <f>IFERROR(__xludf.DUMMYFUNCTION("""COMPUTED_VALUE"""),"https://docs.fivem.net/vehicles/zenith.webp")</f>
        <v>https://docs.fivem.net/vehicles/zenith.webp</v>
      </c>
    </row>
    <row r="551" ht="15.75" customHeight="1">
      <c r="A551" s="69" t="str">
        <f>IFERROR(__xludf.DUMMYFUNCTION("""COMPUTED_VALUE"""),"zr6gt")</f>
        <v>zr6gt</v>
      </c>
      <c r="B551" s="69" t="str">
        <f>IFERROR(__xludf.DUMMYFUNCTION("""COMPUTED_VALUE"""),"ZR6 GT")</f>
        <v>ZR6 GT</v>
      </c>
      <c r="C551" s="70" t="str">
        <f>IFERROR(__xludf.DUMMYFUNCTION("""COMPUTED_VALUE"""),"Null")</f>
        <v>Null</v>
      </c>
      <c r="D551" s="70" t="str">
        <f>IFERROR(__xludf.DUMMYFUNCTION("""COMPUTED_VALUE"""),"VIP")</f>
        <v>VIP</v>
      </c>
      <c r="E551" s="72" t="str">
        <f>IFERROR(__xludf.DUMMYFUNCTION("""COMPUTED_VALUE"""),"https://docs.fivem.net/vehicles/zr6gt.webp")</f>
        <v>https://docs.fivem.net/vehicles/zr6gt.webp</v>
      </c>
    </row>
    <row r="552" ht="15.75" customHeight="1">
      <c r="A552" s="69"/>
      <c r="B552" s="69"/>
      <c r="C552" s="70"/>
      <c r="D552" s="70"/>
      <c r="E552" s="70"/>
    </row>
    <row r="553" ht="15.75" customHeight="1">
      <c r="A553" s="69"/>
      <c r="B553" s="69"/>
      <c r="C553" s="70"/>
      <c r="D553" s="70"/>
      <c r="E553" s="70"/>
    </row>
    <row r="554" ht="15.75" customHeight="1">
      <c r="A554" s="69"/>
      <c r="B554" s="69"/>
      <c r="C554" s="70"/>
      <c r="D554" s="70"/>
      <c r="E554" s="70"/>
    </row>
    <row r="555" ht="15.75" customHeight="1">
      <c r="A555" s="69"/>
      <c r="B555" s="69"/>
      <c r="C555" s="70"/>
      <c r="D555" s="70"/>
      <c r="E555" s="70"/>
    </row>
    <row r="556" ht="15.75" customHeight="1">
      <c r="A556" s="69"/>
      <c r="B556" s="69"/>
      <c r="C556" s="70"/>
      <c r="D556" s="70"/>
      <c r="E556" s="70"/>
    </row>
    <row r="557" ht="15.75" customHeight="1">
      <c r="A557" s="69"/>
      <c r="B557" s="69"/>
      <c r="C557" s="70"/>
      <c r="D557" s="70"/>
      <c r="E557" s="70"/>
    </row>
    <row r="558" ht="15.75" customHeight="1">
      <c r="A558" s="69"/>
      <c r="B558" s="69"/>
      <c r="C558" s="70"/>
      <c r="D558" s="70"/>
      <c r="E558" s="70"/>
    </row>
    <row r="559" ht="15.75" customHeight="1">
      <c r="A559" s="69"/>
      <c r="B559" s="69"/>
      <c r="C559" s="70"/>
      <c r="D559" s="70"/>
      <c r="E559" s="70"/>
    </row>
    <row r="560" ht="15.75" customHeight="1">
      <c r="A560" s="69"/>
      <c r="B560" s="69"/>
      <c r="C560" s="70"/>
      <c r="D560" s="70"/>
      <c r="E560" s="70"/>
    </row>
    <row r="561" ht="15.75" customHeight="1">
      <c r="A561" s="69"/>
      <c r="B561" s="69"/>
      <c r="C561" s="70"/>
      <c r="D561" s="70"/>
      <c r="E561" s="70"/>
    </row>
    <row r="562" ht="15.75" customHeight="1">
      <c r="A562" s="69"/>
      <c r="B562" s="69"/>
      <c r="C562" s="70"/>
      <c r="D562" s="70"/>
      <c r="E562" s="70"/>
    </row>
    <row r="563" ht="15.75" customHeight="1">
      <c r="A563" s="69"/>
      <c r="B563" s="69"/>
      <c r="C563" s="70"/>
      <c r="D563" s="70"/>
      <c r="E563" s="70"/>
    </row>
    <row r="564" ht="15.75" customHeight="1">
      <c r="A564" s="69"/>
      <c r="B564" s="69"/>
      <c r="C564" s="70"/>
      <c r="D564" s="70"/>
      <c r="E564" s="70"/>
    </row>
    <row r="565" ht="15.75" customHeight="1">
      <c r="A565" s="69"/>
      <c r="B565" s="69"/>
      <c r="C565" s="70"/>
      <c r="D565" s="70"/>
      <c r="E565" s="70"/>
    </row>
    <row r="566" ht="15.75" customHeight="1">
      <c r="A566" s="69"/>
      <c r="B566" s="69"/>
      <c r="C566" s="70"/>
      <c r="D566" s="70"/>
      <c r="E566" s="70"/>
    </row>
    <row r="567" ht="15.75" customHeight="1">
      <c r="A567" s="69"/>
      <c r="B567" s="69"/>
      <c r="C567" s="70"/>
      <c r="D567" s="70"/>
      <c r="E567" s="70"/>
    </row>
    <row r="568" ht="15.75" customHeight="1">
      <c r="A568" s="69"/>
      <c r="B568" s="69"/>
      <c r="C568" s="70"/>
      <c r="D568" s="70"/>
      <c r="E568" s="70"/>
    </row>
    <row r="569" ht="15.75" customHeight="1">
      <c r="A569" s="69"/>
      <c r="B569" s="69"/>
      <c r="C569" s="70"/>
      <c r="D569" s="70"/>
      <c r="E569" s="70"/>
    </row>
    <row r="570" ht="15.75" customHeight="1">
      <c r="A570" s="69"/>
      <c r="B570" s="69"/>
      <c r="C570" s="70"/>
      <c r="D570" s="70"/>
      <c r="E570" s="70"/>
    </row>
    <row r="571" ht="15.75" customHeight="1">
      <c r="A571" s="69"/>
      <c r="B571" s="69"/>
      <c r="C571" s="70"/>
      <c r="D571" s="70"/>
      <c r="E571" s="70"/>
    </row>
    <row r="572" ht="15.75" customHeight="1">
      <c r="A572" s="69"/>
      <c r="B572" s="69"/>
      <c r="C572" s="70"/>
      <c r="D572" s="70"/>
      <c r="E572" s="70"/>
    </row>
    <row r="573" ht="15.75" customHeight="1">
      <c r="A573" s="69"/>
      <c r="B573" s="69"/>
      <c r="C573" s="70"/>
      <c r="D573" s="70"/>
      <c r="E573" s="70"/>
    </row>
    <row r="574" ht="15.75" customHeight="1">
      <c r="A574" s="69"/>
      <c r="B574" s="69"/>
      <c r="C574" s="70"/>
      <c r="D574" s="70"/>
      <c r="E574" s="70"/>
    </row>
    <row r="575" ht="15.75" customHeight="1">
      <c r="A575" s="69"/>
      <c r="B575" s="69"/>
      <c r="C575" s="70"/>
      <c r="D575" s="70"/>
      <c r="E575" s="70"/>
    </row>
    <row r="576" ht="15.75" customHeight="1">
      <c r="A576" s="69"/>
      <c r="B576" s="69"/>
      <c r="C576" s="70"/>
      <c r="D576" s="70"/>
      <c r="E576" s="70"/>
    </row>
    <row r="577" ht="15.75" customHeight="1">
      <c r="A577" s="69"/>
      <c r="B577" s="69"/>
      <c r="C577" s="70"/>
      <c r="D577" s="70"/>
      <c r="E577" s="70"/>
    </row>
    <row r="578" ht="15.75" customHeight="1">
      <c r="A578" s="69"/>
      <c r="B578" s="69"/>
      <c r="C578" s="70"/>
      <c r="D578" s="70"/>
      <c r="E578" s="70"/>
    </row>
    <row r="579" ht="15.75" customHeight="1">
      <c r="A579" s="69"/>
      <c r="B579" s="69"/>
      <c r="C579" s="70"/>
      <c r="D579" s="70"/>
      <c r="E579" s="70"/>
    </row>
    <row r="580" ht="15.75" customHeight="1">
      <c r="A580" s="69"/>
      <c r="B580" s="69"/>
      <c r="C580" s="70"/>
      <c r="D580" s="70"/>
      <c r="E580" s="70"/>
    </row>
    <row r="581" ht="15.75" customHeight="1">
      <c r="A581" s="69"/>
      <c r="B581" s="69"/>
      <c r="C581" s="70"/>
      <c r="D581" s="70"/>
      <c r="E581" s="70"/>
    </row>
    <row r="582" ht="15.75" customHeight="1">
      <c r="A582" s="69"/>
      <c r="B582" s="69"/>
      <c r="C582" s="70"/>
      <c r="D582" s="70"/>
      <c r="E582" s="70"/>
    </row>
    <row r="583" ht="15.75" customHeight="1">
      <c r="A583" s="69"/>
      <c r="B583" s="69"/>
      <c r="C583" s="70"/>
      <c r="D583" s="70"/>
      <c r="E583" s="70"/>
    </row>
    <row r="584" ht="15.75" customHeight="1">
      <c r="A584" s="69"/>
      <c r="B584" s="69"/>
      <c r="C584" s="70"/>
      <c r="D584" s="70"/>
      <c r="E584" s="70"/>
    </row>
    <row r="585" ht="15.75" customHeight="1">
      <c r="A585" s="69"/>
      <c r="B585" s="69"/>
      <c r="C585" s="70"/>
      <c r="D585" s="70"/>
      <c r="E585" s="70"/>
    </row>
    <row r="586" ht="15.75" customHeight="1">
      <c r="A586" s="69"/>
      <c r="B586" s="69"/>
      <c r="C586" s="70"/>
      <c r="D586" s="70"/>
      <c r="E586" s="70"/>
    </row>
    <row r="587" ht="15.75" customHeight="1">
      <c r="A587" s="69"/>
      <c r="B587" s="69"/>
      <c r="C587" s="70"/>
      <c r="D587" s="70"/>
      <c r="E587" s="70"/>
    </row>
    <row r="588" ht="15.75" customHeight="1">
      <c r="A588" s="69"/>
      <c r="B588" s="69"/>
      <c r="C588" s="70"/>
      <c r="D588" s="70"/>
      <c r="E588" s="70"/>
    </row>
    <row r="589" ht="15.75" customHeight="1">
      <c r="A589" s="69"/>
      <c r="B589" s="69"/>
      <c r="C589" s="70"/>
      <c r="D589" s="70"/>
      <c r="E589" s="70"/>
    </row>
    <row r="590" ht="15.75" customHeight="1">
      <c r="A590" s="69"/>
      <c r="B590" s="69"/>
      <c r="C590" s="70"/>
      <c r="D590" s="70"/>
      <c r="E590" s="70"/>
    </row>
    <row r="591" ht="15.75" customHeight="1">
      <c r="A591" s="69"/>
      <c r="B591" s="69"/>
      <c r="C591" s="70"/>
      <c r="D591" s="70"/>
      <c r="E591" s="70"/>
    </row>
    <row r="592" ht="15.75" customHeight="1">
      <c r="A592" s="69"/>
      <c r="B592" s="69"/>
      <c r="C592" s="70"/>
      <c r="D592" s="70"/>
      <c r="E592" s="70"/>
    </row>
    <row r="593" ht="15.75" customHeight="1">
      <c r="A593" s="69"/>
      <c r="B593" s="69"/>
      <c r="C593" s="70"/>
      <c r="D593" s="70"/>
      <c r="E593" s="70"/>
    </row>
    <row r="594" ht="15.75" customHeight="1">
      <c r="A594" s="69"/>
      <c r="B594" s="69"/>
      <c r="C594" s="70"/>
      <c r="D594" s="70"/>
      <c r="E594" s="70"/>
    </row>
    <row r="595" ht="15.75" customHeight="1">
      <c r="A595" s="69"/>
      <c r="B595" s="69"/>
      <c r="C595" s="70"/>
      <c r="D595" s="70"/>
      <c r="E595" s="70"/>
    </row>
    <row r="596" ht="15.75" customHeight="1">
      <c r="A596" s="69"/>
      <c r="B596" s="69"/>
      <c r="C596" s="70"/>
      <c r="D596" s="70"/>
      <c r="E596" s="70"/>
    </row>
    <row r="597" ht="15.75" customHeight="1">
      <c r="A597" s="69"/>
      <c r="B597" s="69"/>
      <c r="C597" s="70"/>
      <c r="D597" s="70"/>
      <c r="E597" s="70"/>
    </row>
    <row r="598" ht="15.75" customHeight="1">
      <c r="A598" s="69"/>
      <c r="B598" s="69"/>
      <c r="C598" s="70"/>
      <c r="D598" s="70"/>
      <c r="E598" s="70"/>
    </row>
    <row r="599" ht="15.75" customHeight="1">
      <c r="A599" s="69"/>
      <c r="B599" s="69"/>
      <c r="C599" s="70"/>
      <c r="D599" s="70"/>
      <c r="E599" s="70"/>
    </row>
    <row r="600" ht="15.75" customHeight="1">
      <c r="A600" s="69"/>
      <c r="B600" s="69"/>
      <c r="C600" s="70"/>
      <c r="D600" s="70"/>
      <c r="E600" s="70"/>
    </row>
    <row r="601" ht="15.75" customHeight="1">
      <c r="A601" s="69"/>
      <c r="B601" s="69"/>
      <c r="C601" s="70"/>
      <c r="D601" s="70"/>
      <c r="E601" s="70"/>
    </row>
    <row r="602" ht="15.75" customHeight="1">
      <c r="A602" s="69"/>
      <c r="B602" s="69"/>
      <c r="C602" s="70"/>
      <c r="D602" s="70"/>
      <c r="E602" s="70"/>
    </row>
    <row r="603" ht="15.75" customHeight="1">
      <c r="A603" s="69"/>
      <c r="B603" s="69"/>
      <c r="C603" s="70"/>
      <c r="D603" s="70"/>
      <c r="E603" s="70"/>
    </row>
    <row r="604" ht="15.75" customHeight="1">
      <c r="A604" s="69"/>
      <c r="B604" s="69"/>
      <c r="C604" s="70"/>
      <c r="D604" s="70"/>
      <c r="E604" s="70"/>
    </row>
    <row r="605" ht="15.75" customHeight="1">
      <c r="A605" s="69"/>
      <c r="B605" s="69"/>
      <c r="C605" s="70"/>
      <c r="D605" s="70"/>
      <c r="E605" s="70"/>
    </row>
    <row r="606" ht="15.75" customHeight="1">
      <c r="A606" s="69"/>
      <c r="B606" s="69"/>
      <c r="C606" s="70"/>
      <c r="D606" s="70"/>
      <c r="E606" s="70"/>
    </row>
    <row r="607" ht="15.75" customHeight="1">
      <c r="A607" s="69"/>
      <c r="B607" s="69"/>
      <c r="C607" s="70"/>
      <c r="D607" s="70"/>
      <c r="E607" s="70"/>
    </row>
    <row r="608" ht="15.75" customHeight="1">
      <c r="A608" s="69"/>
      <c r="B608" s="69"/>
      <c r="C608" s="70"/>
      <c r="D608" s="70"/>
      <c r="E608" s="70"/>
    </row>
    <row r="609" ht="15.75" customHeight="1">
      <c r="A609" s="69"/>
      <c r="B609" s="69"/>
      <c r="C609" s="70"/>
      <c r="D609" s="70"/>
      <c r="E609" s="70"/>
    </row>
    <row r="610" ht="15.75" customHeight="1">
      <c r="A610" s="69"/>
      <c r="B610" s="69"/>
      <c r="C610" s="70"/>
      <c r="D610" s="70"/>
      <c r="E610" s="70"/>
    </row>
    <row r="611" ht="15.75" customHeight="1">
      <c r="A611" s="69"/>
      <c r="B611" s="69"/>
      <c r="C611" s="70"/>
      <c r="D611" s="70"/>
      <c r="E611" s="70"/>
    </row>
    <row r="612" ht="15.75" customHeight="1">
      <c r="A612" s="69"/>
      <c r="B612" s="69"/>
      <c r="C612" s="70"/>
      <c r="D612" s="70"/>
      <c r="E612" s="70"/>
    </row>
    <row r="613" ht="15.75" customHeight="1">
      <c r="A613" s="69"/>
      <c r="B613" s="69"/>
      <c r="C613" s="70"/>
      <c r="D613" s="70"/>
      <c r="E613" s="70"/>
    </row>
    <row r="614" ht="15.75" customHeight="1">
      <c r="A614" s="69"/>
      <c r="B614" s="69"/>
      <c r="C614" s="70"/>
      <c r="D614" s="70"/>
      <c r="E614" s="70"/>
    </row>
    <row r="615" ht="15.75" customHeight="1">
      <c r="A615" s="69"/>
      <c r="B615" s="69"/>
      <c r="C615" s="70"/>
      <c r="D615" s="70"/>
      <c r="E615" s="70"/>
    </row>
    <row r="616" ht="15.75" customHeight="1">
      <c r="A616" s="69"/>
      <c r="B616" s="69"/>
      <c r="C616" s="70"/>
      <c r="D616" s="70"/>
      <c r="E616" s="70"/>
    </row>
    <row r="617" ht="15.75" customHeight="1">
      <c r="A617" s="69"/>
      <c r="B617" s="69"/>
      <c r="C617" s="70"/>
      <c r="D617" s="70"/>
      <c r="E617" s="70"/>
    </row>
    <row r="618" ht="15.75" customHeight="1">
      <c r="A618" s="69"/>
      <c r="B618" s="69"/>
      <c r="C618" s="70"/>
      <c r="D618" s="70"/>
      <c r="E618" s="70"/>
    </row>
    <row r="619" ht="15.75" customHeight="1">
      <c r="A619" s="69"/>
      <c r="B619" s="69"/>
      <c r="C619" s="70"/>
      <c r="D619" s="70"/>
      <c r="E619" s="70"/>
    </row>
    <row r="620" ht="15.75" customHeight="1">
      <c r="A620" s="69"/>
      <c r="B620" s="69"/>
      <c r="C620" s="70"/>
      <c r="D620" s="70"/>
      <c r="E620" s="70"/>
    </row>
    <row r="621" ht="15.75" customHeight="1">
      <c r="A621" s="69"/>
      <c r="B621" s="69"/>
      <c r="C621" s="70"/>
      <c r="D621" s="70"/>
      <c r="E621" s="70"/>
    </row>
    <row r="622" ht="15.75" customHeight="1">
      <c r="A622" s="69"/>
      <c r="B622" s="69"/>
      <c r="C622" s="70"/>
      <c r="D622" s="70"/>
      <c r="E622" s="70"/>
    </row>
    <row r="623" ht="15.75" customHeight="1">
      <c r="A623" s="69"/>
      <c r="B623" s="69"/>
      <c r="C623" s="70"/>
      <c r="D623" s="70"/>
      <c r="E623" s="70"/>
    </row>
    <row r="624" ht="15.75" customHeight="1">
      <c r="A624" s="69"/>
      <c r="B624" s="69"/>
      <c r="C624" s="70"/>
      <c r="D624" s="70"/>
      <c r="E624" s="70"/>
    </row>
    <row r="625" ht="15.75" customHeight="1">
      <c r="A625" s="69"/>
      <c r="B625" s="69"/>
      <c r="C625" s="70"/>
      <c r="D625" s="70"/>
      <c r="E625" s="70"/>
    </row>
    <row r="626" ht="15.75" customHeight="1">
      <c r="A626" s="69"/>
      <c r="B626" s="69"/>
      <c r="C626" s="70"/>
      <c r="D626" s="70"/>
      <c r="E626" s="70"/>
    </row>
    <row r="627" ht="15.75" customHeight="1">
      <c r="A627" s="69"/>
      <c r="B627" s="69"/>
      <c r="C627" s="70"/>
      <c r="D627" s="70"/>
      <c r="E627" s="70"/>
    </row>
    <row r="628" ht="15.75" customHeight="1">
      <c r="A628" s="69"/>
      <c r="B628" s="69"/>
      <c r="C628" s="70"/>
      <c r="D628" s="70"/>
      <c r="E628" s="70"/>
    </row>
    <row r="629" ht="15.75" customHeight="1">
      <c r="A629" s="69"/>
      <c r="B629" s="69"/>
      <c r="C629" s="70"/>
      <c r="D629" s="70"/>
      <c r="E629" s="70"/>
    </row>
    <row r="630" ht="15.75" customHeight="1">
      <c r="A630" s="69"/>
      <c r="B630" s="69"/>
      <c r="C630" s="70"/>
      <c r="D630" s="70"/>
      <c r="E630" s="70"/>
    </row>
    <row r="631" ht="15.75" customHeight="1">
      <c r="A631" s="69"/>
      <c r="B631" s="69"/>
      <c r="C631" s="70"/>
      <c r="D631" s="70"/>
      <c r="E631" s="70"/>
    </row>
    <row r="632" ht="15.75" customHeight="1">
      <c r="A632" s="69"/>
      <c r="B632" s="69"/>
      <c r="C632" s="70"/>
      <c r="D632" s="70"/>
      <c r="E632" s="70"/>
    </row>
    <row r="633" ht="15.75" customHeight="1">
      <c r="A633" s="69"/>
      <c r="B633" s="69"/>
      <c r="C633" s="70"/>
      <c r="D633" s="70"/>
      <c r="E633" s="70"/>
    </row>
    <row r="634" ht="15.75" customHeight="1">
      <c r="A634" s="69"/>
      <c r="B634" s="69"/>
      <c r="C634" s="70"/>
      <c r="D634" s="70"/>
      <c r="E634" s="70"/>
    </row>
    <row r="635" ht="15.75" customHeight="1">
      <c r="A635" s="69"/>
      <c r="B635" s="69"/>
      <c r="C635" s="70"/>
      <c r="D635" s="70"/>
      <c r="E635" s="70"/>
    </row>
    <row r="636" ht="15.75" customHeight="1">
      <c r="A636" s="69"/>
      <c r="B636" s="69"/>
      <c r="C636" s="70"/>
      <c r="D636" s="70"/>
      <c r="E636" s="70"/>
    </row>
    <row r="637" ht="15.75" customHeight="1">
      <c r="A637" s="69"/>
      <c r="B637" s="69"/>
      <c r="C637" s="70"/>
      <c r="D637" s="70"/>
      <c r="E637" s="70"/>
    </row>
    <row r="638" ht="15.75" customHeight="1">
      <c r="A638" s="69"/>
      <c r="B638" s="69"/>
      <c r="C638" s="70"/>
      <c r="D638" s="70"/>
      <c r="E638" s="70"/>
    </row>
    <row r="639" ht="15.75" customHeight="1">
      <c r="A639" s="69"/>
      <c r="B639" s="69"/>
      <c r="C639" s="70"/>
      <c r="D639" s="70"/>
      <c r="E639" s="70"/>
    </row>
    <row r="640" ht="15.75" customHeight="1">
      <c r="A640" s="69"/>
      <c r="B640" s="69"/>
      <c r="C640" s="70"/>
      <c r="D640" s="70"/>
      <c r="E640" s="70"/>
    </row>
    <row r="641" ht="15.75" customHeight="1">
      <c r="A641" s="69"/>
      <c r="B641" s="69"/>
      <c r="C641" s="70"/>
      <c r="D641" s="70"/>
      <c r="E641" s="70"/>
    </row>
    <row r="642" ht="15.75" customHeight="1">
      <c r="A642" s="69"/>
      <c r="B642" s="69"/>
      <c r="C642" s="70"/>
      <c r="D642" s="70"/>
      <c r="E642" s="70"/>
    </row>
    <row r="643" ht="15.75" customHeight="1">
      <c r="A643" s="69"/>
      <c r="B643" s="69"/>
      <c r="C643" s="70"/>
      <c r="D643" s="70"/>
      <c r="E643" s="70"/>
    </row>
    <row r="644" ht="15.75" customHeight="1">
      <c r="A644" s="69"/>
      <c r="B644" s="69"/>
      <c r="C644" s="70"/>
      <c r="D644" s="70"/>
      <c r="E644" s="70"/>
    </row>
    <row r="645" ht="15.75" customHeight="1">
      <c r="A645" s="69"/>
      <c r="B645" s="69"/>
      <c r="C645" s="70"/>
      <c r="D645" s="70"/>
      <c r="E645" s="70"/>
    </row>
    <row r="646" ht="15.75" customHeight="1">
      <c r="A646" s="69"/>
      <c r="B646" s="69"/>
      <c r="C646" s="70"/>
      <c r="D646" s="70"/>
      <c r="E646" s="70"/>
    </row>
    <row r="647" ht="15.75" customHeight="1">
      <c r="A647" s="69"/>
      <c r="B647" s="69"/>
      <c r="C647" s="70"/>
      <c r="D647" s="70"/>
      <c r="E647" s="70"/>
    </row>
    <row r="648" ht="15.75" customHeight="1">
      <c r="A648" s="69"/>
      <c r="B648" s="69"/>
      <c r="C648" s="70"/>
      <c r="D648" s="70"/>
      <c r="E648" s="70"/>
    </row>
    <row r="649" ht="15.75" customHeight="1">
      <c r="A649" s="69"/>
      <c r="B649" s="69"/>
      <c r="C649" s="70"/>
      <c r="D649" s="70"/>
      <c r="E649" s="70"/>
    </row>
    <row r="650" ht="15.75" customHeight="1">
      <c r="A650" s="69"/>
      <c r="B650" s="69"/>
      <c r="C650" s="70"/>
      <c r="D650" s="70"/>
      <c r="E650" s="70"/>
    </row>
    <row r="651" ht="15.75" customHeight="1">
      <c r="A651" s="69"/>
      <c r="B651" s="69"/>
      <c r="C651" s="70"/>
      <c r="D651" s="70"/>
      <c r="E651" s="70"/>
    </row>
    <row r="652" ht="15.75" customHeight="1">
      <c r="A652" s="69"/>
      <c r="B652" s="69"/>
      <c r="C652" s="70"/>
      <c r="D652" s="70"/>
      <c r="E652" s="70"/>
    </row>
    <row r="653" ht="15.75" customHeight="1">
      <c r="A653" s="69"/>
      <c r="B653" s="69"/>
      <c r="C653" s="70"/>
      <c r="D653" s="70"/>
      <c r="E653" s="70"/>
    </row>
    <row r="654" ht="15.75" customHeight="1">
      <c r="A654" s="69"/>
      <c r="B654" s="69"/>
      <c r="C654" s="70"/>
      <c r="D654" s="70"/>
      <c r="E654" s="70"/>
    </row>
    <row r="655" ht="15.75" customHeight="1">
      <c r="A655" s="69"/>
      <c r="B655" s="69"/>
      <c r="C655" s="70"/>
      <c r="D655" s="70"/>
      <c r="E655" s="70"/>
    </row>
    <row r="656" ht="15.75" customHeight="1">
      <c r="A656" s="69"/>
      <c r="B656" s="69"/>
      <c r="C656" s="70"/>
      <c r="D656" s="70"/>
      <c r="E656" s="70"/>
    </row>
    <row r="657" ht="15.75" customHeight="1">
      <c r="A657" s="69"/>
      <c r="B657" s="69"/>
      <c r="C657" s="70"/>
      <c r="D657" s="70"/>
      <c r="E657" s="70"/>
    </row>
    <row r="658" ht="15.75" customHeight="1">
      <c r="A658" s="69"/>
      <c r="B658" s="69"/>
      <c r="C658" s="70"/>
      <c r="D658" s="70"/>
      <c r="E658" s="70"/>
    </row>
    <row r="659" ht="15.75" customHeight="1">
      <c r="A659" s="69"/>
      <c r="B659" s="69"/>
      <c r="C659" s="70"/>
      <c r="D659" s="70"/>
      <c r="E659" s="70"/>
    </row>
    <row r="660" ht="15.75" customHeight="1">
      <c r="A660" s="69"/>
      <c r="B660" s="69"/>
      <c r="C660" s="70"/>
      <c r="D660" s="70"/>
      <c r="E660" s="70"/>
    </row>
    <row r="661" ht="15.75" customHeight="1">
      <c r="A661" s="69"/>
      <c r="B661" s="69"/>
      <c r="C661" s="70"/>
      <c r="D661" s="70"/>
      <c r="E661" s="70"/>
    </row>
    <row r="662" ht="15.75" customHeight="1">
      <c r="A662" s="69"/>
      <c r="B662" s="69"/>
      <c r="C662" s="70"/>
      <c r="D662" s="70"/>
      <c r="E662" s="70"/>
    </row>
    <row r="663" ht="15.75" customHeight="1">
      <c r="A663" s="69"/>
      <c r="B663" s="69"/>
      <c r="C663" s="70"/>
      <c r="D663" s="70"/>
      <c r="E663" s="70"/>
    </row>
    <row r="664" ht="15.75" customHeight="1">
      <c r="A664" s="69"/>
      <c r="B664" s="69"/>
      <c r="C664" s="70"/>
      <c r="D664" s="70"/>
      <c r="E664" s="70"/>
    </row>
    <row r="665" ht="15.75" customHeight="1">
      <c r="A665" s="69"/>
      <c r="B665" s="69"/>
      <c r="C665" s="70"/>
      <c r="D665" s="70"/>
      <c r="E665" s="70"/>
    </row>
    <row r="666" ht="15.75" customHeight="1">
      <c r="A666" s="69"/>
      <c r="B666" s="69"/>
      <c r="C666" s="70"/>
      <c r="D666" s="70"/>
      <c r="E666" s="70"/>
    </row>
    <row r="667" ht="15.75" customHeight="1">
      <c r="A667" s="69"/>
      <c r="B667" s="69"/>
      <c r="C667" s="70"/>
      <c r="D667" s="70"/>
      <c r="E667" s="70"/>
    </row>
    <row r="668" ht="15.75" customHeight="1">
      <c r="A668" s="69"/>
      <c r="B668" s="69"/>
      <c r="C668" s="70"/>
      <c r="D668" s="70"/>
      <c r="E668" s="70"/>
    </row>
    <row r="669" ht="15.75" customHeight="1">
      <c r="A669" s="69"/>
      <c r="B669" s="69"/>
      <c r="C669" s="70"/>
      <c r="D669" s="70"/>
      <c r="E669" s="70"/>
    </row>
    <row r="670" ht="15.75" customHeight="1">
      <c r="A670" s="69"/>
      <c r="B670" s="69"/>
      <c r="C670" s="70"/>
      <c r="D670" s="70"/>
      <c r="E670" s="70"/>
    </row>
    <row r="671" ht="15.75" customHeight="1">
      <c r="A671" s="69"/>
      <c r="B671" s="69"/>
      <c r="C671" s="70"/>
      <c r="D671" s="70"/>
      <c r="E671" s="70"/>
    </row>
    <row r="672" ht="15.75" customHeight="1">
      <c r="A672" s="69"/>
      <c r="B672" s="69"/>
      <c r="C672" s="70"/>
      <c r="D672" s="70"/>
      <c r="E672" s="70"/>
    </row>
    <row r="673" ht="15.75" customHeight="1">
      <c r="A673" s="69"/>
      <c r="B673" s="69"/>
      <c r="C673" s="70"/>
      <c r="D673" s="70"/>
      <c r="E673" s="70"/>
    </row>
    <row r="674" ht="15.75" customHeight="1">
      <c r="A674" s="69"/>
      <c r="B674" s="69"/>
      <c r="C674" s="70"/>
      <c r="D674" s="70"/>
      <c r="E674" s="70"/>
    </row>
    <row r="675" ht="15.75" customHeight="1">
      <c r="A675" s="69"/>
      <c r="B675" s="69"/>
      <c r="C675" s="70"/>
      <c r="D675" s="70"/>
      <c r="E675" s="70"/>
    </row>
    <row r="676" ht="15.75" customHeight="1">
      <c r="A676" s="69"/>
      <c r="B676" s="69"/>
      <c r="C676" s="70"/>
      <c r="D676" s="70"/>
      <c r="E676" s="70"/>
    </row>
    <row r="677" ht="15.75" customHeight="1">
      <c r="A677" s="69"/>
      <c r="B677" s="69"/>
      <c r="C677" s="70"/>
      <c r="D677" s="70"/>
      <c r="E677" s="70"/>
    </row>
    <row r="678" ht="15.75" customHeight="1">
      <c r="A678" s="69"/>
      <c r="B678" s="69"/>
      <c r="C678" s="70"/>
      <c r="D678" s="70"/>
      <c r="E678" s="70"/>
    </row>
    <row r="679" ht="15.75" customHeight="1">
      <c r="A679" s="69"/>
      <c r="B679" s="69"/>
      <c r="C679" s="70"/>
      <c r="D679" s="70"/>
      <c r="E679" s="70"/>
    </row>
    <row r="680" ht="15.75" customHeight="1">
      <c r="A680" s="69"/>
      <c r="B680" s="69"/>
      <c r="C680" s="70"/>
      <c r="D680" s="70"/>
      <c r="E680" s="70"/>
    </row>
    <row r="681" ht="15.75" customHeight="1">
      <c r="A681" s="69"/>
      <c r="B681" s="69"/>
      <c r="C681" s="70"/>
      <c r="D681" s="70"/>
      <c r="E681" s="70"/>
    </row>
    <row r="682" ht="15.75" customHeight="1">
      <c r="A682" s="69"/>
      <c r="B682" s="69"/>
      <c r="C682" s="70"/>
      <c r="D682" s="70"/>
      <c r="E682" s="70"/>
    </row>
    <row r="683" ht="15.75" customHeight="1">
      <c r="A683" s="69"/>
      <c r="B683" s="69"/>
      <c r="C683" s="70"/>
      <c r="D683" s="70"/>
      <c r="E683" s="70"/>
    </row>
    <row r="684" ht="15.75" customHeight="1">
      <c r="A684" s="69"/>
      <c r="B684" s="69"/>
      <c r="C684" s="70"/>
      <c r="D684" s="70"/>
      <c r="E684" s="70"/>
    </row>
    <row r="685" ht="15.75" customHeight="1">
      <c r="A685" s="69"/>
      <c r="B685" s="69"/>
      <c r="C685" s="70"/>
      <c r="D685" s="70"/>
      <c r="E685" s="70"/>
    </row>
    <row r="686" ht="15.75" customHeight="1">
      <c r="A686" s="69"/>
      <c r="B686" s="69"/>
      <c r="C686" s="70"/>
      <c r="D686" s="70"/>
      <c r="E686" s="70"/>
    </row>
    <row r="687" ht="15.75" customHeight="1">
      <c r="A687" s="69"/>
      <c r="B687" s="69"/>
      <c r="C687" s="70"/>
      <c r="D687" s="70"/>
      <c r="E687" s="70"/>
    </row>
    <row r="688" ht="15.75" customHeight="1">
      <c r="A688" s="69"/>
      <c r="B688" s="69"/>
      <c r="C688" s="70"/>
      <c r="D688" s="70"/>
      <c r="E688" s="70"/>
    </row>
    <row r="689" ht="15.75" customHeight="1">
      <c r="A689" s="69"/>
      <c r="B689" s="69"/>
      <c r="C689" s="70"/>
      <c r="D689" s="70"/>
      <c r="E689" s="70"/>
    </row>
    <row r="690" ht="15.75" customHeight="1">
      <c r="A690" s="69"/>
      <c r="B690" s="69"/>
      <c r="C690" s="70"/>
      <c r="D690" s="70"/>
      <c r="E690" s="70"/>
    </row>
    <row r="691" ht="15.75" customHeight="1">
      <c r="A691" s="69"/>
      <c r="B691" s="69"/>
      <c r="C691" s="70"/>
      <c r="D691" s="70"/>
      <c r="E691" s="70"/>
    </row>
    <row r="692" ht="15.75" customHeight="1">
      <c r="A692" s="69"/>
      <c r="B692" s="69"/>
      <c r="C692" s="70"/>
      <c r="D692" s="70"/>
      <c r="E692" s="70"/>
    </row>
    <row r="693" ht="15.75" customHeight="1">
      <c r="A693" s="69"/>
      <c r="B693" s="69"/>
      <c r="C693" s="70"/>
      <c r="D693" s="70"/>
      <c r="E693" s="70"/>
    </row>
    <row r="694" ht="15.75" customHeight="1">
      <c r="A694" s="69"/>
      <c r="B694" s="69"/>
      <c r="C694" s="70"/>
      <c r="D694" s="70"/>
      <c r="E694" s="70"/>
    </row>
    <row r="695" ht="15.75" customHeight="1">
      <c r="A695" s="69"/>
      <c r="B695" s="69"/>
      <c r="C695" s="70"/>
      <c r="D695" s="70"/>
      <c r="E695" s="70"/>
    </row>
    <row r="696" ht="15.75" customHeight="1">
      <c r="A696" s="69"/>
      <c r="B696" s="69"/>
      <c r="C696" s="70"/>
      <c r="D696" s="70"/>
      <c r="E696" s="70"/>
    </row>
    <row r="697" ht="15.75" customHeight="1">
      <c r="A697" s="69"/>
      <c r="B697" s="69"/>
      <c r="C697" s="70"/>
      <c r="D697" s="70"/>
      <c r="E697" s="70"/>
    </row>
    <row r="698" ht="15.75" customHeight="1">
      <c r="A698" s="69"/>
      <c r="B698" s="69"/>
      <c r="C698" s="70"/>
      <c r="D698" s="70"/>
      <c r="E698" s="70"/>
    </row>
    <row r="699" ht="15.75" customHeight="1">
      <c r="A699" s="69"/>
      <c r="B699" s="69"/>
      <c r="C699" s="70"/>
      <c r="D699" s="70"/>
      <c r="E699" s="70"/>
    </row>
    <row r="700" ht="15.75" customHeight="1">
      <c r="A700" s="69"/>
      <c r="B700" s="69"/>
      <c r="C700" s="70"/>
      <c r="D700" s="70"/>
      <c r="E700" s="70"/>
    </row>
    <row r="701" ht="15.75" customHeight="1">
      <c r="A701" s="69"/>
      <c r="B701" s="69"/>
      <c r="C701" s="70"/>
      <c r="D701" s="70"/>
      <c r="E701" s="70"/>
    </row>
    <row r="702" ht="15.75" customHeight="1">
      <c r="A702" s="69"/>
      <c r="B702" s="69"/>
      <c r="C702" s="70"/>
      <c r="D702" s="70"/>
      <c r="E702" s="70"/>
    </row>
    <row r="703" ht="15.75" customHeight="1">
      <c r="A703" s="69"/>
      <c r="B703" s="69"/>
      <c r="C703" s="70"/>
      <c r="D703" s="70"/>
      <c r="E703" s="70"/>
    </row>
    <row r="704" ht="15.75" customHeight="1">
      <c r="A704" s="69"/>
      <c r="B704" s="69"/>
      <c r="C704" s="70"/>
      <c r="D704" s="70"/>
      <c r="E704" s="70"/>
    </row>
    <row r="705" ht="15.75" customHeight="1">
      <c r="A705" s="69"/>
      <c r="B705" s="69"/>
      <c r="C705" s="70"/>
      <c r="D705" s="70"/>
      <c r="E705" s="70"/>
    </row>
    <row r="706" ht="15.75" customHeight="1">
      <c r="A706" s="69"/>
      <c r="B706" s="69"/>
      <c r="C706" s="70"/>
      <c r="D706" s="70"/>
      <c r="E706" s="70"/>
    </row>
    <row r="707" ht="15.75" customHeight="1">
      <c r="A707" s="69"/>
      <c r="B707" s="69"/>
      <c r="C707" s="70"/>
      <c r="D707" s="70"/>
      <c r="E707" s="70"/>
    </row>
    <row r="708" ht="15.75" customHeight="1">
      <c r="A708" s="69"/>
      <c r="B708" s="69"/>
      <c r="C708" s="70"/>
      <c r="D708" s="70"/>
      <c r="E708" s="70"/>
    </row>
    <row r="709" ht="15.75" customHeight="1">
      <c r="A709" s="69"/>
      <c r="B709" s="69"/>
      <c r="C709" s="70"/>
      <c r="D709" s="70"/>
      <c r="E709" s="70"/>
    </row>
    <row r="710" ht="15.75" customHeight="1">
      <c r="A710" s="69"/>
      <c r="B710" s="69"/>
      <c r="C710" s="70"/>
      <c r="D710" s="70"/>
      <c r="E710" s="70"/>
    </row>
    <row r="711" ht="15.75" customHeight="1">
      <c r="A711" s="69"/>
      <c r="B711" s="69"/>
      <c r="C711" s="70"/>
      <c r="D711" s="70"/>
      <c r="E711" s="70"/>
    </row>
    <row r="712" ht="15.75" customHeight="1">
      <c r="A712" s="69"/>
      <c r="B712" s="69"/>
      <c r="C712" s="70"/>
      <c r="D712" s="70"/>
      <c r="E712" s="70"/>
    </row>
    <row r="713" ht="15.75" customHeight="1">
      <c r="A713" s="69"/>
      <c r="B713" s="69"/>
      <c r="C713" s="70"/>
      <c r="D713" s="70"/>
      <c r="E713" s="70"/>
    </row>
    <row r="714" ht="15.75" customHeight="1">
      <c r="A714" s="69"/>
      <c r="B714" s="69"/>
      <c r="C714" s="70"/>
      <c r="D714" s="70"/>
      <c r="E714" s="70"/>
    </row>
    <row r="715" ht="15.75" customHeight="1">
      <c r="A715" s="69"/>
      <c r="B715" s="69"/>
      <c r="C715" s="70"/>
      <c r="D715" s="70"/>
      <c r="E715" s="70"/>
    </row>
    <row r="716" ht="15.75" customHeight="1">
      <c r="A716" s="69"/>
      <c r="B716" s="69"/>
      <c r="C716" s="70"/>
      <c r="D716" s="70"/>
      <c r="E716" s="70"/>
    </row>
    <row r="717" ht="15.75" customHeight="1">
      <c r="A717" s="69"/>
      <c r="B717" s="69"/>
      <c r="C717" s="70"/>
      <c r="D717" s="70"/>
      <c r="E717" s="70"/>
    </row>
    <row r="718" ht="15.75" customHeight="1">
      <c r="A718" s="69"/>
      <c r="B718" s="69"/>
      <c r="C718" s="70"/>
      <c r="D718" s="70"/>
      <c r="E718" s="70"/>
    </row>
    <row r="719" ht="15.75" customHeight="1">
      <c r="A719" s="69"/>
      <c r="B719" s="69"/>
      <c r="C719" s="70"/>
      <c r="D719" s="70"/>
      <c r="E719" s="70"/>
    </row>
    <row r="720" ht="15.75" customHeight="1">
      <c r="A720" s="69"/>
      <c r="B720" s="69"/>
      <c r="C720" s="70"/>
      <c r="D720" s="70"/>
      <c r="E720" s="70"/>
    </row>
    <row r="721" ht="15.75" customHeight="1">
      <c r="A721" s="69"/>
      <c r="B721" s="69"/>
      <c r="C721" s="70"/>
      <c r="D721" s="70"/>
      <c r="E721" s="70"/>
    </row>
    <row r="722" ht="15.75" customHeight="1">
      <c r="A722" s="69"/>
      <c r="B722" s="69"/>
      <c r="C722" s="70"/>
      <c r="D722" s="70"/>
      <c r="E722" s="70"/>
    </row>
    <row r="723" ht="15.75" customHeight="1">
      <c r="A723" s="69"/>
      <c r="B723" s="69"/>
      <c r="C723" s="70"/>
      <c r="D723" s="70"/>
      <c r="E723" s="70"/>
    </row>
    <row r="724" ht="15.75" customHeight="1">
      <c r="A724" s="69"/>
      <c r="B724" s="69"/>
      <c r="C724" s="70"/>
      <c r="D724" s="70"/>
      <c r="E724" s="70"/>
    </row>
    <row r="725" ht="15.75" customHeight="1">
      <c r="A725" s="69"/>
      <c r="B725" s="69"/>
      <c r="C725" s="70"/>
      <c r="D725" s="70"/>
      <c r="E725" s="70"/>
    </row>
    <row r="726" ht="15.75" customHeight="1">
      <c r="A726" s="69"/>
      <c r="B726" s="69"/>
      <c r="C726" s="70"/>
      <c r="D726" s="70"/>
      <c r="E726" s="70"/>
    </row>
    <row r="727" ht="15.75" customHeight="1">
      <c r="A727" s="69"/>
      <c r="B727" s="69"/>
      <c r="C727" s="70"/>
      <c r="D727" s="70"/>
      <c r="E727" s="70"/>
    </row>
    <row r="728" ht="15.75" customHeight="1">
      <c r="A728" s="69"/>
      <c r="B728" s="69"/>
      <c r="C728" s="70"/>
      <c r="D728" s="70"/>
      <c r="E728" s="70"/>
    </row>
    <row r="729" ht="15.75" customHeight="1">
      <c r="A729" s="69"/>
      <c r="B729" s="69"/>
      <c r="C729" s="70"/>
      <c r="D729" s="70"/>
      <c r="E729" s="70"/>
    </row>
    <row r="730" ht="15.75" customHeight="1">
      <c r="A730" s="69"/>
      <c r="B730" s="69"/>
      <c r="C730" s="70"/>
      <c r="D730" s="70"/>
      <c r="E730" s="70"/>
    </row>
    <row r="731" ht="15.75" customHeight="1">
      <c r="A731" s="69"/>
      <c r="B731" s="69"/>
      <c r="C731" s="70"/>
      <c r="D731" s="70"/>
      <c r="E731" s="70"/>
    </row>
    <row r="732" ht="15.75" customHeight="1">
      <c r="A732" s="69"/>
      <c r="B732" s="69"/>
      <c r="C732" s="70"/>
      <c r="D732" s="70"/>
      <c r="E732" s="70"/>
    </row>
    <row r="733" ht="15.75" customHeight="1">
      <c r="A733" s="69"/>
      <c r="B733" s="69"/>
      <c r="C733" s="70"/>
      <c r="D733" s="70"/>
      <c r="E733" s="70"/>
    </row>
    <row r="734" ht="15.75" customHeight="1">
      <c r="A734" s="69"/>
      <c r="B734" s="69"/>
      <c r="C734" s="70"/>
      <c r="D734" s="70"/>
      <c r="E734" s="70"/>
    </row>
    <row r="735" ht="15.75" customHeight="1">
      <c r="A735" s="73"/>
      <c r="B735" s="73"/>
      <c r="C735" s="73"/>
      <c r="D735" s="73"/>
      <c r="E735" s="73"/>
    </row>
    <row r="736" ht="15.75" customHeight="1">
      <c r="A736" s="73"/>
      <c r="B736" s="73"/>
      <c r="C736" s="73"/>
      <c r="D736" s="73"/>
      <c r="E736" s="73"/>
    </row>
    <row r="737" ht="15.75" customHeight="1">
      <c r="A737" s="73"/>
      <c r="B737" s="73"/>
      <c r="C737" s="73"/>
      <c r="D737" s="73"/>
      <c r="E737" s="73"/>
    </row>
    <row r="738" ht="15.75" customHeight="1">
      <c r="A738" s="73"/>
      <c r="B738" s="73"/>
      <c r="C738" s="73"/>
      <c r="D738" s="73"/>
      <c r="E738" s="73"/>
    </row>
    <row r="739" ht="15.75" customHeight="1">
      <c r="A739" s="73"/>
      <c r="B739" s="73"/>
      <c r="C739" s="73"/>
      <c r="D739" s="73"/>
      <c r="E739" s="73"/>
    </row>
    <row r="740" ht="15.75" customHeight="1">
      <c r="A740" s="73"/>
      <c r="B740" s="73"/>
      <c r="C740" s="73"/>
      <c r="D740" s="73"/>
      <c r="E740" s="73"/>
    </row>
    <row r="741" ht="15.75" customHeight="1">
      <c r="A741" s="73"/>
      <c r="B741" s="73"/>
      <c r="C741" s="73"/>
      <c r="D741" s="73"/>
      <c r="E741" s="73"/>
    </row>
    <row r="742" ht="15.75" customHeight="1">
      <c r="A742" s="73"/>
      <c r="B742" s="73"/>
      <c r="C742" s="73"/>
      <c r="D742" s="73"/>
      <c r="E742" s="73"/>
    </row>
    <row r="743" ht="15.75" customHeight="1">
      <c r="A743" s="73"/>
      <c r="B743" s="73"/>
      <c r="C743" s="73"/>
      <c r="D743" s="73"/>
      <c r="E743" s="73"/>
    </row>
    <row r="744" ht="15.75" customHeight="1">
      <c r="A744" s="73"/>
      <c r="B744" s="73"/>
      <c r="C744" s="73"/>
      <c r="D744" s="73"/>
      <c r="E744" s="73"/>
    </row>
    <row r="745" ht="15.75" customHeight="1">
      <c r="A745" s="73"/>
      <c r="B745" s="73"/>
      <c r="C745" s="73"/>
      <c r="D745" s="73"/>
      <c r="E745" s="73"/>
    </row>
    <row r="746" ht="15.75" customHeight="1">
      <c r="A746" s="73"/>
      <c r="B746" s="73"/>
      <c r="C746" s="73"/>
      <c r="D746" s="73"/>
      <c r="E746" s="73"/>
    </row>
    <row r="747" ht="15.75" customHeight="1">
      <c r="A747" s="73"/>
      <c r="B747" s="73"/>
      <c r="C747" s="73"/>
      <c r="D747" s="73"/>
      <c r="E747" s="73"/>
    </row>
    <row r="748" ht="15.75" customHeight="1">
      <c r="A748" s="73"/>
      <c r="B748" s="73"/>
      <c r="C748" s="73"/>
      <c r="D748" s="73"/>
      <c r="E748" s="73"/>
    </row>
    <row r="749" ht="15.75" customHeight="1">
      <c r="A749" s="73"/>
      <c r="B749" s="73"/>
      <c r="C749" s="73"/>
      <c r="D749" s="73"/>
      <c r="E749" s="73"/>
    </row>
    <row r="750" ht="15.75" customHeight="1">
      <c r="A750" s="73"/>
      <c r="B750" s="73"/>
      <c r="C750" s="73"/>
      <c r="D750" s="73"/>
      <c r="E750" s="73"/>
    </row>
    <row r="751" ht="15.75" customHeight="1">
      <c r="A751" s="73"/>
      <c r="B751" s="73"/>
      <c r="C751" s="73"/>
      <c r="D751" s="73"/>
      <c r="E751" s="73"/>
    </row>
    <row r="752" ht="15.75" customHeight="1">
      <c r="A752" s="73"/>
      <c r="B752" s="73"/>
      <c r="C752" s="73"/>
      <c r="D752" s="73"/>
      <c r="E752" s="73"/>
    </row>
    <row r="753" ht="15.75" customHeight="1">
      <c r="A753" s="73"/>
      <c r="B753" s="73"/>
      <c r="C753" s="73"/>
      <c r="D753" s="73"/>
      <c r="E753" s="73"/>
    </row>
    <row r="754" ht="15.75" customHeight="1">
      <c r="A754" s="73"/>
      <c r="B754" s="73"/>
      <c r="C754" s="73"/>
      <c r="D754" s="73"/>
      <c r="E754" s="73"/>
    </row>
    <row r="755" ht="15.75" customHeight="1">
      <c r="A755" s="73"/>
      <c r="B755" s="73"/>
      <c r="C755" s="73"/>
      <c r="D755" s="73"/>
      <c r="E755" s="73"/>
    </row>
    <row r="756" ht="15.75" customHeight="1">
      <c r="A756" s="73"/>
      <c r="B756" s="73"/>
      <c r="C756" s="73"/>
      <c r="D756" s="73"/>
      <c r="E756" s="73"/>
    </row>
    <row r="757" ht="15.75" customHeight="1">
      <c r="A757" s="73"/>
      <c r="B757" s="73"/>
      <c r="C757" s="73"/>
      <c r="D757" s="73"/>
      <c r="E757" s="73"/>
    </row>
    <row r="758" ht="15.75" customHeight="1">
      <c r="A758" s="73"/>
      <c r="B758" s="73"/>
      <c r="C758" s="73"/>
      <c r="D758" s="73"/>
      <c r="E758" s="73"/>
    </row>
    <row r="759" ht="15.75" customHeight="1">
      <c r="A759" s="73"/>
      <c r="B759" s="73"/>
      <c r="C759" s="73"/>
      <c r="D759" s="73"/>
      <c r="E759" s="73"/>
    </row>
    <row r="760" ht="15.75" customHeight="1">
      <c r="A760" s="73"/>
      <c r="B760" s="73"/>
      <c r="C760" s="73"/>
      <c r="D760" s="73"/>
      <c r="E760" s="73"/>
    </row>
    <row r="761" ht="15.75" customHeight="1">
      <c r="A761" s="73"/>
      <c r="B761" s="73"/>
      <c r="C761" s="73"/>
      <c r="D761" s="73"/>
      <c r="E761" s="73"/>
    </row>
    <row r="762" ht="15.75" customHeight="1">
      <c r="A762" s="73"/>
      <c r="B762" s="73"/>
      <c r="C762" s="73"/>
      <c r="D762" s="73"/>
      <c r="E762" s="73"/>
    </row>
    <row r="763" ht="15.75" customHeight="1">
      <c r="A763" s="73"/>
      <c r="B763" s="73"/>
      <c r="C763" s="73"/>
      <c r="D763" s="73"/>
      <c r="E763" s="73"/>
    </row>
    <row r="764" ht="15.75" customHeight="1">
      <c r="A764" s="73"/>
      <c r="B764" s="73"/>
      <c r="C764" s="73"/>
      <c r="D764" s="73"/>
      <c r="E764" s="73"/>
    </row>
    <row r="765" ht="15.75" customHeight="1">
      <c r="A765" s="73"/>
      <c r="B765" s="73"/>
      <c r="C765" s="73"/>
      <c r="D765" s="73"/>
      <c r="E765" s="73"/>
    </row>
    <row r="766" ht="15.75" customHeight="1">
      <c r="A766" s="73"/>
      <c r="B766" s="73"/>
      <c r="C766" s="73"/>
      <c r="D766" s="73"/>
      <c r="E766" s="73"/>
    </row>
    <row r="767" ht="15.75" customHeight="1">
      <c r="A767" s="73"/>
      <c r="B767" s="73"/>
      <c r="C767" s="73"/>
      <c r="D767" s="73"/>
      <c r="E767" s="73"/>
    </row>
    <row r="768" ht="15.75" customHeight="1">
      <c r="A768" s="73"/>
      <c r="B768" s="73"/>
      <c r="C768" s="73"/>
      <c r="D768" s="73"/>
      <c r="E768" s="73"/>
    </row>
    <row r="769" ht="15.75" customHeight="1">
      <c r="A769" s="73"/>
      <c r="B769" s="73"/>
      <c r="C769" s="73"/>
      <c r="D769" s="73"/>
      <c r="E769" s="73"/>
    </row>
    <row r="770" ht="15.75" customHeight="1">
      <c r="A770" s="73"/>
      <c r="B770" s="73"/>
      <c r="C770" s="73"/>
      <c r="D770" s="73"/>
      <c r="E770" s="73"/>
    </row>
    <row r="771" ht="15.75" customHeight="1">
      <c r="A771" s="73"/>
      <c r="B771" s="73"/>
      <c r="C771" s="73"/>
      <c r="D771" s="73"/>
      <c r="E771" s="73"/>
    </row>
    <row r="772" ht="15.75" customHeight="1">
      <c r="A772" s="73"/>
      <c r="B772" s="73"/>
      <c r="C772" s="73"/>
      <c r="D772" s="73"/>
      <c r="E772" s="73"/>
    </row>
    <row r="773" ht="15.75" customHeight="1">
      <c r="A773" s="73"/>
      <c r="B773" s="73"/>
      <c r="C773" s="73"/>
      <c r="D773" s="73"/>
      <c r="E773" s="73"/>
    </row>
    <row r="774" ht="15.75" customHeight="1">
      <c r="A774" s="73"/>
      <c r="B774" s="73"/>
      <c r="C774" s="73"/>
      <c r="D774" s="73"/>
      <c r="E774" s="73"/>
    </row>
    <row r="775" ht="15.75" customHeight="1">
      <c r="A775" s="73"/>
      <c r="B775" s="73"/>
      <c r="C775" s="73"/>
      <c r="D775" s="73"/>
      <c r="E775" s="73"/>
    </row>
    <row r="776" ht="15.75" customHeight="1">
      <c r="A776" s="73"/>
      <c r="B776" s="73"/>
      <c r="C776" s="73"/>
      <c r="D776" s="73"/>
      <c r="E776" s="73"/>
    </row>
    <row r="777" ht="15.75" customHeight="1">
      <c r="A777" s="73"/>
      <c r="B777" s="73"/>
      <c r="C777" s="73"/>
      <c r="D777" s="73"/>
      <c r="E777" s="73"/>
    </row>
    <row r="778" ht="15.75" customHeight="1">
      <c r="A778" s="73"/>
      <c r="B778" s="73"/>
      <c r="C778" s="73"/>
      <c r="D778" s="73"/>
      <c r="E778" s="73"/>
    </row>
    <row r="779" ht="15.75" customHeight="1">
      <c r="A779" s="73"/>
      <c r="B779" s="73"/>
      <c r="C779" s="73"/>
      <c r="D779" s="73"/>
      <c r="E779" s="73"/>
    </row>
    <row r="780" ht="15.75" customHeight="1">
      <c r="A780" s="73"/>
      <c r="B780" s="73"/>
      <c r="C780" s="73"/>
      <c r="D780" s="73"/>
      <c r="E780" s="73"/>
    </row>
    <row r="781" ht="15.75" customHeight="1">
      <c r="A781" s="73"/>
      <c r="B781" s="73"/>
      <c r="C781" s="73"/>
      <c r="D781" s="73"/>
      <c r="E781" s="73"/>
    </row>
    <row r="782" ht="15.75" customHeight="1">
      <c r="A782" s="73"/>
      <c r="B782" s="73"/>
      <c r="C782" s="73"/>
      <c r="D782" s="73"/>
      <c r="E782" s="73"/>
    </row>
    <row r="783" ht="15.75" customHeight="1">
      <c r="A783" s="73"/>
      <c r="B783" s="73"/>
      <c r="C783" s="73"/>
      <c r="D783" s="73"/>
      <c r="E783" s="73"/>
    </row>
    <row r="784" ht="15.75" customHeight="1">
      <c r="A784" s="73"/>
      <c r="B784" s="73"/>
      <c r="C784" s="73"/>
      <c r="D784" s="73"/>
      <c r="E784" s="73"/>
    </row>
    <row r="785" ht="15.75" customHeight="1">
      <c r="A785" s="73"/>
      <c r="B785" s="73"/>
      <c r="C785" s="73"/>
      <c r="D785" s="73"/>
      <c r="E785" s="73"/>
    </row>
    <row r="786" ht="15.75" customHeight="1">
      <c r="A786" s="73"/>
      <c r="B786" s="73"/>
      <c r="C786" s="73"/>
      <c r="D786" s="73"/>
      <c r="E786" s="73"/>
    </row>
    <row r="787" ht="15.75" customHeight="1">
      <c r="A787" s="73"/>
      <c r="B787" s="73"/>
      <c r="C787" s="73"/>
      <c r="D787" s="73"/>
      <c r="E787" s="73"/>
    </row>
    <row r="788" ht="15.75" customHeight="1">
      <c r="A788" s="73"/>
      <c r="B788" s="73"/>
      <c r="C788" s="73"/>
      <c r="D788" s="73"/>
      <c r="E788" s="73"/>
    </row>
    <row r="789" ht="15.75" customHeight="1">
      <c r="A789" s="73"/>
      <c r="B789" s="73"/>
      <c r="C789" s="73"/>
      <c r="D789" s="73"/>
      <c r="E789" s="73"/>
    </row>
    <row r="790" ht="15.75" customHeight="1">
      <c r="A790" s="73"/>
      <c r="B790" s="73"/>
      <c r="C790" s="73"/>
      <c r="D790" s="73"/>
      <c r="E790" s="73"/>
    </row>
    <row r="791" ht="15.75" customHeight="1">
      <c r="A791" s="73"/>
      <c r="B791" s="73"/>
      <c r="C791" s="73"/>
      <c r="D791" s="73"/>
      <c r="E791" s="73"/>
    </row>
    <row r="792" ht="15.75" customHeight="1">
      <c r="A792" s="73"/>
      <c r="B792" s="73"/>
      <c r="C792" s="73"/>
      <c r="D792" s="73"/>
      <c r="E792" s="73"/>
    </row>
    <row r="793" ht="15.75" customHeight="1">
      <c r="A793" s="73"/>
      <c r="B793" s="73"/>
      <c r="C793" s="73"/>
      <c r="D793" s="73"/>
      <c r="E793" s="73"/>
    </row>
    <row r="794" ht="15.75" customHeight="1">
      <c r="A794" s="73"/>
      <c r="B794" s="73"/>
      <c r="C794" s="73"/>
      <c r="D794" s="73"/>
      <c r="E794" s="73"/>
    </row>
    <row r="795" ht="15.75" customHeight="1">
      <c r="A795" s="73"/>
      <c r="B795" s="73"/>
      <c r="C795" s="73"/>
      <c r="D795" s="73"/>
      <c r="E795" s="73"/>
    </row>
    <row r="796" ht="15.75" customHeight="1">
      <c r="A796" s="73"/>
      <c r="B796" s="73"/>
      <c r="C796" s="73"/>
      <c r="D796" s="73"/>
      <c r="E796" s="73"/>
    </row>
    <row r="797" ht="15.75" customHeight="1">
      <c r="A797" s="73"/>
      <c r="B797" s="73"/>
      <c r="C797" s="73"/>
      <c r="D797" s="73"/>
      <c r="E797" s="73"/>
    </row>
    <row r="798" ht="15.75" customHeight="1">
      <c r="A798" s="73"/>
      <c r="B798" s="73"/>
      <c r="C798" s="73"/>
      <c r="D798" s="73"/>
      <c r="E798" s="73"/>
    </row>
    <row r="799" ht="15.75" customHeight="1">
      <c r="A799" s="73"/>
      <c r="B799" s="73"/>
      <c r="C799" s="73"/>
      <c r="D799" s="73"/>
      <c r="E799" s="73"/>
    </row>
    <row r="800" ht="15.75" customHeight="1">
      <c r="A800" s="73"/>
      <c r="B800" s="73"/>
      <c r="C800" s="73"/>
      <c r="D800" s="73"/>
      <c r="E800" s="73"/>
    </row>
    <row r="801" ht="15.75" customHeight="1">
      <c r="A801" s="73"/>
      <c r="B801" s="73"/>
      <c r="C801" s="73"/>
      <c r="D801" s="73"/>
      <c r="E801" s="73"/>
    </row>
    <row r="802" ht="15.75" customHeight="1">
      <c r="A802" s="73"/>
      <c r="B802" s="73"/>
      <c r="C802" s="73"/>
      <c r="D802" s="73"/>
      <c r="E802" s="73"/>
    </row>
    <row r="803" ht="15.75" customHeight="1">
      <c r="A803" s="73"/>
      <c r="B803" s="73"/>
      <c r="C803" s="73"/>
      <c r="D803" s="73"/>
      <c r="E803" s="73"/>
    </row>
    <row r="804" ht="15.75" customHeight="1">
      <c r="A804" s="73"/>
      <c r="B804" s="73"/>
      <c r="C804" s="73"/>
      <c r="D804" s="73"/>
      <c r="E804" s="73"/>
    </row>
    <row r="805" ht="15.75" customHeight="1">
      <c r="A805" s="73"/>
      <c r="B805" s="73"/>
      <c r="C805" s="73"/>
      <c r="D805" s="73"/>
      <c r="E805" s="73"/>
    </row>
    <row r="806" ht="15.75" customHeight="1">
      <c r="A806" s="73"/>
      <c r="B806" s="73"/>
      <c r="C806" s="73"/>
      <c r="D806" s="73"/>
      <c r="E806" s="73"/>
    </row>
    <row r="807" ht="15.75" customHeight="1">
      <c r="A807" s="73"/>
      <c r="B807" s="73"/>
      <c r="C807" s="73"/>
      <c r="D807" s="73"/>
      <c r="E807" s="73"/>
    </row>
    <row r="808" ht="15.75" customHeight="1">
      <c r="A808" s="73"/>
      <c r="B808" s="73"/>
      <c r="C808" s="73"/>
      <c r="D808" s="73"/>
      <c r="E808" s="73"/>
    </row>
    <row r="809" ht="15.75" customHeight="1">
      <c r="A809" s="73"/>
      <c r="B809" s="73"/>
      <c r="C809" s="73"/>
      <c r="D809" s="73"/>
      <c r="E809" s="73"/>
    </row>
    <row r="810" ht="15.75" customHeight="1">
      <c r="A810" s="73"/>
      <c r="B810" s="73"/>
      <c r="C810" s="73"/>
      <c r="D810" s="73"/>
      <c r="E810" s="73"/>
    </row>
    <row r="811" ht="15.75" customHeight="1">
      <c r="A811" s="73"/>
      <c r="B811" s="73"/>
      <c r="C811" s="73"/>
      <c r="D811" s="73"/>
      <c r="E811" s="73"/>
    </row>
    <row r="812" ht="15.75" customHeight="1">
      <c r="A812" s="73"/>
      <c r="B812" s="73"/>
      <c r="C812" s="73"/>
      <c r="D812" s="73"/>
      <c r="E812" s="73"/>
    </row>
    <row r="813" ht="15.75" customHeight="1">
      <c r="A813" s="73"/>
      <c r="B813" s="73"/>
      <c r="C813" s="73"/>
      <c r="D813" s="73"/>
      <c r="E813" s="73"/>
    </row>
    <row r="814" ht="15.75" customHeight="1">
      <c r="A814" s="73"/>
      <c r="B814" s="73"/>
      <c r="C814" s="73"/>
      <c r="D814" s="73"/>
      <c r="E814" s="73"/>
    </row>
    <row r="815" ht="15.75" customHeight="1">
      <c r="A815" s="73"/>
      <c r="B815" s="73"/>
      <c r="C815" s="73"/>
      <c r="D815" s="73"/>
      <c r="E815" s="73"/>
    </row>
    <row r="816" ht="15.75" customHeight="1">
      <c r="A816" s="73"/>
      <c r="B816" s="73"/>
      <c r="C816" s="73"/>
      <c r="D816" s="73"/>
      <c r="E816" s="73"/>
    </row>
    <row r="817" ht="15.75" customHeight="1">
      <c r="A817" s="73"/>
      <c r="B817" s="73"/>
      <c r="C817" s="73"/>
      <c r="D817" s="73"/>
      <c r="E817" s="73"/>
    </row>
    <row r="818" ht="15.75" customHeight="1">
      <c r="A818" s="73"/>
      <c r="B818" s="73"/>
      <c r="C818" s="73"/>
      <c r="D818" s="73"/>
      <c r="E818" s="73"/>
    </row>
    <row r="819" ht="15.75" customHeight="1">
      <c r="A819" s="73"/>
      <c r="B819" s="73"/>
      <c r="C819" s="73"/>
      <c r="D819" s="73"/>
      <c r="E819" s="73"/>
    </row>
    <row r="820" ht="15.75" customHeight="1">
      <c r="A820" s="73"/>
      <c r="B820" s="73"/>
      <c r="C820" s="73"/>
      <c r="D820" s="73"/>
      <c r="E820" s="73"/>
    </row>
    <row r="821" ht="15.75" customHeight="1">
      <c r="A821" s="73"/>
      <c r="B821" s="73"/>
      <c r="C821" s="73"/>
      <c r="D821" s="73"/>
      <c r="E821" s="73"/>
    </row>
    <row r="822" ht="15.75" customHeight="1">
      <c r="A822" s="73"/>
      <c r="B822" s="73"/>
      <c r="C822" s="73"/>
      <c r="D822" s="73"/>
      <c r="E822" s="73"/>
    </row>
    <row r="823" ht="15.75" customHeight="1">
      <c r="A823" s="73"/>
      <c r="B823" s="73"/>
      <c r="C823" s="73"/>
      <c r="D823" s="73"/>
      <c r="E823" s="73"/>
    </row>
    <row r="824" ht="15.75" customHeight="1">
      <c r="A824" s="73"/>
      <c r="B824" s="73"/>
      <c r="C824" s="73"/>
      <c r="D824" s="73"/>
      <c r="E824" s="73"/>
    </row>
    <row r="825" ht="15.75" customHeight="1">
      <c r="A825" s="73"/>
      <c r="B825" s="73"/>
      <c r="C825" s="73"/>
      <c r="D825" s="73"/>
      <c r="E825" s="73"/>
    </row>
    <row r="826" ht="15.75" customHeight="1">
      <c r="A826" s="73"/>
      <c r="B826" s="73"/>
      <c r="C826" s="73"/>
      <c r="D826" s="73"/>
      <c r="E826" s="73"/>
    </row>
    <row r="827" ht="15.75" customHeight="1">
      <c r="A827" s="73"/>
      <c r="B827" s="73"/>
      <c r="C827" s="73"/>
      <c r="D827" s="73"/>
      <c r="E827" s="73"/>
    </row>
    <row r="828" ht="15.75" customHeight="1">
      <c r="A828" s="73"/>
      <c r="B828" s="73"/>
      <c r="C828" s="73"/>
      <c r="D828" s="73"/>
      <c r="E828" s="73"/>
    </row>
    <row r="829" ht="15.75" customHeight="1">
      <c r="A829" s="73"/>
      <c r="B829" s="73"/>
      <c r="C829" s="73"/>
      <c r="D829" s="73"/>
      <c r="E829" s="73"/>
    </row>
    <row r="830" ht="15.75" customHeight="1">
      <c r="A830" s="73"/>
      <c r="B830" s="73"/>
      <c r="C830" s="73"/>
      <c r="D830" s="73"/>
      <c r="E830" s="73"/>
    </row>
    <row r="831" ht="15.75" customHeight="1">
      <c r="A831" s="73"/>
      <c r="B831" s="73"/>
      <c r="C831" s="73"/>
      <c r="D831" s="73"/>
      <c r="E831" s="73"/>
    </row>
    <row r="832" ht="15.75" customHeight="1">
      <c r="A832" s="73"/>
      <c r="B832" s="73"/>
      <c r="C832" s="73"/>
      <c r="D832" s="73"/>
      <c r="E832" s="73"/>
    </row>
    <row r="833" ht="15.75" customHeight="1">
      <c r="A833" s="73"/>
      <c r="B833" s="73"/>
      <c r="C833" s="73"/>
      <c r="D833" s="73"/>
      <c r="E833" s="73"/>
    </row>
    <row r="834" ht="15.75" customHeight="1">
      <c r="A834" s="73"/>
      <c r="B834" s="73"/>
      <c r="C834" s="73"/>
      <c r="D834" s="73"/>
      <c r="E834" s="73"/>
    </row>
    <row r="835" ht="15.75" customHeight="1">
      <c r="A835" s="73"/>
      <c r="B835" s="73"/>
      <c r="C835" s="73"/>
      <c r="D835" s="73"/>
      <c r="E835" s="73"/>
    </row>
    <row r="836" ht="15.75" customHeight="1">
      <c r="A836" s="73"/>
      <c r="B836" s="73"/>
      <c r="C836" s="73"/>
      <c r="D836" s="73"/>
      <c r="E836" s="73"/>
    </row>
    <row r="837" ht="15.75" customHeight="1">
      <c r="A837" s="73"/>
      <c r="B837" s="73"/>
      <c r="C837" s="73"/>
      <c r="D837" s="73"/>
      <c r="E837" s="73"/>
    </row>
    <row r="838" ht="15.75" customHeight="1">
      <c r="A838" s="73"/>
      <c r="B838" s="73"/>
      <c r="C838" s="73"/>
      <c r="D838" s="73"/>
      <c r="E838" s="73"/>
    </row>
    <row r="839" ht="15.75" customHeight="1">
      <c r="A839" s="73"/>
      <c r="B839" s="73"/>
      <c r="C839" s="73"/>
      <c r="D839" s="73"/>
      <c r="E839" s="73"/>
    </row>
    <row r="840" ht="15.75" customHeight="1">
      <c r="A840" s="73"/>
      <c r="B840" s="73"/>
      <c r="C840" s="73"/>
      <c r="D840" s="73"/>
      <c r="E840" s="73"/>
    </row>
    <row r="841" ht="15.75" customHeight="1">
      <c r="A841" s="73"/>
      <c r="B841" s="73"/>
      <c r="C841" s="73"/>
      <c r="D841" s="73"/>
      <c r="E841" s="73"/>
    </row>
    <row r="842" ht="15.75" customHeight="1">
      <c r="A842" s="73"/>
      <c r="B842" s="73"/>
      <c r="C842" s="73"/>
      <c r="D842" s="73"/>
      <c r="E842" s="73"/>
    </row>
    <row r="843" ht="15.75" customHeight="1">
      <c r="A843" s="73"/>
      <c r="B843" s="73"/>
      <c r="C843" s="73"/>
      <c r="D843" s="73"/>
      <c r="E843" s="73"/>
    </row>
    <row r="844" ht="15.75" customHeight="1">
      <c r="A844" s="73"/>
      <c r="B844" s="73"/>
      <c r="C844" s="73"/>
      <c r="D844" s="73"/>
      <c r="E844" s="73"/>
    </row>
    <row r="845" ht="15.75" customHeight="1">
      <c r="A845" s="73"/>
      <c r="B845" s="73"/>
      <c r="C845" s="73"/>
      <c r="D845" s="73"/>
      <c r="E845" s="73"/>
    </row>
    <row r="846" ht="15.75" customHeight="1">
      <c r="A846" s="73"/>
      <c r="B846" s="73"/>
      <c r="C846" s="73"/>
      <c r="D846" s="73"/>
      <c r="E846" s="73"/>
    </row>
    <row r="847" ht="15.75" customHeight="1">
      <c r="A847" s="73"/>
      <c r="B847" s="73"/>
      <c r="C847" s="73"/>
      <c r="D847" s="73"/>
      <c r="E847" s="73"/>
    </row>
    <row r="848" ht="15.75" customHeight="1">
      <c r="A848" s="73"/>
      <c r="B848" s="73"/>
      <c r="C848" s="73"/>
      <c r="D848" s="73"/>
      <c r="E848" s="73"/>
    </row>
    <row r="849" ht="15.75" customHeight="1">
      <c r="A849" s="73"/>
      <c r="B849" s="73"/>
      <c r="C849" s="73"/>
      <c r="D849" s="73"/>
      <c r="E849" s="73"/>
    </row>
    <row r="850" ht="15.75" customHeight="1">
      <c r="A850" s="73"/>
      <c r="B850" s="73"/>
      <c r="C850" s="73"/>
      <c r="D850" s="73"/>
      <c r="E850" s="73"/>
    </row>
    <row r="851" ht="15.75" customHeight="1">
      <c r="A851" s="73"/>
      <c r="B851" s="73"/>
      <c r="C851" s="73"/>
      <c r="D851" s="73"/>
      <c r="E851" s="73"/>
    </row>
    <row r="852" ht="15.75" customHeight="1">
      <c r="A852" s="73"/>
      <c r="B852" s="73"/>
      <c r="C852" s="73"/>
      <c r="D852" s="73"/>
      <c r="E852" s="73"/>
    </row>
    <row r="853" ht="15.75" customHeight="1">
      <c r="A853" s="73"/>
      <c r="B853" s="73"/>
      <c r="C853" s="73"/>
      <c r="D853" s="73"/>
      <c r="E853" s="73"/>
    </row>
    <row r="854" ht="15.75" customHeight="1">
      <c r="A854" s="73"/>
      <c r="B854" s="73"/>
      <c r="C854" s="73"/>
      <c r="D854" s="73"/>
      <c r="E854" s="73"/>
    </row>
    <row r="855" ht="15.75" customHeight="1">
      <c r="A855" s="73"/>
      <c r="B855" s="73"/>
      <c r="C855" s="73"/>
      <c r="D855" s="73"/>
      <c r="E855" s="73"/>
    </row>
    <row r="856" ht="15.75" customHeight="1">
      <c r="A856" s="73"/>
      <c r="B856" s="73"/>
      <c r="C856" s="73"/>
      <c r="D856" s="73"/>
      <c r="E856" s="73"/>
    </row>
    <row r="857" ht="15.75" customHeight="1">
      <c r="A857" s="73"/>
      <c r="B857" s="73"/>
      <c r="C857" s="73"/>
      <c r="D857" s="73"/>
      <c r="E857" s="73"/>
    </row>
    <row r="858" ht="15.75" customHeight="1">
      <c r="A858" s="73"/>
      <c r="B858" s="73"/>
      <c r="C858" s="73"/>
      <c r="D858" s="73"/>
      <c r="E858" s="73"/>
    </row>
    <row r="859" ht="15.75" customHeight="1">
      <c r="A859" s="73"/>
      <c r="B859" s="73"/>
      <c r="C859" s="73"/>
      <c r="D859" s="73"/>
      <c r="E859" s="73"/>
    </row>
    <row r="860" ht="15.75" customHeight="1">
      <c r="A860" s="73"/>
      <c r="B860" s="73"/>
      <c r="C860" s="73"/>
      <c r="D860" s="73"/>
      <c r="E860" s="73"/>
    </row>
    <row r="861" ht="15.75" customHeight="1">
      <c r="A861" s="73"/>
      <c r="B861" s="73"/>
      <c r="C861" s="73"/>
      <c r="D861" s="73"/>
      <c r="E861" s="73"/>
    </row>
    <row r="862" ht="15.75" customHeight="1">
      <c r="A862" s="73"/>
      <c r="B862" s="73"/>
      <c r="C862" s="73"/>
      <c r="D862" s="73"/>
      <c r="E862" s="73"/>
    </row>
    <row r="863" ht="15.75" customHeight="1">
      <c r="A863" s="73"/>
      <c r="B863" s="73"/>
      <c r="C863" s="73"/>
      <c r="D863" s="73"/>
      <c r="E863" s="73"/>
    </row>
    <row r="864" ht="15.75" customHeight="1">
      <c r="A864" s="73"/>
      <c r="B864" s="73"/>
      <c r="C864" s="73"/>
      <c r="D864" s="73"/>
      <c r="E864" s="73"/>
    </row>
    <row r="865" ht="15.75" customHeight="1">
      <c r="A865" s="73"/>
      <c r="B865" s="73"/>
      <c r="C865" s="73"/>
      <c r="D865" s="73"/>
      <c r="E865" s="73"/>
    </row>
    <row r="866" ht="15.75" customHeight="1">
      <c r="A866" s="73"/>
      <c r="B866" s="73"/>
      <c r="C866" s="73"/>
      <c r="D866" s="73"/>
      <c r="E866" s="73"/>
    </row>
    <row r="867" ht="15.75" customHeight="1">
      <c r="A867" s="73"/>
      <c r="B867" s="73"/>
      <c r="C867" s="73"/>
      <c r="D867" s="73"/>
      <c r="E867" s="73"/>
    </row>
    <row r="868" ht="15.75" customHeight="1">
      <c r="A868" s="73"/>
      <c r="B868" s="73"/>
      <c r="C868" s="73"/>
      <c r="D868" s="73"/>
      <c r="E868" s="73"/>
    </row>
    <row r="869" ht="15.75" customHeight="1">
      <c r="A869" s="73"/>
      <c r="B869" s="73"/>
      <c r="C869" s="73"/>
      <c r="D869" s="73"/>
      <c r="E869" s="73"/>
    </row>
    <row r="870" ht="15.75" customHeight="1">
      <c r="A870" s="73"/>
      <c r="B870" s="73"/>
      <c r="C870" s="73"/>
      <c r="D870" s="73"/>
      <c r="E870" s="73"/>
    </row>
    <row r="871" ht="15.75" customHeight="1">
      <c r="A871" s="73"/>
      <c r="B871" s="73"/>
      <c r="C871" s="73"/>
      <c r="D871" s="73"/>
      <c r="E871" s="73"/>
    </row>
    <row r="872" ht="15.75" customHeight="1">
      <c r="A872" s="73"/>
      <c r="B872" s="73"/>
      <c r="C872" s="73"/>
      <c r="D872" s="73"/>
      <c r="E872" s="73"/>
    </row>
    <row r="873" ht="15.75" customHeight="1">
      <c r="A873" s="73"/>
      <c r="B873" s="73"/>
      <c r="C873" s="73"/>
      <c r="D873" s="73"/>
      <c r="E873" s="73"/>
    </row>
    <row r="874" ht="15.75" customHeight="1">
      <c r="A874" s="73"/>
      <c r="B874" s="73"/>
      <c r="C874" s="73"/>
      <c r="D874" s="73"/>
      <c r="E874" s="73"/>
    </row>
    <row r="875" ht="15.75" customHeight="1">
      <c r="A875" s="73"/>
      <c r="B875" s="73"/>
      <c r="C875" s="73"/>
      <c r="D875" s="73"/>
      <c r="E875" s="73"/>
    </row>
    <row r="876" ht="15.75" customHeight="1">
      <c r="A876" s="73"/>
      <c r="B876" s="73"/>
      <c r="C876" s="73"/>
      <c r="D876" s="73"/>
      <c r="E876" s="73"/>
    </row>
    <row r="877" ht="15.75" customHeight="1">
      <c r="A877" s="73"/>
      <c r="B877" s="73"/>
      <c r="C877" s="73"/>
      <c r="D877" s="73"/>
      <c r="E877" s="73"/>
    </row>
    <row r="878" ht="15.75" customHeight="1">
      <c r="A878" s="73"/>
      <c r="B878" s="73"/>
      <c r="C878" s="73"/>
      <c r="D878" s="73"/>
      <c r="E878" s="73"/>
    </row>
    <row r="879" ht="15.75" customHeight="1">
      <c r="A879" s="73"/>
      <c r="B879" s="73"/>
      <c r="C879" s="73"/>
      <c r="D879" s="73"/>
      <c r="E879" s="73"/>
    </row>
    <row r="880" ht="15.75" customHeight="1">
      <c r="A880" s="73"/>
      <c r="B880" s="73"/>
      <c r="C880" s="73"/>
      <c r="D880" s="73"/>
      <c r="E880" s="73"/>
    </row>
    <row r="881" ht="15.75" customHeight="1">
      <c r="A881" s="73"/>
      <c r="B881" s="73"/>
      <c r="C881" s="73"/>
      <c r="D881" s="73"/>
      <c r="E881" s="73"/>
    </row>
    <row r="882" ht="15.75" customHeight="1">
      <c r="A882" s="73"/>
      <c r="B882" s="73"/>
      <c r="C882" s="73"/>
      <c r="D882" s="73"/>
      <c r="E882" s="73"/>
    </row>
    <row r="883" ht="15.75" customHeight="1">
      <c r="A883" s="73"/>
      <c r="B883" s="73"/>
      <c r="C883" s="73"/>
      <c r="D883" s="73"/>
      <c r="E883" s="73"/>
    </row>
    <row r="884" ht="15.75" customHeight="1">
      <c r="A884" s="73"/>
      <c r="B884" s="73"/>
      <c r="C884" s="73"/>
      <c r="D884" s="73"/>
      <c r="E884" s="73"/>
    </row>
    <row r="885" ht="15.75" customHeight="1">
      <c r="A885" s="73"/>
      <c r="B885" s="73"/>
      <c r="C885" s="73"/>
      <c r="D885" s="73"/>
      <c r="E885" s="73"/>
    </row>
    <row r="886" ht="15.75" customHeight="1">
      <c r="A886" s="73"/>
      <c r="B886" s="73"/>
      <c r="C886" s="73"/>
      <c r="D886" s="73"/>
      <c r="E886" s="73"/>
    </row>
    <row r="887" ht="15.75" customHeight="1">
      <c r="A887" s="73"/>
      <c r="B887" s="73"/>
      <c r="C887" s="73"/>
      <c r="D887" s="73"/>
      <c r="E887" s="73"/>
    </row>
    <row r="888" ht="15.75" customHeight="1">
      <c r="A888" s="73"/>
      <c r="B888" s="73"/>
      <c r="C888" s="73"/>
      <c r="D888" s="73"/>
      <c r="E888" s="73"/>
    </row>
    <row r="889" ht="15.75" customHeight="1">
      <c r="A889" s="73"/>
      <c r="B889" s="73"/>
      <c r="C889" s="73"/>
      <c r="D889" s="73"/>
      <c r="E889" s="73"/>
    </row>
    <row r="890" ht="15.75" customHeight="1">
      <c r="A890" s="73"/>
      <c r="B890" s="73"/>
      <c r="C890" s="73"/>
      <c r="D890" s="73"/>
      <c r="E890" s="73"/>
    </row>
    <row r="891" ht="15.75" customHeight="1">
      <c r="A891" s="73"/>
      <c r="B891" s="73"/>
      <c r="C891" s="73"/>
      <c r="D891" s="73"/>
      <c r="E891" s="73"/>
    </row>
    <row r="892" ht="15.75" customHeight="1">
      <c r="A892" s="73"/>
      <c r="B892" s="73"/>
      <c r="C892" s="73"/>
      <c r="D892" s="73"/>
      <c r="E892" s="73"/>
    </row>
    <row r="893" ht="15.75" customHeight="1">
      <c r="A893" s="73"/>
      <c r="B893" s="73"/>
      <c r="C893" s="73"/>
      <c r="D893" s="73"/>
      <c r="E893" s="73"/>
    </row>
    <row r="894" ht="15.75" customHeight="1">
      <c r="A894" s="73"/>
      <c r="B894" s="73"/>
      <c r="C894" s="73"/>
      <c r="D894" s="73"/>
      <c r="E894" s="73"/>
    </row>
    <row r="895" ht="15.75" customHeight="1">
      <c r="A895" s="73"/>
      <c r="B895" s="73"/>
      <c r="C895" s="73"/>
      <c r="D895" s="73"/>
      <c r="E895" s="73"/>
    </row>
    <row r="896" ht="15.75" customHeight="1">
      <c r="A896" s="73"/>
      <c r="B896" s="73"/>
      <c r="C896" s="73"/>
      <c r="D896" s="73"/>
      <c r="E896" s="73"/>
    </row>
    <row r="897" ht="15.75" customHeight="1">
      <c r="A897" s="73"/>
      <c r="B897" s="73"/>
      <c r="C897" s="73"/>
      <c r="D897" s="73"/>
      <c r="E897" s="73"/>
    </row>
    <row r="898" ht="15.75" customHeight="1">
      <c r="A898" s="73"/>
      <c r="B898" s="73"/>
      <c r="C898" s="73"/>
      <c r="D898" s="73"/>
      <c r="E898" s="73"/>
    </row>
    <row r="899" ht="15.75" customHeight="1">
      <c r="A899" s="73"/>
      <c r="B899" s="73"/>
      <c r="C899" s="73"/>
      <c r="D899" s="73"/>
      <c r="E899" s="73"/>
    </row>
    <row r="900" ht="15.75" customHeight="1">
      <c r="A900" s="73"/>
      <c r="B900" s="73"/>
      <c r="C900" s="73"/>
      <c r="D900" s="73"/>
      <c r="E900" s="73"/>
    </row>
    <row r="901" ht="15.75" customHeight="1">
      <c r="A901" s="73"/>
      <c r="B901" s="73"/>
      <c r="C901" s="73"/>
      <c r="D901" s="73"/>
      <c r="E901" s="73"/>
    </row>
    <row r="902" ht="15.75" customHeight="1">
      <c r="A902" s="73"/>
      <c r="B902" s="73"/>
      <c r="C902" s="73"/>
      <c r="D902" s="73"/>
      <c r="E902" s="73"/>
    </row>
    <row r="903" ht="15.75" customHeight="1">
      <c r="A903" s="73"/>
      <c r="B903" s="73"/>
      <c r="C903" s="73"/>
      <c r="D903" s="73"/>
      <c r="E903" s="73"/>
    </row>
    <row r="904" ht="15.75" customHeight="1">
      <c r="A904" s="73"/>
      <c r="B904" s="73"/>
      <c r="C904" s="73"/>
      <c r="D904" s="73"/>
      <c r="E904" s="73"/>
    </row>
    <row r="905" ht="15.75" customHeight="1">
      <c r="A905" s="73"/>
      <c r="B905" s="73"/>
      <c r="C905" s="73"/>
      <c r="D905" s="73"/>
      <c r="E905" s="73"/>
    </row>
    <row r="906" ht="15.75" customHeight="1">
      <c r="A906" s="73"/>
      <c r="B906" s="73"/>
      <c r="C906" s="73"/>
      <c r="D906" s="73"/>
      <c r="E906" s="73"/>
    </row>
    <row r="907" ht="15.75" customHeight="1">
      <c r="A907" s="73"/>
      <c r="B907" s="73"/>
      <c r="C907" s="73"/>
      <c r="D907" s="73"/>
      <c r="E907" s="73"/>
    </row>
    <row r="908" ht="15.75" customHeight="1">
      <c r="A908" s="73"/>
      <c r="B908" s="73"/>
      <c r="C908" s="73"/>
      <c r="D908" s="73"/>
      <c r="E908" s="73"/>
    </row>
    <row r="909" ht="15.75" customHeight="1">
      <c r="A909" s="73"/>
      <c r="B909" s="73"/>
      <c r="C909" s="73"/>
      <c r="D909" s="73"/>
      <c r="E909" s="73"/>
    </row>
    <row r="910" ht="15.75" customHeight="1">
      <c r="A910" s="73"/>
      <c r="B910" s="73"/>
      <c r="C910" s="73"/>
      <c r="D910" s="73"/>
      <c r="E910" s="73"/>
    </row>
    <row r="911" ht="15.75" customHeight="1">
      <c r="A911" s="73"/>
      <c r="B911" s="73"/>
      <c r="C911" s="73"/>
      <c r="D911" s="73"/>
      <c r="E911" s="73"/>
    </row>
    <row r="912" ht="15.75" customHeight="1">
      <c r="A912" s="73"/>
      <c r="B912" s="73"/>
      <c r="C912" s="73"/>
      <c r="D912" s="73"/>
      <c r="E912" s="73"/>
    </row>
    <row r="913" ht="15.75" customHeight="1">
      <c r="A913" s="73"/>
      <c r="B913" s="73"/>
      <c r="C913" s="73"/>
      <c r="D913" s="73"/>
      <c r="E913" s="73"/>
    </row>
    <row r="914" ht="15.75" customHeight="1">
      <c r="A914" s="73"/>
      <c r="B914" s="73"/>
      <c r="C914" s="73"/>
      <c r="D914" s="73"/>
      <c r="E914" s="73"/>
    </row>
    <row r="915" ht="15.75" customHeight="1">
      <c r="A915" s="73"/>
      <c r="B915" s="73"/>
      <c r="C915" s="73"/>
      <c r="D915" s="73"/>
      <c r="E915" s="73"/>
    </row>
    <row r="916" ht="15.75" customHeight="1">
      <c r="A916" s="73"/>
      <c r="B916" s="73"/>
      <c r="C916" s="73"/>
      <c r="D916" s="73"/>
      <c r="E916" s="73"/>
    </row>
    <row r="917" ht="15.75" customHeight="1">
      <c r="A917" s="73"/>
      <c r="B917" s="73"/>
      <c r="C917" s="73"/>
      <c r="D917" s="73"/>
      <c r="E917" s="73"/>
    </row>
    <row r="918" ht="15.75" customHeight="1">
      <c r="A918" s="73"/>
      <c r="B918" s="73"/>
      <c r="C918" s="73"/>
      <c r="D918" s="73"/>
      <c r="E918" s="73"/>
    </row>
    <row r="919" ht="15.75" customHeight="1">
      <c r="A919" s="73"/>
      <c r="B919" s="73"/>
      <c r="C919" s="73"/>
      <c r="D919" s="73"/>
      <c r="E919" s="73"/>
    </row>
    <row r="920" ht="15.75" customHeight="1">
      <c r="A920" s="73"/>
      <c r="B920" s="73"/>
      <c r="C920" s="73"/>
      <c r="D920" s="73"/>
      <c r="E920" s="73"/>
    </row>
    <row r="921" ht="15.75" customHeight="1">
      <c r="A921" s="73"/>
      <c r="B921" s="73"/>
      <c r="C921" s="73"/>
      <c r="D921" s="73"/>
      <c r="E921" s="73"/>
    </row>
    <row r="922" ht="15.75" customHeight="1">
      <c r="A922" s="73"/>
      <c r="B922" s="73"/>
      <c r="C922" s="73"/>
      <c r="D922" s="73"/>
      <c r="E922" s="73"/>
    </row>
    <row r="923" ht="15.75" customHeight="1">
      <c r="A923" s="73"/>
      <c r="B923" s="73"/>
      <c r="C923" s="73"/>
      <c r="D923" s="73"/>
      <c r="E923" s="73"/>
    </row>
    <row r="924" ht="15.75" customHeight="1">
      <c r="A924" s="73"/>
      <c r="B924" s="73"/>
      <c r="C924" s="73"/>
      <c r="D924" s="73"/>
      <c r="E924" s="73"/>
    </row>
    <row r="925" ht="15.75" customHeight="1">
      <c r="A925" s="73"/>
      <c r="B925" s="73"/>
      <c r="C925" s="73"/>
      <c r="D925" s="73"/>
      <c r="E925" s="73"/>
    </row>
    <row r="926" ht="15.75" customHeight="1">
      <c r="A926" s="73"/>
      <c r="B926" s="73"/>
      <c r="C926" s="73"/>
      <c r="D926" s="73"/>
      <c r="E926" s="73"/>
    </row>
    <row r="927" ht="15.75" customHeight="1">
      <c r="A927" s="73"/>
      <c r="B927" s="73"/>
      <c r="C927" s="73"/>
      <c r="D927" s="73"/>
      <c r="E927" s="73"/>
    </row>
    <row r="928" ht="15.75" customHeight="1">
      <c r="A928" s="73"/>
      <c r="B928" s="73"/>
      <c r="C928" s="73"/>
      <c r="D928" s="73"/>
      <c r="E928" s="73"/>
    </row>
    <row r="929" ht="15.75" customHeight="1">
      <c r="A929" s="73"/>
      <c r="B929" s="73"/>
      <c r="C929" s="73"/>
      <c r="D929" s="73"/>
      <c r="E929" s="73"/>
    </row>
    <row r="930" ht="15.75" customHeight="1">
      <c r="A930" s="73"/>
      <c r="B930" s="73"/>
      <c r="C930" s="73"/>
      <c r="D930" s="73"/>
      <c r="E930" s="73"/>
    </row>
    <row r="931" ht="15.75" customHeight="1">
      <c r="A931" s="73"/>
      <c r="B931" s="73"/>
      <c r="C931" s="73"/>
      <c r="D931" s="73"/>
      <c r="E931" s="73"/>
    </row>
    <row r="932" ht="15.75" customHeight="1">
      <c r="A932" s="73"/>
      <c r="B932" s="73"/>
      <c r="C932" s="73"/>
      <c r="D932" s="73"/>
      <c r="E932" s="73"/>
    </row>
    <row r="933" ht="15.75" customHeight="1">
      <c r="A933" s="73"/>
      <c r="B933" s="73"/>
      <c r="C933" s="73"/>
      <c r="D933" s="73"/>
      <c r="E933" s="73"/>
    </row>
    <row r="934" ht="15.75" customHeight="1">
      <c r="A934" s="73"/>
      <c r="B934" s="73"/>
      <c r="C934" s="73"/>
      <c r="D934" s="73"/>
      <c r="E934" s="73"/>
    </row>
    <row r="935" ht="15.75" customHeight="1">
      <c r="A935" s="73"/>
      <c r="B935" s="73"/>
      <c r="C935" s="73"/>
      <c r="D935" s="73"/>
      <c r="E935" s="73"/>
    </row>
    <row r="936" ht="15.75" customHeight="1">
      <c r="A936" s="73"/>
      <c r="B936" s="73"/>
      <c r="C936" s="73"/>
      <c r="D936" s="73"/>
      <c r="E936" s="73"/>
    </row>
    <row r="937" ht="15.75" customHeight="1">
      <c r="A937" s="73"/>
      <c r="B937" s="73"/>
      <c r="C937" s="73"/>
      <c r="D937" s="73"/>
      <c r="E937" s="73"/>
    </row>
    <row r="938" ht="15.75" customHeight="1">
      <c r="A938" s="73"/>
      <c r="B938" s="73"/>
      <c r="C938" s="73"/>
      <c r="D938" s="73"/>
      <c r="E938" s="73"/>
    </row>
    <row r="939" ht="15.75" customHeight="1">
      <c r="A939" s="73"/>
      <c r="B939" s="73"/>
      <c r="C939" s="73"/>
      <c r="D939" s="73"/>
      <c r="E939" s="73"/>
    </row>
    <row r="940" ht="15.75" customHeight="1">
      <c r="A940" s="73"/>
      <c r="B940" s="73"/>
      <c r="C940" s="73"/>
      <c r="D940" s="73"/>
      <c r="E940" s="73"/>
    </row>
    <row r="941" ht="15.75" customHeight="1">
      <c r="A941" s="73"/>
      <c r="B941" s="73"/>
      <c r="C941" s="73"/>
      <c r="D941" s="73"/>
      <c r="E941" s="73"/>
    </row>
    <row r="942" ht="15.75" customHeight="1">
      <c r="A942" s="73"/>
      <c r="B942" s="73"/>
      <c r="C942" s="73"/>
      <c r="D942" s="73"/>
      <c r="E942" s="73"/>
    </row>
    <row r="943" ht="15.75" customHeight="1">
      <c r="A943" s="73"/>
      <c r="B943" s="73"/>
      <c r="C943" s="73"/>
      <c r="D943" s="73"/>
      <c r="E943" s="73"/>
    </row>
    <row r="944" ht="15.75" customHeight="1">
      <c r="A944" s="73"/>
      <c r="B944" s="73"/>
      <c r="C944" s="73"/>
      <c r="D944" s="73"/>
      <c r="E944" s="73"/>
    </row>
    <row r="945" ht="15.75" customHeight="1">
      <c r="A945" s="73"/>
      <c r="B945" s="73"/>
      <c r="C945" s="73"/>
      <c r="D945" s="73"/>
      <c r="E945" s="73"/>
    </row>
    <row r="946" ht="15.75" customHeight="1">
      <c r="A946" s="73"/>
      <c r="B946" s="73"/>
      <c r="C946" s="73"/>
      <c r="D946" s="73"/>
      <c r="E946" s="73"/>
    </row>
    <row r="947" ht="15.75" customHeight="1">
      <c r="A947" s="73"/>
      <c r="B947" s="73"/>
      <c r="C947" s="73"/>
      <c r="D947" s="73"/>
      <c r="E947" s="73"/>
    </row>
    <row r="948" ht="15.75" customHeight="1">
      <c r="A948" s="73"/>
      <c r="B948" s="73"/>
      <c r="C948" s="73"/>
      <c r="D948" s="73"/>
      <c r="E948" s="73"/>
    </row>
    <row r="949" ht="15.75" customHeight="1">
      <c r="A949" s="73"/>
      <c r="B949" s="73"/>
      <c r="C949" s="73"/>
      <c r="D949" s="73"/>
      <c r="E949" s="73"/>
    </row>
    <row r="950" ht="15.75" customHeight="1">
      <c r="A950" s="73"/>
      <c r="B950" s="73"/>
      <c r="C950" s="73"/>
      <c r="D950" s="73"/>
      <c r="E950" s="73"/>
    </row>
    <row r="951" ht="15.75" customHeight="1">
      <c r="A951" s="73"/>
      <c r="B951" s="73"/>
      <c r="C951" s="73"/>
      <c r="D951" s="73"/>
      <c r="E951" s="73"/>
    </row>
    <row r="952" ht="15.75" customHeight="1">
      <c r="A952" s="73"/>
      <c r="B952" s="73"/>
      <c r="C952" s="73"/>
      <c r="D952" s="73"/>
      <c r="E952" s="73"/>
    </row>
    <row r="953" ht="15.75" customHeight="1">
      <c r="A953" s="73"/>
      <c r="B953" s="73"/>
      <c r="C953" s="73"/>
      <c r="D953" s="73"/>
      <c r="E953" s="73"/>
    </row>
    <row r="954" ht="15.75" customHeight="1">
      <c r="A954" s="73"/>
      <c r="B954" s="73"/>
      <c r="C954" s="73"/>
      <c r="D954" s="73"/>
      <c r="E954" s="73"/>
    </row>
    <row r="955" ht="15.75" customHeight="1">
      <c r="A955" s="73"/>
      <c r="B955" s="73"/>
      <c r="C955" s="73"/>
      <c r="D955" s="73"/>
      <c r="E955" s="73"/>
    </row>
    <row r="956" ht="15.75" customHeight="1">
      <c r="A956" s="73"/>
      <c r="B956" s="73"/>
      <c r="C956" s="73"/>
      <c r="D956" s="73"/>
      <c r="E956" s="73"/>
    </row>
    <row r="957" ht="15.75" customHeight="1">
      <c r="A957" s="73"/>
      <c r="B957" s="73"/>
      <c r="C957" s="73"/>
      <c r="D957" s="73"/>
      <c r="E957" s="73"/>
    </row>
    <row r="958" ht="15.75" customHeight="1">
      <c r="A958" s="73"/>
      <c r="B958" s="73"/>
      <c r="C958" s="73"/>
      <c r="D958" s="73"/>
      <c r="E958" s="73"/>
    </row>
    <row r="959" ht="15.75" customHeight="1">
      <c r="A959" s="73"/>
      <c r="B959" s="73"/>
      <c r="C959" s="73"/>
      <c r="D959" s="73"/>
      <c r="E959" s="73"/>
    </row>
    <row r="960" ht="15.75" customHeight="1">
      <c r="A960" s="73"/>
      <c r="B960" s="73"/>
      <c r="C960" s="73"/>
      <c r="D960" s="73"/>
      <c r="E960" s="73"/>
    </row>
    <row r="961" ht="15.75" customHeight="1">
      <c r="A961" s="73"/>
      <c r="B961" s="73"/>
      <c r="C961" s="73"/>
      <c r="D961" s="73"/>
      <c r="E961" s="73"/>
    </row>
    <row r="962" ht="15.75" customHeight="1">
      <c r="A962" s="73"/>
      <c r="B962" s="73"/>
      <c r="C962" s="73"/>
      <c r="D962" s="73"/>
      <c r="E962" s="73"/>
    </row>
    <row r="963" ht="15.75" customHeight="1">
      <c r="A963" s="73"/>
      <c r="B963" s="73"/>
      <c r="C963" s="73"/>
      <c r="D963" s="73"/>
      <c r="E963" s="73"/>
    </row>
    <row r="964" ht="15.75" customHeight="1">
      <c r="A964" s="73"/>
      <c r="B964" s="73"/>
      <c r="C964" s="73"/>
      <c r="D964" s="73"/>
      <c r="E964" s="73"/>
    </row>
    <row r="965" ht="15.75" customHeight="1">
      <c r="A965" s="73"/>
      <c r="B965" s="73"/>
      <c r="C965" s="73"/>
      <c r="D965" s="73"/>
      <c r="E965" s="73"/>
    </row>
    <row r="966" ht="15.75" customHeight="1">
      <c r="A966" s="73"/>
      <c r="B966" s="73"/>
      <c r="C966" s="73"/>
      <c r="D966" s="73"/>
      <c r="E966" s="73"/>
    </row>
    <row r="967" ht="15.75" customHeight="1">
      <c r="A967" s="73"/>
      <c r="B967" s="73"/>
      <c r="C967" s="73"/>
      <c r="D967" s="73"/>
      <c r="E967" s="73"/>
    </row>
    <row r="968" ht="15.75" customHeight="1">
      <c r="A968" s="73"/>
      <c r="B968" s="73"/>
      <c r="C968" s="73"/>
      <c r="D968" s="73"/>
      <c r="E968" s="73"/>
    </row>
    <row r="969" ht="15.75" customHeight="1">
      <c r="A969" s="73"/>
      <c r="B969" s="73"/>
      <c r="C969" s="73"/>
      <c r="D969" s="73"/>
      <c r="E969" s="73"/>
    </row>
    <row r="970" ht="15.75" customHeight="1">
      <c r="A970" s="73"/>
      <c r="B970" s="73"/>
      <c r="C970" s="73"/>
      <c r="D970" s="73"/>
      <c r="E970" s="73"/>
    </row>
    <row r="971" ht="15.75" customHeight="1">
      <c r="A971" s="73"/>
      <c r="B971" s="73"/>
      <c r="C971" s="73"/>
      <c r="D971" s="73"/>
      <c r="E971" s="73"/>
    </row>
    <row r="972" ht="15.75" customHeight="1">
      <c r="A972" s="73"/>
      <c r="B972" s="73"/>
      <c r="C972" s="73"/>
      <c r="D972" s="73"/>
      <c r="E972" s="73"/>
    </row>
    <row r="973" ht="15.75" customHeight="1">
      <c r="A973" s="73"/>
      <c r="B973" s="73"/>
      <c r="C973" s="73"/>
      <c r="D973" s="73"/>
      <c r="E973" s="73"/>
    </row>
    <row r="974" ht="15.75" customHeight="1">
      <c r="A974" s="73"/>
      <c r="B974" s="73"/>
      <c r="C974" s="73"/>
      <c r="D974" s="73"/>
      <c r="E974" s="73"/>
    </row>
    <row r="975" ht="15.75" customHeight="1">
      <c r="A975" s="73"/>
      <c r="B975" s="73"/>
      <c r="C975" s="73"/>
      <c r="D975" s="73"/>
      <c r="E975" s="73"/>
    </row>
    <row r="976" ht="15.75" customHeight="1">
      <c r="A976" s="73"/>
      <c r="B976" s="73"/>
      <c r="C976" s="73"/>
      <c r="D976" s="73"/>
      <c r="E976" s="73"/>
    </row>
    <row r="977" ht="15.75" customHeight="1">
      <c r="A977" s="73"/>
      <c r="B977" s="73"/>
      <c r="C977" s="73"/>
      <c r="D977" s="73"/>
      <c r="E977" s="73"/>
    </row>
    <row r="978" ht="15.75" customHeight="1">
      <c r="A978" s="73"/>
      <c r="B978" s="73"/>
      <c r="C978" s="73"/>
      <c r="D978" s="73"/>
      <c r="E978" s="73"/>
    </row>
    <row r="979" ht="15.75" customHeight="1">
      <c r="A979" s="73"/>
      <c r="B979" s="73"/>
      <c r="C979" s="73"/>
      <c r="D979" s="73"/>
      <c r="E979" s="73"/>
    </row>
    <row r="980" ht="15.75" customHeight="1">
      <c r="A980" s="73"/>
      <c r="B980" s="73"/>
      <c r="C980" s="73"/>
      <c r="D980" s="73"/>
      <c r="E980" s="73"/>
    </row>
    <row r="981" ht="15.75" customHeight="1">
      <c r="A981" s="73"/>
      <c r="B981" s="73"/>
      <c r="C981" s="73"/>
      <c r="D981" s="73"/>
      <c r="E981" s="73"/>
    </row>
    <row r="982" ht="15.75" customHeight="1">
      <c r="A982" s="73"/>
      <c r="B982" s="73"/>
      <c r="C982" s="73"/>
      <c r="D982" s="73"/>
      <c r="E982" s="73"/>
    </row>
    <row r="983" ht="15.75" customHeight="1">
      <c r="A983" s="73"/>
      <c r="B983" s="73"/>
      <c r="C983" s="73"/>
      <c r="D983" s="73"/>
      <c r="E983" s="73"/>
    </row>
    <row r="984" ht="15.75" customHeight="1">
      <c r="A984" s="73"/>
      <c r="B984" s="73"/>
      <c r="C984" s="73"/>
      <c r="D984" s="73"/>
      <c r="E984" s="73"/>
    </row>
    <row r="985" ht="15.75" customHeight="1">
      <c r="A985" s="73"/>
      <c r="B985" s="73"/>
      <c r="C985" s="73"/>
      <c r="D985" s="73"/>
      <c r="E985" s="73"/>
    </row>
    <row r="986" ht="15.75" customHeight="1">
      <c r="A986" s="73"/>
      <c r="B986" s="73"/>
      <c r="C986" s="73"/>
      <c r="D986" s="73"/>
      <c r="E986" s="73"/>
    </row>
    <row r="987" ht="15.75" customHeight="1">
      <c r="A987" s="73"/>
      <c r="B987" s="73"/>
      <c r="C987" s="73"/>
      <c r="D987" s="73"/>
      <c r="E987" s="73"/>
    </row>
    <row r="988" ht="15.75" customHeight="1">
      <c r="A988" s="73"/>
      <c r="B988" s="73"/>
      <c r="C988" s="73"/>
      <c r="D988" s="73"/>
      <c r="E988" s="73"/>
    </row>
    <row r="989" ht="15.75" customHeight="1">
      <c r="A989" s="73"/>
      <c r="B989" s="73"/>
      <c r="C989" s="73"/>
      <c r="D989" s="73"/>
      <c r="E989" s="73"/>
    </row>
    <row r="990" ht="15.75" customHeight="1">
      <c r="A990" s="73"/>
      <c r="B990" s="73"/>
      <c r="C990" s="73"/>
      <c r="D990" s="73"/>
      <c r="E990" s="73"/>
    </row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7"/>
    <hyperlink r:id="rId546" ref="E548"/>
    <hyperlink r:id="rId547" ref="E549"/>
    <hyperlink r:id="rId548" ref="E550"/>
    <hyperlink r:id="rId549" ref="E551"/>
  </hyperlinks>
  <drawing r:id="rId550"/>
</worksheet>
</file>