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alculadora\SALTLAB-calculator\data\"/>
    </mc:Choice>
  </mc:AlternateContent>
  <xr:revisionPtr revIDLastSave="0" documentId="8_{1214D45A-FAFE-47CD-8C34-1D323B217A0E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Calculadora" sheetId="1" r:id="rId1"/>
    <sheet name="Listad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RG6pnGMhNiTp2S5y+Lo/OTBQsvfKhQlYBlJunnhX0o="/>
    </ext>
  </extLst>
</workbook>
</file>

<file path=xl/calcChain.xml><?xml version="1.0" encoding="utf-8"?>
<calcChain xmlns="http://schemas.openxmlformats.org/spreadsheetml/2006/main">
  <c r="E551" i="2" l="1"/>
  <c r="D551" i="2"/>
  <c r="C551" i="2"/>
  <c r="B551" i="2"/>
  <c r="A551" i="2"/>
  <c r="E550" i="2"/>
  <c r="D550" i="2"/>
  <c r="C550" i="2"/>
  <c r="B550" i="2"/>
  <c r="A550" i="2"/>
  <c r="E549" i="2"/>
  <c r="D549" i="2"/>
  <c r="C549" i="2"/>
  <c r="B549" i="2"/>
  <c r="A549" i="2"/>
  <c r="E548" i="2"/>
  <c r="D548" i="2"/>
  <c r="C548" i="2"/>
  <c r="B548" i="2"/>
  <c r="A548" i="2"/>
  <c r="E547" i="2"/>
  <c r="D547" i="2"/>
  <c r="C547" i="2"/>
  <c r="B547" i="2"/>
  <c r="A547" i="2"/>
  <c r="E546" i="2"/>
  <c r="D546" i="2"/>
  <c r="C546" i="2"/>
  <c r="B546" i="2"/>
  <c r="A546" i="2"/>
  <c r="E545" i="2"/>
  <c r="D545" i="2"/>
  <c r="C545" i="2"/>
  <c r="B545" i="2"/>
  <c r="A545" i="2"/>
  <c r="E544" i="2"/>
  <c r="D544" i="2"/>
  <c r="C544" i="2"/>
  <c r="B544" i="2"/>
  <c r="A544" i="2"/>
  <c r="E543" i="2"/>
  <c r="D543" i="2"/>
  <c r="C543" i="2"/>
  <c r="B543" i="2"/>
  <c r="A543" i="2"/>
  <c r="E542" i="2"/>
  <c r="D542" i="2"/>
  <c r="C542" i="2"/>
  <c r="B542" i="2"/>
  <c r="A542" i="2"/>
  <c r="E541" i="2"/>
  <c r="D541" i="2"/>
  <c r="C541" i="2"/>
  <c r="B541" i="2"/>
  <c r="A541" i="2"/>
  <c r="E540" i="2"/>
  <c r="D540" i="2"/>
  <c r="C540" i="2"/>
  <c r="B540" i="2"/>
  <c r="A540" i="2"/>
  <c r="E539" i="2"/>
  <c r="D539" i="2"/>
  <c r="C539" i="2"/>
  <c r="B539" i="2"/>
  <c r="A539" i="2"/>
  <c r="E538" i="2"/>
  <c r="D538" i="2"/>
  <c r="C538" i="2"/>
  <c r="B538" i="2"/>
  <c r="A538" i="2"/>
  <c r="E537" i="2"/>
  <c r="D537" i="2"/>
  <c r="C537" i="2"/>
  <c r="B537" i="2"/>
  <c r="A537" i="2"/>
  <c r="E536" i="2"/>
  <c r="D536" i="2"/>
  <c r="C536" i="2"/>
  <c r="B536" i="2"/>
  <c r="A536" i="2"/>
  <c r="E535" i="2"/>
  <c r="D535" i="2"/>
  <c r="C535" i="2"/>
  <c r="B535" i="2"/>
  <c r="A535" i="2"/>
  <c r="E534" i="2"/>
  <c r="D534" i="2"/>
  <c r="C534" i="2"/>
  <c r="B534" i="2"/>
  <c r="A534" i="2"/>
  <c r="E533" i="2"/>
  <c r="D533" i="2"/>
  <c r="C533" i="2"/>
  <c r="B533" i="2"/>
  <c r="A533" i="2"/>
  <c r="E532" i="2"/>
  <c r="D532" i="2"/>
  <c r="C532" i="2"/>
  <c r="B532" i="2"/>
  <c r="A532" i="2"/>
  <c r="E531" i="2"/>
  <c r="D531" i="2"/>
  <c r="C531" i="2"/>
  <c r="B531" i="2"/>
  <c r="A531" i="2"/>
  <c r="E530" i="2"/>
  <c r="D530" i="2"/>
  <c r="C530" i="2"/>
  <c r="B530" i="2"/>
  <c r="A530" i="2"/>
  <c r="E529" i="2"/>
  <c r="D529" i="2"/>
  <c r="C529" i="2"/>
  <c r="B529" i="2"/>
  <c r="A529" i="2"/>
  <c r="E528" i="2"/>
  <c r="D528" i="2"/>
  <c r="C528" i="2"/>
  <c r="B528" i="2"/>
  <c r="A528" i="2"/>
  <c r="E527" i="2"/>
  <c r="D527" i="2"/>
  <c r="C527" i="2"/>
  <c r="B527" i="2"/>
  <c r="A527" i="2"/>
  <c r="E526" i="2"/>
  <c r="D526" i="2"/>
  <c r="C526" i="2"/>
  <c r="B526" i="2"/>
  <c r="A526" i="2"/>
  <c r="E525" i="2"/>
  <c r="D525" i="2"/>
  <c r="C525" i="2"/>
  <c r="B525" i="2"/>
  <c r="A525" i="2"/>
  <c r="E524" i="2"/>
  <c r="D524" i="2"/>
  <c r="C524" i="2"/>
  <c r="B524" i="2"/>
  <c r="A524" i="2"/>
  <c r="E523" i="2"/>
  <c r="D523" i="2"/>
  <c r="C523" i="2"/>
  <c r="B523" i="2"/>
  <c r="A523" i="2"/>
  <c r="E522" i="2"/>
  <c r="D522" i="2"/>
  <c r="C522" i="2"/>
  <c r="B522" i="2"/>
  <c r="A522" i="2"/>
  <c r="E521" i="2"/>
  <c r="D521" i="2"/>
  <c r="C521" i="2"/>
  <c r="B521" i="2"/>
  <c r="A521" i="2"/>
  <c r="E520" i="2"/>
  <c r="D520" i="2"/>
  <c r="C520" i="2"/>
  <c r="B520" i="2"/>
  <c r="A520" i="2"/>
  <c r="E519" i="2"/>
  <c r="D519" i="2"/>
  <c r="C519" i="2"/>
  <c r="B519" i="2"/>
  <c r="A519" i="2"/>
  <c r="E518" i="2"/>
  <c r="D518" i="2"/>
  <c r="C518" i="2"/>
  <c r="B518" i="2"/>
  <c r="A518" i="2"/>
  <c r="E517" i="2"/>
  <c r="D517" i="2"/>
  <c r="C517" i="2"/>
  <c r="B517" i="2"/>
  <c r="A517" i="2"/>
  <c r="E516" i="2"/>
  <c r="D516" i="2"/>
  <c r="C516" i="2"/>
  <c r="B516" i="2"/>
  <c r="A516" i="2"/>
  <c r="E515" i="2"/>
  <c r="D515" i="2"/>
  <c r="C515" i="2"/>
  <c r="B515" i="2"/>
  <c r="A515" i="2"/>
  <c r="E514" i="2"/>
  <c r="D514" i="2"/>
  <c r="C514" i="2"/>
  <c r="B514" i="2"/>
  <c r="A514" i="2"/>
  <c r="E513" i="2"/>
  <c r="D513" i="2"/>
  <c r="C513" i="2"/>
  <c r="B513" i="2"/>
  <c r="A513" i="2"/>
  <c r="E512" i="2"/>
  <c r="D512" i="2"/>
  <c r="C512" i="2"/>
  <c r="B512" i="2"/>
  <c r="A512" i="2"/>
  <c r="E511" i="2"/>
  <c r="D511" i="2"/>
  <c r="C511" i="2"/>
  <c r="B511" i="2"/>
  <c r="A511" i="2"/>
  <c r="E510" i="2"/>
  <c r="D510" i="2"/>
  <c r="C510" i="2"/>
  <c r="B510" i="2"/>
  <c r="A510" i="2"/>
  <c r="E509" i="2"/>
  <c r="D509" i="2"/>
  <c r="C509" i="2"/>
  <c r="B509" i="2"/>
  <c r="A509" i="2"/>
  <c r="E508" i="2"/>
  <c r="D508" i="2"/>
  <c r="C508" i="2"/>
  <c r="B508" i="2"/>
  <c r="A508" i="2"/>
  <c r="E507" i="2"/>
  <c r="D507" i="2"/>
  <c r="C507" i="2"/>
  <c r="B507" i="2"/>
  <c r="A507" i="2"/>
  <c r="E506" i="2"/>
  <c r="D506" i="2"/>
  <c r="C506" i="2"/>
  <c r="B506" i="2"/>
  <c r="A506" i="2"/>
  <c r="E505" i="2"/>
  <c r="D505" i="2"/>
  <c r="C505" i="2"/>
  <c r="B505" i="2"/>
  <c r="A505" i="2"/>
  <c r="E504" i="2"/>
  <c r="D504" i="2"/>
  <c r="C504" i="2"/>
  <c r="B504" i="2"/>
  <c r="A504" i="2"/>
  <c r="E503" i="2"/>
  <c r="D503" i="2"/>
  <c r="C503" i="2"/>
  <c r="B503" i="2"/>
  <c r="A503" i="2"/>
  <c r="E502" i="2"/>
  <c r="D502" i="2"/>
  <c r="C502" i="2"/>
  <c r="B502" i="2"/>
  <c r="A502" i="2"/>
  <c r="E501" i="2"/>
  <c r="D501" i="2"/>
  <c r="C501" i="2"/>
  <c r="B501" i="2"/>
  <c r="A501" i="2"/>
  <c r="E500" i="2"/>
  <c r="D500" i="2"/>
  <c r="C500" i="2"/>
  <c r="B500" i="2"/>
  <c r="A500" i="2"/>
  <c r="E499" i="2"/>
  <c r="D499" i="2"/>
  <c r="C499" i="2"/>
  <c r="B499" i="2"/>
  <c r="A499" i="2"/>
  <c r="E498" i="2"/>
  <c r="D498" i="2"/>
  <c r="C498" i="2"/>
  <c r="B498" i="2"/>
  <c r="A498" i="2"/>
  <c r="E497" i="2"/>
  <c r="D497" i="2"/>
  <c r="C497" i="2"/>
  <c r="B497" i="2"/>
  <c r="A497" i="2"/>
  <c r="E496" i="2"/>
  <c r="D496" i="2"/>
  <c r="C496" i="2"/>
  <c r="B496" i="2"/>
  <c r="A496" i="2"/>
  <c r="E495" i="2"/>
  <c r="D495" i="2"/>
  <c r="C495" i="2"/>
  <c r="B495" i="2"/>
  <c r="A495" i="2"/>
  <c r="E494" i="2"/>
  <c r="D494" i="2"/>
  <c r="C494" i="2"/>
  <c r="B494" i="2"/>
  <c r="A494" i="2"/>
  <c r="E493" i="2"/>
  <c r="D493" i="2"/>
  <c r="C493" i="2"/>
  <c r="B493" i="2"/>
  <c r="A493" i="2"/>
  <c r="E492" i="2"/>
  <c r="D492" i="2"/>
  <c r="C492" i="2"/>
  <c r="B492" i="2"/>
  <c r="A492" i="2"/>
  <c r="E491" i="2"/>
  <c r="D491" i="2"/>
  <c r="C491" i="2"/>
  <c r="B491" i="2"/>
  <c r="A491" i="2"/>
  <c r="E490" i="2"/>
  <c r="D490" i="2"/>
  <c r="C490" i="2"/>
  <c r="B490" i="2"/>
  <c r="A490" i="2"/>
  <c r="E489" i="2"/>
  <c r="D489" i="2"/>
  <c r="C489" i="2"/>
  <c r="B489" i="2"/>
  <c r="A489" i="2"/>
  <c r="E488" i="2"/>
  <c r="D488" i="2"/>
  <c r="C488" i="2"/>
  <c r="B488" i="2"/>
  <c r="A488" i="2"/>
  <c r="E487" i="2"/>
  <c r="D487" i="2"/>
  <c r="C487" i="2"/>
  <c r="B487" i="2"/>
  <c r="A487" i="2"/>
  <c r="E486" i="2"/>
  <c r="D486" i="2"/>
  <c r="C486" i="2"/>
  <c r="B486" i="2"/>
  <c r="A486" i="2"/>
  <c r="E485" i="2"/>
  <c r="D485" i="2"/>
  <c r="C485" i="2"/>
  <c r="B485" i="2"/>
  <c r="A485" i="2"/>
  <c r="E484" i="2"/>
  <c r="D484" i="2"/>
  <c r="C484" i="2"/>
  <c r="B484" i="2"/>
  <c r="A484" i="2"/>
  <c r="E483" i="2"/>
  <c r="D483" i="2"/>
  <c r="C483" i="2"/>
  <c r="B483" i="2"/>
  <c r="A483" i="2"/>
  <c r="E482" i="2"/>
  <c r="D482" i="2"/>
  <c r="C482" i="2"/>
  <c r="B482" i="2"/>
  <c r="A482" i="2"/>
  <c r="E481" i="2"/>
  <c r="D481" i="2"/>
  <c r="C481" i="2"/>
  <c r="B481" i="2"/>
  <c r="A481" i="2"/>
  <c r="E480" i="2"/>
  <c r="D480" i="2"/>
  <c r="C480" i="2"/>
  <c r="B480" i="2"/>
  <c r="A480" i="2"/>
  <c r="E479" i="2"/>
  <c r="D479" i="2"/>
  <c r="C479" i="2"/>
  <c r="B479" i="2"/>
  <c r="A479" i="2"/>
  <c r="E478" i="2"/>
  <c r="D478" i="2"/>
  <c r="C478" i="2"/>
  <c r="B478" i="2"/>
  <c r="A478" i="2"/>
  <c r="E477" i="2"/>
  <c r="D477" i="2"/>
  <c r="C477" i="2"/>
  <c r="B477" i="2"/>
  <c r="A477" i="2"/>
  <c r="E476" i="2"/>
  <c r="D476" i="2"/>
  <c r="C476" i="2"/>
  <c r="B476" i="2"/>
  <c r="A476" i="2"/>
  <c r="E475" i="2"/>
  <c r="D475" i="2"/>
  <c r="C475" i="2"/>
  <c r="B475" i="2"/>
  <c r="A475" i="2"/>
  <c r="E474" i="2"/>
  <c r="D474" i="2"/>
  <c r="C474" i="2"/>
  <c r="B474" i="2"/>
  <c r="A474" i="2"/>
  <c r="E473" i="2"/>
  <c r="D473" i="2"/>
  <c r="C473" i="2"/>
  <c r="B473" i="2"/>
  <c r="A473" i="2"/>
  <c r="E472" i="2"/>
  <c r="D472" i="2"/>
  <c r="C472" i="2"/>
  <c r="B472" i="2"/>
  <c r="A472" i="2"/>
  <c r="E471" i="2"/>
  <c r="D471" i="2"/>
  <c r="C471" i="2"/>
  <c r="B471" i="2"/>
  <c r="A471" i="2"/>
  <c r="E470" i="2"/>
  <c r="D470" i="2"/>
  <c r="C470" i="2"/>
  <c r="B470" i="2"/>
  <c r="A470" i="2"/>
  <c r="E469" i="2"/>
  <c r="D469" i="2"/>
  <c r="C469" i="2"/>
  <c r="B469" i="2"/>
  <c r="A469" i="2"/>
  <c r="E468" i="2"/>
  <c r="D468" i="2"/>
  <c r="C468" i="2"/>
  <c r="B468" i="2"/>
  <c r="A468" i="2"/>
  <c r="E467" i="2"/>
  <c r="D467" i="2"/>
  <c r="C467" i="2"/>
  <c r="B467" i="2"/>
  <c r="A467" i="2"/>
  <c r="E466" i="2"/>
  <c r="D466" i="2"/>
  <c r="C466" i="2"/>
  <c r="B466" i="2"/>
  <c r="A466" i="2"/>
  <c r="E465" i="2"/>
  <c r="D465" i="2"/>
  <c r="C465" i="2"/>
  <c r="B465" i="2"/>
  <c r="A465" i="2"/>
  <c r="E464" i="2"/>
  <c r="D464" i="2"/>
  <c r="C464" i="2"/>
  <c r="B464" i="2"/>
  <c r="A464" i="2"/>
  <c r="E463" i="2"/>
  <c r="D463" i="2"/>
  <c r="C463" i="2"/>
  <c r="B463" i="2"/>
  <c r="A463" i="2"/>
  <c r="E462" i="2"/>
  <c r="D462" i="2"/>
  <c r="C462" i="2"/>
  <c r="B462" i="2"/>
  <c r="A462" i="2"/>
  <c r="E461" i="2"/>
  <c r="D461" i="2"/>
  <c r="C461" i="2"/>
  <c r="B461" i="2"/>
  <c r="A461" i="2"/>
  <c r="E460" i="2"/>
  <c r="D460" i="2"/>
  <c r="C460" i="2"/>
  <c r="B460" i="2"/>
  <c r="A460" i="2"/>
  <c r="E459" i="2"/>
  <c r="D459" i="2"/>
  <c r="C459" i="2"/>
  <c r="B459" i="2"/>
  <c r="A459" i="2"/>
  <c r="E458" i="2"/>
  <c r="D458" i="2"/>
  <c r="C458" i="2"/>
  <c r="B458" i="2"/>
  <c r="A458" i="2"/>
  <c r="E457" i="2"/>
  <c r="D457" i="2"/>
  <c r="C457" i="2"/>
  <c r="B457" i="2"/>
  <c r="A457" i="2"/>
  <c r="E456" i="2"/>
  <c r="D456" i="2"/>
  <c r="C456" i="2"/>
  <c r="B456" i="2"/>
  <c r="A456" i="2"/>
  <c r="E455" i="2"/>
  <c r="D455" i="2"/>
  <c r="C455" i="2"/>
  <c r="B455" i="2"/>
  <c r="A455" i="2"/>
  <c r="E454" i="2"/>
  <c r="D454" i="2"/>
  <c r="C454" i="2"/>
  <c r="B454" i="2"/>
  <c r="A454" i="2"/>
  <c r="E453" i="2"/>
  <c r="D453" i="2"/>
  <c r="C453" i="2"/>
  <c r="B453" i="2"/>
  <c r="A453" i="2"/>
  <c r="E452" i="2"/>
  <c r="D452" i="2"/>
  <c r="C452" i="2"/>
  <c r="B452" i="2"/>
  <c r="A452" i="2"/>
  <c r="E451" i="2"/>
  <c r="D451" i="2"/>
  <c r="C451" i="2"/>
  <c r="B451" i="2"/>
  <c r="A451" i="2"/>
  <c r="E450" i="2"/>
  <c r="D450" i="2"/>
  <c r="C450" i="2"/>
  <c r="B450" i="2"/>
  <c r="A450" i="2"/>
  <c r="E449" i="2"/>
  <c r="D449" i="2"/>
  <c r="C449" i="2"/>
  <c r="B449" i="2"/>
  <c r="A449" i="2"/>
  <c r="E448" i="2"/>
  <c r="D448" i="2"/>
  <c r="C448" i="2"/>
  <c r="B448" i="2"/>
  <c r="A448" i="2"/>
  <c r="E447" i="2"/>
  <c r="D447" i="2"/>
  <c r="C447" i="2"/>
  <c r="B447" i="2"/>
  <c r="A447" i="2"/>
  <c r="E446" i="2"/>
  <c r="D446" i="2"/>
  <c r="C446" i="2"/>
  <c r="B446" i="2"/>
  <c r="A446" i="2"/>
  <c r="E445" i="2"/>
  <c r="D445" i="2"/>
  <c r="C445" i="2"/>
  <c r="B445" i="2"/>
  <c r="A445" i="2"/>
  <c r="E444" i="2"/>
  <c r="D444" i="2"/>
  <c r="C444" i="2"/>
  <c r="B444" i="2"/>
  <c r="A444" i="2"/>
  <c r="E443" i="2"/>
  <c r="D443" i="2"/>
  <c r="C443" i="2"/>
  <c r="B443" i="2"/>
  <c r="A443" i="2"/>
  <c r="E442" i="2"/>
  <c r="D442" i="2"/>
  <c r="C442" i="2"/>
  <c r="B442" i="2"/>
  <c r="A442" i="2"/>
  <c r="E441" i="2"/>
  <c r="D441" i="2"/>
  <c r="C441" i="2"/>
  <c r="B441" i="2"/>
  <c r="A441" i="2"/>
  <c r="E440" i="2"/>
  <c r="D440" i="2"/>
  <c r="C440" i="2"/>
  <c r="B440" i="2"/>
  <c r="A440" i="2"/>
  <c r="E439" i="2"/>
  <c r="D439" i="2"/>
  <c r="C439" i="2"/>
  <c r="B439" i="2"/>
  <c r="A439" i="2"/>
  <c r="E438" i="2"/>
  <c r="D438" i="2"/>
  <c r="C438" i="2"/>
  <c r="B438" i="2"/>
  <c r="A438" i="2"/>
  <c r="E437" i="2"/>
  <c r="D437" i="2"/>
  <c r="C437" i="2"/>
  <c r="B437" i="2"/>
  <c r="A437" i="2"/>
  <c r="E436" i="2"/>
  <c r="D436" i="2"/>
  <c r="C436" i="2"/>
  <c r="B436" i="2"/>
  <c r="A436" i="2"/>
  <c r="E435" i="2"/>
  <c r="D435" i="2"/>
  <c r="C435" i="2"/>
  <c r="B435" i="2"/>
  <c r="A435" i="2"/>
  <c r="E434" i="2"/>
  <c r="D434" i="2"/>
  <c r="C434" i="2"/>
  <c r="B434" i="2"/>
  <c r="A434" i="2"/>
  <c r="E433" i="2"/>
  <c r="D433" i="2"/>
  <c r="C433" i="2"/>
  <c r="B433" i="2"/>
  <c r="A433" i="2"/>
  <c r="E432" i="2"/>
  <c r="D432" i="2"/>
  <c r="C432" i="2"/>
  <c r="B432" i="2"/>
  <c r="A432" i="2"/>
  <c r="E431" i="2"/>
  <c r="D431" i="2"/>
  <c r="C431" i="2"/>
  <c r="B431" i="2"/>
  <c r="A431" i="2"/>
  <c r="E430" i="2"/>
  <c r="D430" i="2"/>
  <c r="C430" i="2"/>
  <c r="B430" i="2"/>
  <c r="A430" i="2"/>
  <c r="E429" i="2"/>
  <c r="D429" i="2"/>
  <c r="C429" i="2"/>
  <c r="B429" i="2"/>
  <c r="A429" i="2"/>
  <c r="E428" i="2"/>
  <c r="D428" i="2"/>
  <c r="C428" i="2"/>
  <c r="B428" i="2"/>
  <c r="A428" i="2"/>
  <c r="E427" i="2"/>
  <c r="D427" i="2"/>
  <c r="C427" i="2"/>
  <c r="B427" i="2"/>
  <c r="A427" i="2"/>
  <c r="E426" i="2"/>
  <c r="D426" i="2"/>
  <c r="C426" i="2"/>
  <c r="B426" i="2"/>
  <c r="A426" i="2"/>
  <c r="E425" i="2"/>
  <c r="D425" i="2"/>
  <c r="C425" i="2"/>
  <c r="B425" i="2"/>
  <c r="A425" i="2"/>
  <c r="E424" i="2"/>
  <c r="D424" i="2"/>
  <c r="C424" i="2"/>
  <c r="B424" i="2"/>
  <c r="A424" i="2"/>
  <c r="E423" i="2"/>
  <c r="D423" i="2"/>
  <c r="C423" i="2"/>
  <c r="B423" i="2"/>
  <c r="A423" i="2"/>
  <c r="E422" i="2"/>
  <c r="D422" i="2"/>
  <c r="C422" i="2"/>
  <c r="B422" i="2"/>
  <c r="A422" i="2"/>
  <c r="E421" i="2"/>
  <c r="D421" i="2"/>
  <c r="C421" i="2"/>
  <c r="B421" i="2"/>
  <c r="A421" i="2"/>
  <c r="E420" i="2"/>
  <c r="D420" i="2"/>
  <c r="C420" i="2"/>
  <c r="B420" i="2"/>
  <c r="A420" i="2"/>
  <c r="E419" i="2"/>
  <c r="D419" i="2"/>
  <c r="C419" i="2"/>
  <c r="B419" i="2"/>
  <c r="A419" i="2"/>
  <c r="E418" i="2"/>
  <c r="D418" i="2"/>
  <c r="C418" i="2"/>
  <c r="B418" i="2"/>
  <c r="A418" i="2"/>
  <c r="E417" i="2"/>
  <c r="D417" i="2"/>
  <c r="C417" i="2"/>
  <c r="B417" i="2"/>
  <c r="A417" i="2"/>
  <c r="E416" i="2"/>
  <c r="D416" i="2"/>
  <c r="C416" i="2"/>
  <c r="B416" i="2"/>
  <c r="A416" i="2"/>
  <c r="E415" i="2"/>
  <c r="D415" i="2"/>
  <c r="C415" i="2"/>
  <c r="B415" i="2"/>
  <c r="A415" i="2"/>
  <c r="E414" i="2"/>
  <c r="D414" i="2"/>
  <c r="C414" i="2"/>
  <c r="B414" i="2"/>
  <c r="A414" i="2"/>
  <c r="E413" i="2"/>
  <c r="D413" i="2"/>
  <c r="C413" i="2"/>
  <c r="B413" i="2"/>
  <c r="A413" i="2"/>
  <c r="E412" i="2"/>
  <c r="D412" i="2"/>
  <c r="C412" i="2"/>
  <c r="B412" i="2"/>
  <c r="A412" i="2"/>
  <c r="E411" i="2"/>
  <c r="D411" i="2"/>
  <c r="C411" i="2"/>
  <c r="B411" i="2"/>
  <c r="A411" i="2"/>
  <c r="E410" i="2"/>
  <c r="D410" i="2"/>
  <c r="C410" i="2"/>
  <c r="B410" i="2"/>
  <c r="A410" i="2"/>
  <c r="E409" i="2"/>
  <c r="D409" i="2"/>
  <c r="C409" i="2"/>
  <c r="B409" i="2"/>
  <c r="A409" i="2"/>
  <c r="E408" i="2"/>
  <c r="D408" i="2"/>
  <c r="C408" i="2"/>
  <c r="B408" i="2"/>
  <c r="A408" i="2"/>
  <c r="E407" i="2"/>
  <c r="D407" i="2"/>
  <c r="C407" i="2"/>
  <c r="B407" i="2"/>
  <c r="A407" i="2"/>
  <c r="E406" i="2"/>
  <c r="D406" i="2"/>
  <c r="C406" i="2"/>
  <c r="B406" i="2"/>
  <c r="A406" i="2"/>
  <c r="E405" i="2"/>
  <c r="D405" i="2"/>
  <c r="C405" i="2"/>
  <c r="B405" i="2"/>
  <c r="A405" i="2"/>
  <c r="E404" i="2"/>
  <c r="D404" i="2"/>
  <c r="C404" i="2"/>
  <c r="B404" i="2"/>
  <c r="A404" i="2"/>
  <c r="E403" i="2"/>
  <c r="D403" i="2"/>
  <c r="C403" i="2"/>
  <c r="B403" i="2"/>
  <c r="A403" i="2"/>
  <c r="E402" i="2"/>
  <c r="D402" i="2"/>
  <c r="C402" i="2"/>
  <c r="B402" i="2"/>
  <c r="A402" i="2"/>
  <c r="E401" i="2"/>
  <c r="D401" i="2"/>
  <c r="C401" i="2"/>
  <c r="B401" i="2"/>
  <c r="A401" i="2"/>
  <c r="E400" i="2"/>
  <c r="D400" i="2"/>
  <c r="C400" i="2"/>
  <c r="B400" i="2"/>
  <c r="A400" i="2"/>
  <c r="E399" i="2"/>
  <c r="D399" i="2"/>
  <c r="C399" i="2"/>
  <c r="B399" i="2"/>
  <c r="A399" i="2"/>
  <c r="E398" i="2"/>
  <c r="D398" i="2"/>
  <c r="C398" i="2"/>
  <c r="B398" i="2"/>
  <c r="A398" i="2"/>
  <c r="E397" i="2"/>
  <c r="D397" i="2"/>
  <c r="C397" i="2"/>
  <c r="B397" i="2"/>
  <c r="A397" i="2"/>
  <c r="E396" i="2"/>
  <c r="D396" i="2"/>
  <c r="C396" i="2"/>
  <c r="B396" i="2"/>
  <c r="A396" i="2"/>
  <c r="E395" i="2"/>
  <c r="D395" i="2"/>
  <c r="C395" i="2"/>
  <c r="B395" i="2"/>
  <c r="A395" i="2"/>
  <c r="E394" i="2"/>
  <c r="D394" i="2"/>
  <c r="C394" i="2"/>
  <c r="B394" i="2"/>
  <c r="A394" i="2"/>
  <c r="E393" i="2"/>
  <c r="D393" i="2"/>
  <c r="C393" i="2"/>
  <c r="B393" i="2"/>
  <c r="A393" i="2"/>
  <c r="E392" i="2"/>
  <c r="D392" i="2"/>
  <c r="C392" i="2"/>
  <c r="B392" i="2"/>
  <c r="A392" i="2"/>
  <c r="E391" i="2"/>
  <c r="D391" i="2"/>
  <c r="C391" i="2"/>
  <c r="B391" i="2"/>
  <c r="A391" i="2"/>
  <c r="E390" i="2"/>
  <c r="D390" i="2"/>
  <c r="C390" i="2"/>
  <c r="B390" i="2"/>
  <c r="A390" i="2"/>
  <c r="E389" i="2"/>
  <c r="D389" i="2"/>
  <c r="C389" i="2"/>
  <c r="B389" i="2"/>
  <c r="A389" i="2"/>
  <c r="E388" i="2"/>
  <c r="D388" i="2"/>
  <c r="C388" i="2"/>
  <c r="B388" i="2"/>
  <c r="A388" i="2"/>
  <c r="E387" i="2"/>
  <c r="D387" i="2"/>
  <c r="C387" i="2"/>
  <c r="B387" i="2"/>
  <c r="A387" i="2"/>
  <c r="E386" i="2"/>
  <c r="D386" i="2"/>
  <c r="C386" i="2"/>
  <c r="B386" i="2"/>
  <c r="A386" i="2"/>
  <c r="E385" i="2"/>
  <c r="D385" i="2"/>
  <c r="C385" i="2"/>
  <c r="B385" i="2"/>
  <c r="A385" i="2"/>
  <c r="E384" i="2"/>
  <c r="D384" i="2"/>
  <c r="C384" i="2"/>
  <c r="B384" i="2"/>
  <c r="A384" i="2"/>
  <c r="E383" i="2"/>
  <c r="D383" i="2"/>
  <c r="C383" i="2"/>
  <c r="B383" i="2"/>
  <c r="A383" i="2"/>
  <c r="E382" i="2"/>
  <c r="D382" i="2"/>
  <c r="C382" i="2"/>
  <c r="B382" i="2"/>
  <c r="A382" i="2"/>
  <c r="E381" i="2"/>
  <c r="D381" i="2"/>
  <c r="C381" i="2"/>
  <c r="B381" i="2"/>
  <c r="A381" i="2"/>
  <c r="E380" i="2"/>
  <c r="D380" i="2"/>
  <c r="C380" i="2"/>
  <c r="B380" i="2"/>
  <c r="A380" i="2"/>
  <c r="E379" i="2"/>
  <c r="D379" i="2"/>
  <c r="C379" i="2"/>
  <c r="B379" i="2"/>
  <c r="A379" i="2"/>
  <c r="E378" i="2"/>
  <c r="D378" i="2"/>
  <c r="C378" i="2"/>
  <c r="B378" i="2"/>
  <c r="A378" i="2"/>
  <c r="E377" i="2"/>
  <c r="D377" i="2"/>
  <c r="C377" i="2"/>
  <c r="B377" i="2"/>
  <c r="A377" i="2"/>
  <c r="E376" i="2"/>
  <c r="D376" i="2"/>
  <c r="C376" i="2"/>
  <c r="B376" i="2"/>
  <c r="A376" i="2"/>
  <c r="E375" i="2"/>
  <c r="D375" i="2"/>
  <c r="C375" i="2"/>
  <c r="B375" i="2"/>
  <c r="A375" i="2"/>
  <c r="E374" i="2"/>
  <c r="D374" i="2"/>
  <c r="C374" i="2"/>
  <c r="B374" i="2"/>
  <c r="A374" i="2"/>
  <c r="E373" i="2"/>
  <c r="D373" i="2"/>
  <c r="C373" i="2"/>
  <c r="B373" i="2"/>
  <c r="A373" i="2"/>
  <c r="E372" i="2"/>
  <c r="D372" i="2"/>
  <c r="C372" i="2"/>
  <c r="B372" i="2"/>
  <c r="A372" i="2"/>
  <c r="E371" i="2"/>
  <c r="D371" i="2"/>
  <c r="C371" i="2"/>
  <c r="B371" i="2"/>
  <c r="A371" i="2"/>
  <c r="E370" i="2"/>
  <c r="D370" i="2"/>
  <c r="C370" i="2"/>
  <c r="B370" i="2"/>
  <c r="A370" i="2"/>
  <c r="E369" i="2"/>
  <c r="D369" i="2"/>
  <c r="C369" i="2"/>
  <c r="B369" i="2"/>
  <c r="A369" i="2"/>
  <c r="E368" i="2"/>
  <c r="D368" i="2"/>
  <c r="C368" i="2"/>
  <c r="B368" i="2"/>
  <c r="A368" i="2"/>
  <c r="E367" i="2"/>
  <c r="D367" i="2"/>
  <c r="C367" i="2"/>
  <c r="B367" i="2"/>
  <c r="A367" i="2"/>
  <c r="E366" i="2"/>
  <c r="D366" i="2"/>
  <c r="C366" i="2"/>
  <c r="B366" i="2"/>
  <c r="A366" i="2"/>
  <c r="E365" i="2"/>
  <c r="D365" i="2"/>
  <c r="C365" i="2"/>
  <c r="B365" i="2"/>
  <c r="A365" i="2"/>
  <c r="E364" i="2"/>
  <c r="D364" i="2"/>
  <c r="C364" i="2"/>
  <c r="B364" i="2"/>
  <c r="A364" i="2"/>
  <c r="E363" i="2"/>
  <c r="D363" i="2"/>
  <c r="C363" i="2"/>
  <c r="B363" i="2"/>
  <c r="A363" i="2"/>
  <c r="E362" i="2"/>
  <c r="D362" i="2"/>
  <c r="C362" i="2"/>
  <c r="B362" i="2"/>
  <c r="A362" i="2"/>
  <c r="E361" i="2"/>
  <c r="D361" i="2"/>
  <c r="C361" i="2"/>
  <c r="B361" i="2"/>
  <c r="A361" i="2"/>
  <c r="E360" i="2"/>
  <c r="D360" i="2"/>
  <c r="C360" i="2"/>
  <c r="B360" i="2"/>
  <c r="A360" i="2"/>
  <c r="E359" i="2"/>
  <c r="D359" i="2"/>
  <c r="C359" i="2"/>
  <c r="B359" i="2"/>
  <c r="A359" i="2"/>
  <c r="E358" i="2"/>
  <c r="D358" i="2"/>
  <c r="C358" i="2"/>
  <c r="B358" i="2"/>
  <c r="A358" i="2"/>
  <c r="E357" i="2"/>
  <c r="D357" i="2"/>
  <c r="C357" i="2"/>
  <c r="B357" i="2"/>
  <c r="A357" i="2"/>
  <c r="E356" i="2"/>
  <c r="D356" i="2"/>
  <c r="C356" i="2"/>
  <c r="B356" i="2"/>
  <c r="A356" i="2"/>
  <c r="E355" i="2"/>
  <c r="D355" i="2"/>
  <c r="C355" i="2"/>
  <c r="B355" i="2"/>
  <c r="A355" i="2"/>
  <c r="E354" i="2"/>
  <c r="D354" i="2"/>
  <c r="C354" i="2"/>
  <c r="B354" i="2"/>
  <c r="A354" i="2"/>
  <c r="E353" i="2"/>
  <c r="D353" i="2"/>
  <c r="C353" i="2"/>
  <c r="B353" i="2"/>
  <c r="A353" i="2"/>
  <c r="E352" i="2"/>
  <c r="D352" i="2"/>
  <c r="C352" i="2"/>
  <c r="B352" i="2"/>
  <c r="A352" i="2"/>
  <c r="E351" i="2"/>
  <c r="D351" i="2"/>
  <c r="C351" i="2"/>
  <c r="B351" i="2"/>
  <c r="A351" i="2"/>
  <c r="E350" i="2"/>
  <c r="D350" i="2"/>
  <c r="C350" i="2"/>
  <c r="B350" i="2"/>
  <c r="A350" i="2"/>
  <c r="E349" i="2"/>
  <c r="D349" i="2"/>
  <c r="C349" i="2"/>
  <c r="B349" i="2"/>
  <c r="A349" i="2"/>
  <c r="E348" i="2"/>
  <c r="D348" i="2"/>
  <c r="C348" i="2"/>
  <c r="B348" i="2"/>
  <c r="A348" i="2"/>
  <c r="E347" i="2"/>
  <c r="D347" i="2"/>
  <c r="C347" i="2"/>
  <c r="B347" i="2"/>
  <c r="A347" i="2"/>
  <c r="E346" i="2"/>
  <c r="D346" i="2"/>
  <c r="C346" i="2"/>
  <c r="B346" i="2"/>
  <c r="A346" i="2"/>
  <c r="E345" i="2"/>
  <c r="D345" i="2"/>
  <c r="C345" i="2"/>
  <c r="B345" i="2"/>
  <c r="A345" i="2"/>
  <c r="E344" i="2"/>
  <c r="D344" i="2"/>
  <c r="C344" i="2"/>
  <c r="B344" i="2"/>
  <c r="A344" i="2"/>
  <c r="E343" i="2"/>
  <c r="D343" i="2"/>
  <c r="C343" i="2"/>
  <c r="B343" i="2"/>
  <c r="A343" i="2"/>
  <c r="E342" i="2"/>
  <c r="D342" i="2"/>
  <c r="C342" i="2"/>
  <c r="B342" i="2"/>
  <c r="A342" i="2"/>
  <c r="E341" i="2"/>
  <c r="D341" i="2"/>
  <c r="C341" i="2"/>
  <c r="B341" i="2"/>
  <c r="A341" i="2"/>
  <c r="E340" i="2"/>
  <c r="D340" i="2"/>
  <c r="C340" i="2"/>
  <c r="B340" i="2"/>
  <c r="A340" i="2"/>
  <c r="E339" i="2"/>
  <c r="D339" i="2"/>
  <c r="C339" i="2"/>
  <c r="B339" i="2"/>
  <c r="A339" i="2"/>
  <c r="E338" i="2"/>
  <c r="D338" i="2"/>
  <c r="C338" i="2"/>
  <c r="B338" i="2"/>
  <c r="A338" i="2"/>
  <c r="E337" i="2"/>
  <c r="D337" i="2"/>
  <c r="C337" i="2"/>
  <c r="B337" i="2"/>
  <c r="A337" i="2"/>
  <c r="E336" i="2"/>
  <c r="D336" i="2"/>
  <c r="C336" i="2"/>
  <c r="B336" i="2"/>
  <c r="A336" i="2"/>
  <c r="E335" i="2"/>
  <c r="D335" i="2"/>
  <c r="C335" i="2"/>
  <c r="B335" i="2"/>
  <c r="A335" i="2"/>
  <c r="E334" i="2"/>
  <c r="D334" i="2"/>
  <c r="C334" i="2"/>
  <c r="B334" i="2"/>
  <c r="A334" i="2"/>
  <c r="E333" i="2"/>
  <c r="D333" i="2"/>
  <c r="C333" i="2"/>
  <c r="B333" i="2"/>
  <c r="A333" i="2"/>
  <c r="E332" i="2"/>
  <c r="D332" i="2"/>
  <c r="C332" i="2"/>
  <c r="B332" i="2"/>
  <c r="A332" i="2"/>
  <c r="E331" i="2"/>
  <c r="D331" i="2"/>
  <c r="C331" i="2"/>
  <c r="B331" i="2"/>
  <c r="A331" i="2"/>
  <c r="E330" i="2"/>
  <c r="D330" i="2"/>
  <c r="C330" i="2"/>
  <c r="B330" i="2"/>
  <c r="A330" i="2"/>
  <c r="E329" i="2"/>
  <c r="D329" i="2"/>
  <c r="C329" i="2"/>
  <c r="B329" i="2"/>
  <c r="A329" i="2"/>
  <c r="E328" i="2"/>
  <c r="D328" i="2"/>
  <c r="C328" i="2"/>
  <c r="B328" i="2"/>
  <c r="A328" i="2"/>
  <c r="E327" i="2"/>
  <c r="D327" i="2"/>
  <c r="C327" i="2"/>
  <c r="B327" i="2"/>
  <c r="A327" i="2"/>
  <c r="E326" i="2"/>
  <c r="D326" i="2"/>
  <c r="C326" i="2"/>
  <c r="B326" i="2"/>
  <c r="A326" i="2"/>
  <c r="E325" i="2"/>
  <c r="D325" i="2"/>
  <c r="C325" i="2"/>
  <c r="B325" i="2"/>
  <c r="A325" i="2"/>
  <c r="E324" i="2"/>
  <c r="D324" i="2"/>
  <c r="C324" i="2"/>
  <c r="B324" i="2"/>
  <c r="A324" i="2"/>
  <c r="E323" i="2"/>
  <c r="D323" i="2"/>
  <c r="C323" i="2"/>
  <c r="B323" i="2"/>
  <c r="A323" i="2"/>
  <c r="E322" i="2"/>
  <c r="D322" i="2"/>
  <c r="C322" i="2"/>
  <c r="B322" i="2"/>
  <c r="A322" i="2"/>
  <c r="E321" i="2"/>
  <c r="D321" i="2"/>
  <c r="C321" i="2"/>
  <c r="B321" i="2"/>
  <c r="A321" i="2"/>
  <c r="E320" i="2"/>
  <c r="D320" i="2"/>
  <c r="C320" i="2"/>
  <c r="B320" i="2"/>
  <c r="A320" i="2"/>
  <c r="E319" i="2"/>
  <c r="D319" i="2"/>
  <c r="C319" i="2"/>
  <c r="B319" i="2"/>
  <c r="A319" i="2"/>
  <c r="E318" i="2"/>
  <c r="D318" i="2"/>
  <c r="C318" i="2"/>
  <c r="B318" i="2"/>
  <c r="A318" i="2"/>
  <c r="E317" i="2"/>
  <c r="D317" i="2"/>
  <c r="C317" i="2"/>
  <c r="B317" i="2"/>
  <c r="A317" i="2"/>
  <c r="E316" i="2"/>
  <c r="D316" i="2"/>
  <c r="C316" i="2"/>
  <c r="B316" i="2"/>
  <c r="A316" i="2"/>
  <c r="E315" i="2"/>
  <c r="D315" i="2"/>
  <c r="C315" i="2"/>
  <c r="B315" i="2"/>
  <c r="A315" i="2"/>
  <c r="E314" i="2"/>
  <c r="D314" i="2"/>
  <c r="C314" i="2"/>
  <c r="B314" i="2"/>
  <c r="A314" i="2"/>
  <c r="E313" i="2"/>
  <c r="D313" i="2"/>
  <c r="C313" i="2"/>
  <c r="B313" i="2"/>
  <c r="A313" i="2"/>
  <c r="E312" i="2"/>
  <c r="D312" i="2"/>
  <c r="C312" i="2"/>
  <c r="B312" i="2"/>
  <c r="A312" i="2"/>
  <c r="E311" i="2"/>
  <c r="D311" i="2"/>
  <c r="C311" i="2"/>
  <c r="B311" i="2"/>
  <c r="A311" i="2"/>
  <c r="E310" i="2"/>
  <c r="D310" i="2"/>
  <c r="C310" i="2"/>
  <c r="B310" i="2"/>
  <c r="A310" i="2"/>
  <c r="E309" i="2"/>
  <c r="D309" i="2"/>
  <c r="C309" i="2"/>
  <c r="B309" i="2"/>
  <c r="A309" i="2"/>
  <c r="E308" i="2"/>
  <c r="D308" i="2"/>
  <c r="C308" i="2"/>
  <c r="B308" i="2"/>
  <c r="A308" i="2"/>
  <c r="E307" i="2"/>
  <c r="D307" i="2"/>
  <c r="C307" i="2"/>
  <c r="B307" i="2"/>
  <c r="A307" i="2"/>
  <c r="E306" i="2"/>
  <c r="D306" i="2"/>
  <c r="C306" i="2"/>
  <c r="B306" i="2"/>
  <c r="A306" i="2"/>
  <c r="E305" i="2"/>
  <c r="D305" i="2"/>
  <c r="C305" i="2"/>
  <c r="B305" i="2"/>
  <c r="A305" i="2"/>
  <c r="E304" i="2"/>
  <c r="D304" i="2"/>
  <c r="C304" i="2"/>
  <c r="B304" i="2"/>
  <c r="A304" i="2"/>
  <c r="E303" i="2"/>
  <c r="D303" i="2"/>
  <c r="C303" i="2"/>
  <c r="B303" i="2"/>
  <c r="A303" i="2"/>
  <c r="E302" i="2"/>
  <c r="D302" i="2"/>
  <c r="C302" i="2"/>
  <c r="B302" i="2"/>
  <c r="A302" i="2"/>
  <c r="E301" i="2"/>
  <c r="D301" i="2"/>
  <c r="C301" i="2"/>
  <c r="B301" i="2"/>
  <c r="A301" i="2"/>
  <c r="E300" i="2"/>
  <c r="D300" i="2"/>
  <c r="C300" i="2"/>
  <c r="B300" i="2"/>
  <c r="A300" i="2"/>
  <c r="E299" i="2"/>
  <c r="D299" i="2"/>
  <c r="C299" i="2"/>
  <c r="B299" i="2"/>
  <c r="A299" i="2"/>
  <c r="E298" i="2"/>
  <c r="D298" i="2"/>
  <c r="C298" i="2"/>
  <c r="B298" i="2"/>
  <c r="A298" i="2"/>
  <c r="E297" i="2"/>
  <c r="D297" i="2"/>
  <c r="C297" i="2"/>
  <c r="B297" i="2"/>
  <c r="A297" i="2"/>
  <c r="E296" i="2"/>
  <c r="D296" i="2"/>
  <c r="C296" i="2"/>
  <c r="B296" i="2"/>
  <c r="A296" i="2"/>
  <c r="E295" i="2"/>
  <c r="D295" i="2"/>
  <c r="C295" i="2"/>
  <c r="B295" i="2"/>
  <c r="A295" i="2"/>
  <c r="E294" i="2"/>
  <c r="D294" i="2"/>
  <c r="C294" i="2"/>
  <c r="B294" i="2"/>
  <c r="A294" i="2"/>
  <c r="E293" i="2"/>
  <c r="D293" i="2"/>
  <c r="C293" i="2"/>
  <c r="B293" i="2"/>
  <c r="A293" i="2"/>
  <c r="E292" i="2"/>
  <c r="D292" i="2"/>
  <c r="C292" i="2"/>
  <c r="B292" i="2"/>
  <c r="A292" i="2"/>
  <c r="E291" i="2"/>
  <c r="D291" i="2"/>
  <c r="C291" i="2"/>
  <c r="B291" i="2"/>
  <c r="A291" i="2"/>
  <c r="E290" i="2"/>
  <c r="D290" i="2"/>
  <c r="C290" i="2"/>
  <c r="B290" i="2"/>
  <c r="A290" i="2"/>
  <c r="E289" i="2"/>
  <c r="D289" i="2"/>
  <c r="C289" i="2"/>
  <c r="B289" i="2"/>
  <c r="A289" i="2"/>
  <c r="E288" i="2"/>
  <c r="D288" i="2"/>
  <c r="C288" i="2"/>
  <c r="B288" i="2"/>
  <c r="A288" i="2"/>
  <c r="E287" i="2"/>
  <c r="D287" i="2"/>
  <c r="C287" i="2"/>
  <c r="B287" i="2"/>
  <c r="A287" i="2"/>
  <c r="E286" i="2"/>
  <c r="D286" i="2"/>
  <c r="C286" i="2"/>
  <c r="B286" i="2"/>
  <c r="A286" i="2"/>
  <c r="E285" i="2"/>
  <c r="D285" i="2"/>
  <c r="C285" i="2"/>
  <c r="B285" i="2"/>
  <c r="A285" i="2"/>
  <c r="E284" i="2"/>
  <c r="D284" i="2"/>
  <c r="C284" i="2"/>
  <c r="B284" i="2"/>
  <c r="A284" i="2"/>
  <c r="E283" i="2"/>
  <c r="D283" i="2"/>
  <c r="C283" i="2"/>
  <c r="B283" i="2"/>
  <c r="A283" i="2"/>
  <c r="E282" i="2"/>
  <c r="D282" i="2"/>
  <c r="C282" i="2"/>
  <c r="B282" i="2"/>
  <c r="A282" i="2"/>
  <c r="E281" i="2"/>
  <c r="D281" i="2"/>
  <c r="C281" i="2"/>
  <c r="B281" i="2"/>
  <c r="A281" i="2"/>
  <c r="E280" i="2"/>
  <c r="D280" i="2"/>
  <c r="C280" i="2"/>
  <c r="B280" i="2"/>
  <c r="A280" i="2"/>
  <c r="E279" i="2"/>
  <c r="D279" i="2"/>
  <c r="C279" i="2"/>
  <c r="B279" i="2"/>
  <c r="A279" i="2"/>
  <c r="E278" i="2"/>
  <c r="D278" i="2"/>
  <c r="C278" i="2"/>
  <c r="B278" i="2"/>
  <c r="A278" i="2"/>
  <c r="E277" i="2"/>
  <c r="D277" i="2"/>
  <c r="C277" i="2"/>
  <c r="B277" i="2"/>
  <c r="A277" i="2"/>
  <c r="E276" i="2"/>
  <c r="D276" i="2"/>
  <c r="C276" i="2"/>
  <c r="B276" i="2"/>
  <c r="A276" i="2"/>
  <c r="E275" i="2"/>
  <c r="D275" i="2"/>
  <c r="C275" i="2"/>
  <c r="B275" i="2"/>
  <c r="A275" i="2"/>
  <c r="E274" i="2"/>
  <c r="D274" i="2"/>
  <c r="C274" i="2"/>
  <c r="B274" i="2"/>
  <c r="A274" i="2"/>
  <c r="E273" i="2"/>
  <c r="D273" i="2"/>
  <c r="C273" i="2"/>
  <c r="B273" i="2"/>
  <c r="A273" i="2"/>
  <c r="E272" i="2"/>
  <c r="D272" i="2"/>
  <c r="C272" i="2"/>
  <c r="B272" i="2"/>
  <c r="A272" i="2"/>
  <c r="E271" i="2"/>
  <c r="D271" i="2"/>
  <c r="C271" i="2"/>
  <c r="B271" i="2"/>
  <c r="A271" i="2"/>
  <c r="E270" i="2"/>
  <c r="D270" i="2"/>
  <c r="C270" i="2"/>
  <c r="B270" i="2"/>
  <c r="A270" i="2"/>
  <c r="E269" i="2"/>
  <c r="D269" i="2"/>
  <c r="C269" i="2"/>
  <c r="B269" i="2"/>
  <c r="A269" i="2"/>
  <c r="E268" i="2"/>
  <c r="D268" i="2"/>
  <c r="C268" i="2"/>
  <c r="B268" i="2"/>
  <c r="A268" i="2"/>
  <c r="E267" i="2"/>
  <c r="D267" i="2"/>
  <c r="C267" i="2"/>
  <c r="B267" i="2"/>
  <c r="A267" i="2"/>
  <c r="E266" i="2"/>
  <c r="D266" i="2"/>
  <c r="C266" i="2"/>
  <c r="B266" i="2"/>
  <c r="A266" i="2"/>
  <c r="E265" i="2"/>
  <c r="D265" i="2"/>
  <c r="C265" i="2"/>
  <c r="B265" i="2"/>
  <c r="A265" i="2"/>
  <c r="E264" i="2"/>
  <c r="D264" i="2"/>
  <c r="C264" i="2"/>
  <c r="B264" i="2"/>
  <c r="A264" i="2"/>
  <c r="E263" i="2"/>
  <c r="D263" i="2"/>
  <c r="C263" i="2"/>
  <c r="B263" i="2"/>
  <c r="A263" i="2"/>
  <c r="E262" i="2"/>
  <c r="D262" i="2"/>
  <c r="C262" i="2"/>
  <c r="B262" i="2"/>
  <c r="A262" i="2"/>
  <c r="E261" i="2"/>
  <c r="D261" i="2"/>
  <c r="C261" i="2"/>
  <c r="B261" i="2"/>
  <c r="A261" i="2"/>
  <c r="E260" i="2"/>
  <c r="D260" i="2"/>
  <c r="C260" i="2"/>
  <c r="B260" i="2"/>
  <c r="A260" i="2"/>
  <c r="E259" i="2"/>
  <c r="D259" i="2"/>
  <c r="C259" i="2"/>
  <c r="B259" i="2"/>
  <c r="A259" i="2"/>
  <c r="E258" i="2"/>
  <c r="D258" i="2"/>
  <c r="C258" i="2"/>
  <c r="B258" i="2"/>
  <c r="A258" i="2"/>
  <c r="E257" i="2"/>
  <c r="D257" i="2"/>
  <c r="C257" i="2"/>
  <c r="B257" i="2"/>
  <c r="A257" i="2"/>
  <c r="E256" i="2"/>
  <c r="D256" i="2"/>
  <c r="C256" i="2"/>
  <c r="B256" i="2"/>
  <c r="A256" i="2"/>
  <c r="E255" i="2"/>
  <c r="D255" i="2"/>
  <c r="C255" i="2"/>
  <c r="B255" i="2"/>
  <c r="A255" i="2"/>
  <c r="E254" i="2"/>
  <c r="D254" i="2"/>
  <c r="C254" i="2"/>
  <c r="B254" i="2"/>
  <c r="A254" i="2"/>
  <c r="E253" i="2"/>
  <c r="D253" i="2"/>
  <c r="C253" i="2"/>
  <c r="B253" i="2"/>
  <c r="A253" i="2"/>
  <c r="E252" i="2"/>
  <c r="D252" i="2"/>
  <c r="C252" i="2"/>
  <c r="B252" i="2"/>
  <c r="A252" i="2"/>
  <c r="E251" i="2"/>
  <c r="D251" i="2"/>
  <c r="C251" i="2"/>
  <c r="B251" i="2"/>
  <c r="A251" i="2"/>
  <c r="E250" i="2"/>
  <c r="D250" i="2"/>
  <c r="C250" i="2"/>
  <c r="B250" i="2"/>
  <c r="A250" i="2"/>
  <c r="E249" i="2"/>
  <c r="D249" i="2"/>
  <c r="C249" i="2"/>
  <c r="B249" i="2"/>
  <c r="A249" i="2"/>
  <c r="E248" i="2"/>
  <c r="D248" i="2"/>
  <c r="C248" i="2"/>
  <c r="B248" i="2"/>
  <c r="A248" i="2"/>
  <c r="E247" i="2"/>
  <c r="D247" i="2"/>
  <c r="C247" i="2"/>
  <c r="B247" i="2"/>
  <c r="A247" i="2"/>
  <c r="E246" i="2"/>
  <c r="D246" i="2"/>
  <c r="C246" i="2"/>
  <c r="B246" i="2"/>
  <c r="A246" i="2"/>
  <c r="E245" i="2"/>
  <c r="D245" i="2"/>
  <c r="C245" i="2"/>
  <c r="B245" i="2"/>
  <c r="A245" i="2"/>
  <c r="E244" i="2"/>
  <c r="D244" i="2"/>
  <c r="C244" i="2"/>
  <c r="B244" i="2"/>
  <c r="A244" i="2"/>
  <c r="E243" i="2"/>
  <c r="D243" i="2"/>
  <c r="C243" i="2"/>
  <c r="B243" i="2"/>
  <c r="A243" i="2"/>
  <c r="E242" i="2"/>
  <c r="D242" i="2"/>
  <c r="C242" i="2"/>
  <c r="B242" i="2"/>
  <c r="A242" i="2"/>
  <c r="E241" i="2"/>
  <c r="D241" i="2"/>
  <c r="C241" i="2"/>
  <c r="B241" i="2"/>
  <c r="A241" i="2"/>
  <c r="E240" i="2"/>
  <c r="D240" i="2"/>
  <c r="C240" i="2"/>
  <c r="B240" i="2"/>
  <c r="A240" i="2"/>
  <c r="E239" i="2"/>
  <c r="D239" i="2"/>
  <c r="C239" i="2"/>
  <c r="B239" i="2"/>
  <c r="A239" i="2"/>
  <c r="E238" i="2"/>
  <c r="D238" i="2"/>
  <c r="C238" i="2"/>
  <c r="B238" i="2"/>
  <c r="A238" i="2"/>
  <c r="E237" i="2"/>
  <c r="D237" i="2"/>
  <c r="C237" i="2"/>
  <c r="B237" i="2"/>
  <c r="A237" i="2"/>
  <c r="E236" i="2"/>
  <c r="D236" i="2"/>
  <c r="C236" i="2"/>
  <c r="B236" i="2"/>
  <c r="A236" i="2"/>
  <c r="E235" i="2"/>
  <c r="D235" i="2"/>
  <c r="C235" i="2"/>
  <c r="B235" i="2"/>
  <c r="A235" i="2"/>
  <c r="E234" i="2"/>
  <c r="D234" i="2"/>
  <c r="C234" i="2"/>
  <c r="B234" i="2"/>
  <c r="A234" i="2"/>
  <c r="E233" i="2"/>
  <c r="D233" i="2"/>
  <c r="C233" i="2"/>
  <c r="B233" i="2"/>
  <c r="A233" i="2"/>
  <c r="E232" i="2"/>
  <c r="D232" i="2"/>
  <c r="C232" i="2"/>
  <c r="B232" i="2"/>
  <c r="A232" i="2"/>
  <c r="E231" i="2"/>
  <c r="D231" i="2"/>
  <c r="C231" i="2"/>
  <c r="B231" i="2"/>
  <c r="A231" i="2"/>
  <c r="E230" i="2"/>
  <c r="D230" i="2"/>
  <c r="C230" i="2"/>
  <c r="B230" i="2"/>
  <c r="A230" i="2"/>
  <c r="E229" i="2"/>
  <c r="D229" i="2"/>
  <c r="C229" i="2"/>
  <c r="B229" i="2"/>
  <c r="A229" i="2"/>
  <c r="E228" i="2"/>
  <c r="D228" i="2"/>
  <c r="C228" i="2"/>
  <c r="B228" i="2"/>
  <c r="A228" i="2"/>
  <c r="E227" i="2"/>
  <c r="D227" i="2"/>
  <c r="C227" i="2"/>
  <c r="B227" i="2"/>
  <c r="A227" i="2"/>
  <c r="E226" i="2"/>
  <c r="D226" i="2"/>
  <c r="C226" i="2"/>
  <c r="B226" i="2"/>
  <c r="A226" i="2"/>
  <c r="E225" i="2"/>
  <c r="D225" i="2"/>
  <c r="C225" i="2"/>
  <c r="B225" i="2"/>
  <c r="A225" i="2"/>
  <c r="E224" i="2"/>
  <c r="D224" i="2"/>
  <c r="C224" i="2"/>
  <c r="B224" i="2"/>
  <c r="A224" i="2"/>
  <c r="E223" i="2"/>
  <c r="D223" i="2"/>
  <c r="C223" i="2"/>
  <c r="B223" i="2"/>
  <c r="A223" i="2"/>
  <c r="E222" i="2"/>
  <c r="D222" i="2"/>
  <c r="C222" i="2"/>
  <c r="B222" i="2"/>
  <c r="A222" i="2"/>
  <c r="E221" i="2"/>
  <c r="D221" i="2"/>
  <c r="C221" i="2"/>
  <c r="B221" i="2"/>
  <c r="A221" i="2"/>
  <c r="E220" i="2"/>
  <c r="D220" i="2"/>
  <c r="C220" i="2"/>
  <c r="B220" i="2"/>
  <c r="A220" i="2"/>
  <c r="E219" i="2"/>
  <c r="D219" i="2"/>
  <c r="C219" i="2"/>
  <c r="B219" i="2"/>
  <c r="A219" i="2"/>
  <c r="E218" i="2"/>
  <c r="D218" i="2"/>
  <c r="C218" i="2"/>
  <c r="B218" i="2"/>
  <c r="A218" i="2"/>
  <c r="E217" i="2"/>
  <c r="D217" i="2"/>
  <c r="C217" i="2"/>
  <c r="B217" i="2"/>
  <c r="A217" i="2"/>
  <c r="E216" i="2"/>
  <c r="D216" i="2"/>
  <c r="C216" i="2"/>
  <c r="B216" i="2"/>
  <c r="A216" i="2"/>
  <c r="E215" i="2"/>
  <c r="D215" i="2"/>
  <c r="C215" i="2"/>
  <c r="B215" i="2"/>
  <c r="A215" i="2"/>
  <c r="E214" i="2"/>
  <c r="D214" i="2"/>
  <c r="C214" i="2"/>
  <c r="B214" i="2"/>
  <c r="A214" i="2"/>
  <c r="E213" i="2"/>
  <c r="D213" i="2"/>
  <c r="C213" i="2"/>
  <c r="B213" i="2"/>
  <c r="A213" i="2"/>
  <c r="E212" i="2"/>
  <c r="D212" i="2"/>
  <c r="C212" i="2"/>
  <c r="B212" i="2"/>
  <c r="A212" i="2"/>
  <c r="E211" i="2"/>
  <c r="D211" i="2"/>
  <c r="C211" i="2"/>
  <c r="B211" i="2"/>
  <c r="A211" i="2"/>
  <c r="E210" i="2"/>
  <c r="D210" i="2"/>
  <c r="C210" i="2"/>
  <c r="B210" i="2"/>
  <c r="A210" i="2"/>
  <c r="E209" i="2"/>
  <c r="D209" i="2"/>
  <c r="C209" i="2"/>
  <c r="B209" i="2"/>
  <c r="A209" i="2"/>
  <c r="E208" i="2"/>
  <c r="D208" i="2"/>
  <c r="C208" i="2"/>
  <c r="B208" i="2"/>
  <c r="A208" i="2"/>
  <c r="E207" i="2"/>
  <c r="D207" i="2"/>
  <c r="C207" i="2"/>
  <c r="B207" i="2"/>
  <c r="A207" i="2"/>
  <c r="E206" i="2"/>
  <c r="D206" i="2"/>
  <c r="C206" i="2"/>
  <c r="B206" i="2"/>
  <c r="A206" i="2"/>
  <c r="E205" i="2"/>
  <c r="D205" i="2"/>
  <c r="C205" i="2"/>
  <c r="B205" i="2"/>
  <c r="A205" i="2"/>
  <c r="E204" i="2"/>
  <c r="D204" i="2"/>
  <c r="C204" i="2"/>
  <c r="B204" i="2"/>
  <c r="A204" i="2"/>
  <c r="E203" i="2"/>
  <c r="D203" i="2"/>
  <c r="C203" i="2"/>
  <c r="B203" i="2"/>
  <c r="A203" i="2"/>
  <c r="E202" i="2"/>
  <c r="D202" i="2"/>
  <c r="C202" i="2"/>
  <c r="B202" i="2"/>
  <c r="A202" i="2"/>
  <c r="E201" i="2"/>
  <c r="D201" i="2"/>
  <c r="C201" i="2"/>
  <c r="B201" i="2"/>
  <c r="A201" i="2"/>
  <c r="E200" i="2"/>
  <c r="D200" i="2"/>
  <c r="C200" i="2"/>
  <c r="B200" i="2"/>
  <c r="A200" i="2"/>
  <c r="E199" i="2"/>
  <c r="D199" i="2"/>
  <c r="C199" i="2"/>
  <c r="B199" i="2"/>
  <c r="A199" i="2"/>
  <c r="E198" i="2"/>
  <c r="D198" i="2"/>
  <c r="C198" i="2"/>
  <c r="B198" i="2"/>
  <c r="A198" i="2"/>
  <c r="E197" i="2"/>
  <c r="D197" i="2"/>
  <c r="C197" i="2"/>
  <c r="B197" i="2"/>
  <c r="A197" i="2"/>
  <c r="E196" i="2"/>
  <c r="D196" i="2"/>
  <c r="C196" i="2"/>
  <c r="B196" i="2"/>
  <c r="A196" i="2"/>
  <c r="E195" i="2"/>
  <c r="D195" i="2"/>
  <c r="C195" i="2"/>
  <c r="B195" i="2"/>
  <c r="A195" i="2"/>
  <c r="E194" i="2"/>
  <c r="D194" i="2"/>
  <c r="C194" i="2"/>
  <c r="B194" i="2"/>
  <c r="A194" i="2"/>
  <c r="E193" i="2"/>
  <c r="D193" i="2"/>
  <c r="C193" i="2"/>
  <c r="B193" i="2"/>
  <c r="A193" i="2"/>
  <c r="E192" i="2"/>
  <c r="D192" i="2"/>
  <c r="C192" i="2"/>
  <c r="B192" i="2"/>
  <c r="A192" i="2"/>
  <c r="E191" i="2"/>
  <c r="D191" i="2"/>
  <c r="C191" i="2"/>
  <c r="B191" i="2"/>
  <c r="A191" i="2"/>
  <c r="E190" i="2"/>
  <c r="D190" i="2"/>
  <c r="C190" i="2"/>
  <c r="B190" i="2"/>
  <c r="A190" i="2"/>
  <c r="E189" i="2"/>
  <c r="D189" i="2"/>
  <c r="C189" i="2"/>
  <c r="B189" i="2"/>
  <c r="A189" i="2"/>
  <c r="E188" i="2"/>
  <c r="D188" i="2"/>
  <c r="C188" i="2"/>
  <c r="B188" i="2"/>
  <c r="A188" i="2"/>
  <c r="E187" i="2"/>
  <c r="D187" i="2"/>
  <c r="C187" i="2"/>
  <c r="B187" i="2"/>
  <c r="A187" i="2"/>
  <c r="E186" i="2"/>
  <c r="D186" i="2"/>
  <c r="C186" i="2"/>
  <c r="B186" i="2"/>
  <c r="A186" i="2"/>
  <c r="E185" i="2"/>
  <c r="D185" i="2"/>
  <c r="C185" i="2"/>
  <c r="B185" i="2"/>
  <c r="A185" i="2"/>
  <c r="E184" i="2"/>
  <c r="D184" i="2"/>
  <c r="C184" i="2"/>
  <c r="B184" i="2"/>
  <c r="A184" i="2"/>
  <c r="E183" i="2"/>
  <c r="D183" i="2"/>
  <c r="C183" i="2"/>
  <c r="B183" i="2"/>
  <c r="A183" i="2"/>
  <c r="E182" i="2"/>
  <c r="D182" i="2"/>
  <c r="C182" i="2"/>
  <c r="B182" i="2"/>
  <c r="A182" i="2"/>
  <c r="E181" i="2"/>
  <c r="D181" i="2"/>
  <c r="C181" i="2"/>
  <c r="B181" i="2"/>
  <c r="A181" i="2"/>
  <c r="E180" i="2"/>
  <c r="D180" i="2"/>
  <c r="C180" i="2"/>
  <c r="B180" i="2"/>
  <c r="A180" i="2"/>
  <c r="E179" i="2"/>
  <c r="D179" i="2"/>
  <c r="C179" i="2"/>
  <c r="B179" i="2"/>
  <c r="A179" i="2"/>
  <c r="E178" i="2"/>
  <c r="D178" i="2"/>
  <c r="C178" i="2"/>
  <c r="B178" i="2"/>
  <c r="A178" i="2"/>
  <c r="E177" i="2"/>
  <c r="D177" i="2"/>
  <c r="C177" i="2"/>
  <c r="B177" i="2"/>
  <c r="A177" i="2"/>
  <c r="E176" i="2"/>
  <c r="D176" i="2"/>
  <c r="C176" i="2"/>
  <c r="B176" i="2"/>
  <c r="A176" i="2"/>
  <c r="E175" i="2"/>
  <c r="D175" i="2"/>
  <c r="C175" i="2"/>
  <c r="B175" i="2"/>
  <c r="A175" i="2"/>
  <c r="E174" i="2"/>
  <c r="D174" i="2"/>
  <c r="C174" i="2"/>
  <c r="B174" i="2"/>
  <c r="A174" i="2"/>
  <c r="E173" i="2"/>
  <c r="D173" i="2"/>
  <c r="C173" i="2"/>
  <c r="B173" i="2"/>
  <c r="A173" i="2"/>
  <c r="E172" i="2"/>
  <c r="D172" i="2"/>
  <c r="C172" i="2"/>
  <c r="B172" i="2"/>
  <c r="A172" i="2"/>
  <c r="E171" i="2"/>
  <c r="D171" i="2"/>
  <c r="C171" i="2"/>
  <c r="B171" i="2"/>
  <c r="A171" i="2"/>
  <c r="E170" i="2"/>
  <c r="D170" i="2"/>
  <c r="C170" i="2"/>
  <c r="B170" i="2"/>
  <c r="A170" i="2"/>
  <c r="E169" i="2"/>
  <c r="D169" i="2"/>
  <c r="C169" i="2"/>
  <c r="B169" i="2"/>
  <c r="A169" i="2"/>
  <c r="E168" i="2"/>
  <c r="D168" i="2"/>
  <c r="C168" i="2"/>
  <c r="B168" i="2"/>
  <c r="A168" i="2"/>
  <c r="E167" i="2"/>
  <c r="D167" i="2"/>
  <c r="C167" i="2"/>
  <c r="B167" i="2"/>
  <c r="A167" i="2"/>
  <c r="E166" i="2"/>
  <c r="D166" i="2"/>
  <c r="C166" i="2"/>
  <c r="B166" i="2"/>
  <c r="A166" i="2"/>
  <c r="E165" i="2"/>
  <c r="D165" i="2"/>
  <c r="C165" i="2"/>
  <c r="B165" i="2"/>
  <c r="A165" i="2"/>
  <c r="E164" i="2"/>
  <c r="D164" i="2"/>
  <c r="C164" i="2"/>
  <c r="B164" i="2"/>
  <c r="A164" i="2"/>
  <c r="E163" i="2"/>
  <c r="D163" i="2"/>
  <c r="C163" i="2"/>
  <c r="B163" i="2"/>
  <c r="A163" i="2"/>
  <c r="E162" i="2"/>
  <c r="D162" i="2"/>
  <c r="C162" i="2"/>
  <c r="B162" i="2"/>
  <c r="A162" i="2"/>
  <c r="E161" i="2"/>
  <c r="D161" i="2"/>
  <c r="C161" i="2"/>
  <c r="B161" i="2"/>
  <c r="A161" i="2"/>
  <c r="E160" i="2"/>
  <c r="D160" i="2"/>
  <c r="C160" i="2"/>
  <c r="B160" i="2"/>
  <c r="A160" i="2"/>
  <c r="E159" i="2"/>
  <c r="D159" i="2"/>
  <c r="C159" i="2"/>
  <c r="B159" i="2"/>
  <c r="A159" i="2"/>
  <c r="E158" i="2"/>
  <c r="D158" i="2"/>
  <c r="C158" i="2"/>
  <c r="B158" i="2"/>
  <c r="A158" i="2"/>
  <c r="E157" i="2"/>
  <c r="D157" i="2"/>
  <c r="C157" i="2"/>
  <c r="B157" i="2"/>
  <c r="A157" i="2"/>
  <c r="E156" i="2"/>
  <c r="D156" i="2"/>
  <c r="C156" i="2"/>
  <c r="B156" i="2"/>
  <c r="A156" i="2"/>
  <c r="E155" i="2"/>
  <c r="D155" i="2"/>
  <c r="C155" i="2"/>
  <c r="B155" i="2"/>
  <c r="A155" i="2"/>
  <c r="E154" i="2"/>
  <c r="D154" i="2"/>
  <c r="C154" i="2"/>
  <c r="B154" i="2"/>
  <c r="A154" i="2"/>
  <c r="E153" i="2"/>
  <c r="D153" i="2"/>
  <c r="C153" i="2"/>
  <c r="B153" i="2"/>
  <c r="A153" i="2"/>
  <c r="E152" i="2"/>
  <c r="D152" i="2"/>
  <c r="C152" i="2"/>
  <c r="B152" i="2"/>
  <c r="A152" i="2"/>
  <c r="E151" i="2"/>
  <c r="D151" i="2"/>
  <c r="C151" i="2"/>
  <c r="B151" i="2"/>
  <c r="A151" i="2"/>
  <c r="E150" i="2"/>
  <c r="D150" i="2"/>
  <c r="C150" i="2"/>
  <c r="B150" i="2"/>
  <c r="A150" i="2"/>
  <c r="E149" i="2"/>
  <c r="D149" i="2"/>
  <c r="C149" i="2"/>
  <c r="B149" i="2"/>
  <c r="A149" i="2"/>
  <c r="E148" i="2"/>
  <c r="D148" i="2"/>
  <c r="C148" i="2"/>
  <c r="B148" i="2"/>
  <c r="A148" i="2"/>
  <c r="E147" i="2"/>
  <c r="D147" i="2"/>
  <c r="C147" i="2"/>
  <c r="B147" i="2"/>
  <c r="A147" i="2"/>
  <c r="E146" i="2"/>
  <c r="D146" i="2"/>
  <c r="C146" i="2"/>
  <c r="B146" i="2"/>
  <c r="A146" i="2"/>
  <c r="E145" i="2"/>
  <c r="D145" i="2"/>
  <c r="C145" i="2"/>
  <c r="B145" i="2"/>
  <c r="A145" i="2"/>
  <c r="E144" i="2"/>
  <c r="D144" i="2"/>
  <c r="C144" i="2"/>
  <c r="B144" i="2"/>
  <c r="A144" i="2"/>
  <c r="E143" i="2"/>
  <c r="D143" i="2"/>
  <c r="C143" i="2"/>
  <c r="B143" i="2"/>
  <c r="A143" i="2"/>
  <c r="E142" i="2"/>
  <c r="D142" i="2"/>
  <c r="C142" i="2"/>
  <c r="B142" i="2"/>
  <c r="A142" i="2"/>
  <c r="E141" i="2"/>
  <c r="D141" i="2"/>
  <c r="C141" i="2"/>
  <c r="B141" i="2"/>
  <c r="A141" i="2"/>
  <c r="E140" i="2"/>
  <c r="D140" i="2"/>
  <c r="C140" i="2"/>
  <c r="B140" i="2"/>
  <c r="A140" i="2"/>
  <c r="E139" i="2"/>
  <c r="D139" i="2"/>
  <c r="C139" i="2"/>
  <c r="B139" i="2"/>
  <c r="A139" i="2"/>
  <c r="E138" i="2"/>
  <c r="D138" i="2"/>
  <c r="C138" i="2"/>
  <c r="B138" i="2"/>
  <c r="A138" i="2"/>
  <c r="E137" i="2"/>
  <c r="D137" i="2"/>
  <c r="C137" i="2"/>
  <c r="B137" i="2"/>
  <c r="A137" i="2"/>
  <c r="E136" i="2"/>
  <c r="D136" i="2"/>
  <c r="C136" i="2"/>
  <c r="B136" i="2"/>
  <c r="A136" i="2"/>
  <c r="E135" i="2"/>
  <c r="D135" i="2"/>
  <c r="C135" i="2"/>
  <c r="B135" i="2"/>
  <c r="A135" i="2"/>
  <c r="E134" i="2"/>
  <c r="D134" i="2"/>
  <c r="C134" i="2"/>
  <c r="B134" i="2"/>
  <c r="A134" i="2"/>
  <c r="E133" i="2"/>
  <c r="D133" i="2"/>
  <c r="C133" i="2"/>
  <c r="B133" i="2"/>
  <c r="A133" i="2"/>
  <c r="E132" i="2"/>
  <c r="D132" i="2"/>
  <c r="C132" i="2"/>
  <c r="B132" i="2"/>
  <c r="A132" i="2"/>
  <c r="E131" i="2"/>
  <c r="D131" i="2"/>
  <c r="C131" i="2"/>
  <c r="B131" i="2"/>
  <c r="A131" i="2"/>
  <c r="E130" i="2"/>
  <c r="D130" i="2"/>
  <c r="C130" i="2"/>
  <c r="B130" i="2"/>
  <c r="A130" i="2"/>
  <c r="E129" i="2"/>
  <c r="D129" i="2"/>
  <c r="C129" i="2"/>
  <c r="B129" i="2"/>
  <c r="A129" i="2"/>
  <c r="E128" i="2"/>
  <c r="D128" i="2"/>
  <c r="C128" i="2"/>
  <c r="B128" i="2"/>
  <c r="A128" i="2"/>
  <c r="E127" i="2"/>
  <c r="D127" i="2"/>
  <c r="C127" i="2"/>
  <c r="B127" i="2"/>
  <c r="A127" i="2"/>
  <c r="E126" i="2"/>
  <c r="D126" i="2"/>
  <c r="C126" i="2"/>
  <c r="B126" i="2"/>
  <c r="A126" i="2"/>
  <c r="E125" i="2"/>
  <c r="D125" i="2"/>
  <c r="C125" i="2"/>
  <c r="B125" i="2"/>
  <c r="A125" i="2"/>
  <c r="E124" i="2"/>
  <c r="D124" i="2"/>
  <c r="C124" i="2"/>
  <c r="B124" i="2"/>
  <c r="A124" i="2"/>
  <c r="E123" i="2"/>
  <c r="D123" i="2"/>
  <c r="C123" i="2"/>
  <c r="B123" i="2"/>
  <c r="A123" i="2"/>
  <c r="E122" i="2"/>
  <c r="D122" i="2"/>
  <c r="C122" i="2"/>
  <c r="B122" i="2"/>
  <c r="A122" i="2"/>
  <c r="E121" i="2"/>
  <c r="D121" i="2"/>
  <c r="C121" i="2"/>
  <c r="B121" i="2"/>
  <c r="A121" i="2"/>
  <c r="E120" i="2"/>
  <c r="D120" i="2"/>
  <c r="C120" i="2"/>
  <c r="B120" i="2"/>
  <c r="A120" i="2"/>
  <c r="E119" i="2"/>
  <c r="D119" i="2"/>
  <c r="C119" i="2"/>
  <c r="B119" i="2"/>
  <c r="A119" i="2"/>
  <c r="E118" i="2"/>
  <c r="D118" i="2"/>
  <c r="C118" i="2"/>
  <c r="B118" i="2"/>
  <c r="A118" i="2"/>
  <c r="E117" i="2"/>
  <c r="D117" i="2"/>
  <c r="C117" i="2"/>
  <c r="B117" i="2"/>
  <c r="A117" i="2"/>
  <c r="E116" i="2"/>
  <c r="D116" i="2"/>
  <c r="C116" i="2"/>
  <c r="B116" i="2"/>
  <c r="A116" i="2"/>
  <c r="E115" i="2"/>
  <c r="D115" i="2"/>
  <c r="C115" i="2"/>
  <c r="B115" i="2"/>
  <c r="A115" i="2"/>
  <c r="E114" i="2"/>
  <c r="D114" i="2"/>
  <c r="C114" i="2"/>
  <c r="B114" i="2"/>
  <c r="A114" i="2"/>
  <c r="E113" i="2"/>
  <c r="D113" i="2"/>
  <c r="C113" i="2"/>
  <c r="B113" i="2"/>
  <c r="A113" i="2"/>
  <c r="E112" i="2"/>
  <c r="D112" i="2"/>
  <c r="C112" i="2"/>
  <c r="B112" i="2"/>
  <c r="A112" i="2"/>
  <c r="E111" i="2"/>
  <c r="D111" i="2"/>
  <c r="C111" i="2"/>
  <c r="B111" i="2"/>
  <c r="A111" i="2"/>
  <c r="E110" i="2"/>
  <c r="D110" i="2"/>
  <c r="C110" i="2"/>
  <c r="B110" i="2"/>
  <c r="A110" i="2"/>
  <c r="E109" i="2"/>
  <c r="D109" i="2"/>
  <c r="C109" i="2"/>
  <c r="B109" i="2"/>
  <c r="A109" i="2"/>
  <c r="E108" i="2"/>
  <c r="D108" i="2"/>
  <c r="C108" i="2"/>
  <c r="B108" i="2"/>
  <c r="A108" i="2"/>
  <c r="E107" i="2"/>
  <c r="D107" i="2"/>
  <c r="C107" i="2"/>
  <c r="B107" i="2"/>
  <c r="A107" i="2"/>
  <c r="E106" i="2"/>
  <c r="D106" i="2"/>
  <c r="C106" i="2"/>
  <c r="B106" i="2"/>
  <c r="A106" i="2"/>
  <c r="E105" i="2"/>
  <c r="D105" i="2"/>
  <c r="C105" i="2"/>
  <c r="B105" i="2"/>
  <c r="A105" i="2"/>
  <c r="E104" i="2"/>
  <c r="D104" i="2"/>
  <c r="C104" i="2"/>
  <c r="B104" i="2"/>
  <c r="A104" i="2"/>
  <c r="E103" i="2"/>
  <c r="D103" i="2"/>
  <c r="C103" i="2"/>
  <c r="B103" i="2"/>
  <c r="A103" i="2"/>
  <c r="E102" i="2"/>
  <c r="D102" i="2"/>
  <c r="C102" i="2"/>
  <c r="B102" i="2"/>
  <c r="A102" i="2"/>
  <c r="E101" i="2"/>
  <c r="D101" i="2"/>
  <c r="C101" i="2"/>
  <c r="B101" i="2"/>
  <c r="A101" i="2"/>
  <c r="E100" i="2"/>
  <c r="D100" i="2"/>
  <c r="C100" i="2"/>
  <c r="B100" i="2"/>
  <c r="A100" i="2"/>
  <c r="E99" i="2"/>
  <c r="D99" i="2"/>
  <c r="C99" i="2"/>
  <c r="B99" i="2"/>
  <c r="A99" i="2"/>
  <c r="E98" i="2"/>
  <c r="D98" i="2"/>
  <c r="C98" i="2"/>
  <c r="B98" i="2"/>
  <c r="A98" i="2"/>
  <c r="E97" i="2"/>
  <c r="D97" i="2"/>
  <c r="C97" i="2"/>
  <c r="B97" i="2"/>
  <c r="A97" i="2"/>
  <c r="E96" i="2"/>
  <c r="D96" i="2"/>
  <c r="C96" i="2"/>
  <c r="B96" i="2"/>
  <c r="A96" i="2"/>
  <c r="E95" i="2"/>
  <c r="D95" i="2"/>
  <c r="C95" i="2"/>
  <c r="B95" i="2"/>
  <c r="A95" i="2"/>
  <c r="E94" i="2"/>
  <c r="D94" i="2"/>
  <c r="C94" i="2"/>
  <c r="B94" i="2"/>
  <c r="A94" i="2"/>
  <c r="E93" i="2"/>
  <c r="D93" i="2"/>
  <c r="C93" i="2"/>
  <c r="B93" i="2"/>
  <c r="A93" i="2"/>
  <c r="E92" i="2"/>
  <c r="D92" i="2"/>
  <c r="C92" i="2"/>
  <c r="B92" i="2"/>
  <c r="A92" i="2"/>
  <c r="E91" i="2"/>
  <c r="D91" i="2"/>
  <c r="C91" i="2"/>
  <c r="B91" i="2"/>
  <c r="A91" i="2"/>
  <c r="E90" i="2"/>
  <c r="D90" i="2"/>
  <c r="C90" i="2"/>
  <c r="B90" i="2"/>
  <c r="A90" i="2"/>
  <c r="E89" i="2"/>
  <c r="D89" i="2"/>
  <c r="C89" i="2"/>
  <c r="B89" i="2"/>
  <c r="A89" i="2"/>
  <c r="E88" i="2"/>
  <c r="D88" i="2"/>
  <c r="C88" i="2"/>
  <c r="B88" i="2"/>
  <c r="A88" i="2"/>
  <c r="E87" i="2"/>
  <c r="D87" i="2"/>
  <c r="C87" i="2"/>
  <c r="B87" i="2"/>
  <c r="A87" i="2"/>
  <c r="E86" i="2"/>
  <c r="D86" i="2"/>
  <c r="C86" i="2"/>
  <c r="B86" i="2"/>
  <c r="A86" i="2"/>
  <c r="E85" i="2"/>
  <c r="D85" i="2"/>
  <c r="C85" i="2"/>
  <c r="B85" i="2"/>
  <c r="A85" i="2"/>
  <c r="E84" i="2"/>
  <c r="D84" i="2"/>
  <c r="C84" i="2"/>
  <c r="B84" i="2"/>
  <c r="A84" i="2"/>
  <c r="E83" i="2"/>
  <c r="D83" i="2"/>
  <c r="C83" i="2"/>
  <c r="B83" i="2"/>
  <c r="A83" i="2"/>
  <c r="E82" i="2"/>
  <c r="D82" i="2"/>
  <c r="C82" i="2"/>
  <c r="B82" i="2"/>
  <c r="A82" i="2"/>
  <c r="E81" i="2"/>
  <c r="D81" i="2"/>
  <c r="C81" i="2"/>
  <c r="B81" i="2"/>
  <c r="A81" i="2"/>
  <c r="E80" i="2"/>
  <c r="D80" i="2"/>
  <c r="C80" i="2"/>
  <c r="B80" i="2"/>
  <c r="A80" i="2"/>
  <c r="E79" i="2"/>
  <c r="D79" i="2"/>
  <c r="C79" i="2"/>
  <c r="B79" i="2"/>
  <c r="A79" i="2"/>
  <c r="E78" i="2"/>
  <c r="D78" i="2"/>
  <c r="C78" i="2"/>
  <c r="B78" i="2"/>
  <c r="A78" i="2"/>
  <c r="E77" i="2"/>
  <c r="D77" i="2"/>
  <c r="C77" i="2"/>
  <c r="B77" i="2"/>
  <c r="A77" i="2"/>
  <c r="E76" i="2"/>
  <c r="D76" i="2"/>
  <c r="C76" i="2"/>
  <c r="B76" i="2"/>
  <c r="A76" i="2"/>
  <c r="E75" i="2"/>
  <c r="D75" i="2"/>
  <c r="C75" i="2"/>
  <c r="B75" i="2"/>
  <c r="A75" i="2"/>
  <c r="E74" i="2"/>
  <c r="D74" i="2"/>
  <c r="C74" i="2"/>
  <c r="B74" i="2"/>
  <c r="A74" i="2"/>
  <c r="E73" i="2"/>
  <c r="D73" i="2"/>
  <c r="C73" i="2"/>
  <c r="B73" i="2"/>
  <c r="A73" i="2"/>
  <c r="E72" i="2"/>
  <c r="D72" i="2"/>
  <c r="C72" i="2"/>
  <c r="B72" i="2"/>
  <c r="A72" i="2"/>
  <c r="E71" i="2"/>
  <c r="D71" i="2"/>
  <c r="C71" i="2"/>
  <c r="B71" i="2"/>
  <c r="A71" i="2"/>
  <c r="E70" i="2"/>
  <c r="D70" i="2"/>
  <c r="C70" i="2"/>
  <c r="B70" i="2"/>
  <c r="A70" i="2"/>
  <c r="E69" i="2"/>
  <c r="D69" i="2"/>
  <c r="C69" i="2"/>
  <c r="B69" i="2"/>
  <c r="A69" i="2"/>
  <c r="E68" i="2"/>
  <c r="D68" i="2"/>
  <c r="C68" i="2"/>
  <c r="B68" i="2"/>
  <c r="A68" i="2"/>
  <c r="E67" i="2"/>
  <c r="D67" i="2"/>
  <c r="C67" i="2"/>
  <c r="B67" i="2"/>
  <c r="A67" i="2"/>
  <c r="E66" i="2"/>
  <c r="D66" i="2"/>
  <c r="C66" i="2"/>
  <c r="B66" i="2"/>
  <c r="A66" i="2"/>
  <c r="E65" i="2"/>
  <c r="D65" i="2"/>
  <c r="C65" i="2"/>
  <c r="B65" i="2"/>
  <c r="A65" i="2"/>
  <c r="E64" i="2"/>
  <c r="D64" i="2"/>
  <c r="C64" i="2"/>
  <c r="B64" i="2"/>
  <c r="A64" i="2"/>
  <c r="E63" i="2"/>
  <c r="D63" i="2"/>
  <c r="C63" i="2"/>
  <c r="B63" i="2"/>
  <c r="A63" i="2"/>
  <c r="E62" i="2"/>
  <c r="D62" i="2"/>
  <c r="C62" i="2"/>
  <c r="B62" i="2"/>
  <c r="A62" i="2"/>
  <c r="E61" i="2"/>
  <c r="D61" i="2"/>
  <c r="C61" i="2"/>
  <c r="B61" i="2"/>
  <c r="A61" i="2"/>
  <c r="E60" i="2"/>
  <c r="D60" i="2"/>
  <c r="C60" i="2"/>
  <c r="B60" i="2"/>
  <c r="A60" i="2"/>
  <c r="E59" i="2"/>
  <c r="D59" i="2"/>
  <c r="C59" i="2"/>
  <c r="B59" i="2"/>
  <c r="A59" i="2"/>
  <c r="E58" i="2"/>
  <c r="D58" i="2"/>
  <c r="C58" i="2"/>
  <c r="B58" i="2"/>
  <c r="A58" i="2"/>
  <c r="E57" i="2"/>
  <c r="D57" i="2"/>
  <c r="C57" i="2"/>
  <c r="B57" i="2"/>
  <c r="A57" i="2"/>
  <c r="E56" i="2"/>
  <c r="D56" i="2"/>
  <c r="C56" i="2"/>
  <c r="B56" i="2"/>
  <c r="A56" i="2"/>
  <c r="E55" i="2"/>
  <c r="D55" i="2"/>
  <c r="C55" i="2"/>
  <c r="B55" i="2"/>
  <c r="A55" i="2"/>
  <c r="E54" i="2"/>
  <c r="D54" i="2"/>
  <c r="C54" i="2"/>
  <c r="B54" i="2"/>
  <c r="A54" i="2"/>
  <c r="E53" i="2"/>
  <c r="D53" i="2"/>
  <c r="C53" i="2"/>
  <c r="B53" i="2"/>
  <c r="A53" i="2"/>
  <c r="E52" i="2"/>
  <c r="D52" i="2"/>
  <c r="C52" i="2"/>
  <c r="B52" i="2"/>
  <c r="A52" i="2"/>
  <c r="E51" i="2"/>
  <c r="D51" i="2"/>
  <c r="C51" i="2"/>
  <c r="B51" i="2"/>
  <c r="A51" i="2"/>
  <c r="E50" i="2"/>
  <c r="D50" i="2"/>
  <c r="C50" i="2"/>
  <c r="B50" i="2"/>
  <c r="A50" i="2"/>
  <c r="E49" i="2"/>
  <c r="D49" i="2"/>
  <c r="C49" i="2"/>
  <c r="B49" i="2"/>
  <c r="A49" i="2"/>
  <c r="E48" i="2"/>
  <c r="D48" i="2"/>
  <c r="C48" i="2"/>
  <c r="B48" i="2"/>
  <c r="A48" i="2"/>
  <c r="E47" i="2"/>
  <c r="D47" i="2"/>
  <c r="C47" i="2"/>
  <c r="B47" i="2"/>
  <c r="A47" i="2"/>
  <c r="E46" i="2"/>
  <c r="D46" i="2"/>
  <c r="C46" i="2"/>
  <c r="B46" i="2"/>
  <c r="A46" i="2"/>
  <c r="E45" i="2"/>
  <c r="D45" i="2"/>
  <c r="C45" i="2"/>
  <c r="B45" i="2"/>
  <c r="A45" i="2"/>
  <c r="E44" i="2"/>
  <c r="D44" i="2"/>
  <c r="C44" i="2"/>
  <c r="B44" i="2"/>
  <c r="A44" i="2"/>
  <c r="E43" i="2"/>
  <c r="D43" i="2"/>
  <c r="C43" i="2"/>
  <c r="B43" i="2"/>
  <c r="A43" i="2"/>
  <c r="E42" i="2"/>
  <c r="D42" i="2"/>
  <c r="C42" i="2"/>
  <c r="B42" i="2"/>
  <c r="A42" i="2"/>
  <c r="E41" i="2"/>
  <c r="D41" i="2"/>
  <c r="C41" i="2"/>
  <c r="B41" i="2"/>
  <c r="A41" i="2"/>
  <c r="E40" i="2"/>
  <c r="D40" i="2"/>
  <c r="C40" i="2"/>
  <c r="B40" i="2"/>
  <c r="A40" i="2"/>
  <c r="E39" i="2"/>
  <c r="D39" i="2"/>
  <c r="C39" i="2"/>
  <c r="B39" i="2"/>
  <c r="A39" i="2"/>
  <c r="E38" i="2"/>
  <c r="D38" i="2"/>
  <c r="C38" i="2"/>
  <c r="B38" i="2"/>
  <c r="A38" i="2"/>
  <c r="E37" i="2"/>
  <c r="D37" i="2"/>
  <c r="C37" i="2"/>
  <c r="B37" i="2"/>
  <c r="A37" i="2"/>
  <c r="E36" i="2"/>
  <c r="D36" i="2"/>
  <c r="C36" i="2"/>
  <c r="B36" i="2"/>
  <c r="A36" i="2"/>
  <c r="E35" i="2"/>
  <c r="D35" i="2"/>
  <c r="C35" i="2"/>
  <c r="B35" i="2"/>
  <c r="A35" i="2"/>
  <c r="E34" i="2"/>
  <c r="D34" i="2"/>
  <c r="C34" i="2"/>
  <c r="B34" i="2"/>
  <c r="A34" i="2"/>
  <c r="E33" i="2"/>
  <c r="D33" i="2"/>
  <c r="C33" i="2"/>
  <c r="B33" i="2"/>
  <c r="A33" i="2"/>
  <c r="E32" i="2"/>
  <c r="D32" i="2"/>
  <c r="C32" i="2"/>
  <c r="B32" i="2"/>
  <c r="A32" i="2"/>
  <c r="E31" i="2"/>
  <c r="D31" i="2"/>
  <c r="C31" i="2"/>
  <c r="B31" i="2"/>
  <c r="A31" i="2"/>
  <c r="E30" i="2"/>
  <c r="D30" i="2"/>
  <c r="C30" i="2"/>
  <c r="B30" i="2"/>
  <c r="A30" i="2"/>
  <c r="E29" i="2"/>
  <c r="D29" i="2"/>
  <c r="C29" i="2"/>
  <c r="B29" i="2"/>
  <c r="A29" i="2"/>
  <c r="E28" i="2"/>
  <c r="D28" i="2"/>
  <c r="C28" i="2"/>
  <c r="B28" i="2"/>
  <c r="A28" i="2"/>
  <c r="E27" i="2"/>
  <c r="D27" i="2"/>
  <c r="C27" i="2"/>
  <c r="B27" i="2"/>
  <c r="A27" i="2"/>
  <c r="E26" i="2"/>
  <c r="D26" i="2"/>
  <c r="C26" i="2"/>
  <c r="B26" i="2"/>
  <c r="A26" i="2"/>
  <c r="E25" i="2"/>
  <c r="D25" i="2"/>
  <c r="C25" i="2"/>
  <c r="B25" i="2"/>
  <c r="A25" i="2"/>
  <c r="E24" i="2"/>
  <c r="D24" i="2"/>
  <c r="C24" i="2"/>
  <c r="B24" i="2"/>
  <c r="A24" i="2"/>
  <c r="E23" i="2"/>
  <c r="D23" i="2"/>
  <c r="C23" i="2"/>
  <c r="B23" i="2"/>
  <c r="A23" i="2"/>
  <c r="E22" i="2"/>
  <c r="D22" i="2"/>
  <c r="C22" i="2"/>
  <c r="B22" i="2"/>
  <c r="A22" i="2"/>
  <c r="E21" i="2"/>
  <c r="D21" i="2"/>
  <c r="C21" i="2"/>
  <c r="B21" i="2"/>
  <c r="A21" i="2"/>
  <c r="E20" i="2"/>
  <c r="D20" i="2"/>
  <c r="C20" i="2"/>
  <c r="B20" i="2"/>
  <c r="A20" i="2"/>
  <c r="E19" i="2"/>
  <c r="D19" i="2"/>
  <c r="C19" i="2"/>
  <c r="B19" i="2"/>
  <c r="A19" i="2"/>
  <c r="E18" i="2"/>
  <c r="D18" i="2"/>
  <c r="C18" i="2"/>
  <c r="B18" i="2"/>
  <c r="A18" i="2"/>
  <c r="E17" i="2"/>
  <c r="D17" i="2"/>
  <c r="C17" i="2"/>
  <c r="B17" i="2"/>
  <c r="A17" i="2"/>
  <c r="E16" i="2"/>
  <c r="D16" i="2"/>
  <c r="C16" i="2"/>
  <c r="B16" i="2"/>
  <c r="A16" i="2"/>
  <c r="E15" i="2"/>
  <c r="D15" i="2"/>
  <c r="C15" i="2"/>
  <c r="B15" i="2"/>
  <c r="A15" i="2"/>
  <c r="E14" i="2"/>
  <c r="D14" i="2"/>
  <c r="C14" i="2"/>
  <c r="B14" i="2"/>
  <c r="A14" i="2"/>
  <c r="E13" i="2"/>
  <c r="D13" i="2"/>
  <c r="C13" i="2"/>
  <c r="B13" i="2"/>
  <c r="A13" i="2"/>
  <c r="E12" i="2"/>
  <c r="D12" i="2"/>
  <c r="C12" i="2"/>
  <c r="B12" i="2"/>
  <c r="A12" i="2"/>
  <c r="E11" i="2"/>
  <c r="D11" i="2"/>
  <c r="C11" i="2"/>
  <c r="B11" i="2"/>
  <c r="A11" i="2"/>
  <c r="E10" i="2"/>
  <c r="D10" i="2"/>
  <c r="C10" i="2"/>
  <c r="B10" i="2"/>
  <c r="A10" i="2"/>
  <c r="E9" i="2"/>
  <c r="D9" i="2"/>
  <c r="C9" i="2"/>
  <c r="B9" i="2"/>
  <c r="A9" i="2"/>
  <c r="E8" i="2"/>
  <c r="D8" i="2"/>
  <c r="C8" i="2"/>
  <c r="B8" i="2"/>
  <c r="A8" i="2"/>
  <c r="E7" i="2"/>
  <c r="D7" i="2"/>
  <c r="C7" i="2"/>
  <c r="B7" i="2"/>
  <c r="A7" i="2"/>
  <c r="E6" i="2"/>
  <c r="D6" i="2"/>
  <c r="C6" i="2"/>
  <c r="B6" i="2"/>
  <c r="A6" i="2"/>
  <c r="E5" i="2"/>
  <c r="D5" i="2"/>
  <c r="C5" i="2"/>
  <c r="B5" i="2"/>
  <c r="A5" i="2"/>
  <c r="E4" i="2"/>
  <c r="D4" i="2"/>
  <c r="C4" i="2"/>
  <c r="B4" i="2"/>
  <c r="A4" i="2"/>
  <c r="E3" i="2"/>
  <c r="D3" i="2"/>
  <c r="C3" i="2"/>
  <c r="B3" i="2"/>
  <c r="A3" i="2"/>
  <c r="E2" i="2"/>
  <c r="D2" i="2"/>
  <c r="C2" i="2"/>
  <c r="B2" i="2"/>
  <c r="A2" i="2"/>
  <c r="D24" i="1"/>
  <c r="L15" i="1" s="1"/>
  <c r="L17" i="1"/>
  <c r="L16" i="1"/>
  <c r="L14" i="1"/>
  <c r="L12" i="1"/>
  <c r="L8" i="1"/>
  <c r="L7" i="1"/>
  <c r="L5" i="1"/>
  <c r="L3" i="1"/>
  <c r="H217" i="1" l="1"/>
  <c r="H82" i="1"/>
  <c r="H187" i="1"/>
  <c r="H202" i="1"/>
  <c r="C6" i="1"/>
  <c r="H37" i="1"/>
  <c r="H52" i="1"/>
  <c r="E7" i="1"/>
  <c r="H67" i="1"/>
  <c r="H127" i="1"/>
  <c r="H142" i="1"/>
  <c r="H157" i="1"/>
  <c r="E5" i="1"/>
  <c r="H97" i="1"/>
  <c r="H172" i="1"/>
  <c r="H112" i="1"/>
  <c r="J8" i="1" l="1"/>
  <c r="J7" i="1"/>
  <c r="J5" i="1"/>
  <c r="J6" i="1"/>
  <c r="J9" i="1"/>
  <c r="L6" i="1" s="1"/>
  <c r="L13" i="1"/>
  <c r="L4" i="1"/>
  <c r="H22" i="1"/>
</calcChain>
</file>

<file path=xl/sharedStrings.xml><?xml version="1.0" encoding="utf-8"?>
<sst xmlns="http://schemas.openxmlformats.org/spreadsheetml/2006/main" count="44" uniqueCount="34">
  <si>
    <t>w</t>
  </si>
  <si>
    <t>CALCULADORA GENESIS  COMMUNITY V3</t>
  </si>
  <si>
    <t>PLANTILLA TUNEOS</t>
  </si>
  <si>
    <t>MODELO</t>
  </si>
  <si>
    <t>CATEGORÍA</t>
  </si>
  <si>
    <t>PRESUPUESTO</t>
  </si>
  <si>
    <t>MOTOR</t>
  </si>
  <si>
    <t>&lt;-- NOMBRE IC</t>
  </si>
  <si>
    <t>PERFORMANCE</t>
  </si>
  <si>
    <t>FULL TUNNING</t>
  </si>
  <si>
    <t>CUSTOM</t>
  </si>
  <si>
    <t>COSMETIC</t>
  </si>
  <si>
    <t>PINTURA CAMALEÓNICA</t>
  </si>
  <si>
    <t>MECÁNICA</t>
  </si>
  <si>
    <t>PRECIO TOTAL</t>
  </si>
  <si>
    <t>PIEZAS</t>
  </si>
  <si>
    <t>FULL</t>
  </si>
  <si>
    <t>PLANTILLA REPARACIONES</t>
  </si>
  <si>
    <t>DESCUENTO (%)</t>
  </si>
  <si>
    <t>PORCENTAJE</t>
  </si>
  <si>
    <t>NEGOCIOS</t>
  </si>
  <si>
    <t>N/A</t>
  </si>
  <si>
    <t>REPARACIÓN</t>
  </si>
  <si>
    <t xml:space="preserve"> Partes del chasis </t>
  </si>
  <si>
    <t>Partes esenciales</t>
  </si>
  <si>
    <t>Partes de servicio</t>
  </si>
  <si>
    <t>NOMBRE DEL MECÁNICO</t>
  </si>
  <si>
    <t>Matrícula</t>
  </si>
  <si>
    <t>Modelo</t>
  </si>
  <si>
    <t>Nombre</t>
  </si>
  <si>
    <t>Precio</t>
  </si>
  <si>
    <t>Categoría</t>
  </si>
  <si>
    <t>FOTOS</t>
  </si>
  <si>
    <t>ruffian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</si>
</sst>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"/>
  </numFmts>
  <fonts count="2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Oswald"/>
    </font>
    <font>
      <b/>
      <sz val="17"/>
      <color rgb="FFFFFFFF"/>
      <name val="Oswald"/>
    </font>
    <font>
      <sz val="10"/>
      <name val="Arial"/>
    </font>
    <font>
      <sz val="14"/>
      <color rgb="FFFFFFFF"/>
      <name val="Oswald"/>
    </font>
    <font>
      <sz val="16"/>
      <color rgb="FFFFFFFF"/>
      <name val="Oswald"/>
    </font>
    <font>
      <sz val="10"/>
      <color rgb="FFFFFFFF"/>
      <name val="Oswald"/>
    </font>
    <font>
      <b/>
      <sz val="12"/>
      <color rgb="FFFFFFFF"/>
      <name val="Oswald"/>
    </font>
    <font>
      <sz val="14"/>
      <color theme="1"/>
      <name val="Oswald"/>
    </font>
    <font>
      <sz val="14"/>
      <color theme="1"/>
      <name val="Arial"/>
    </font>
    <font>
      <sz val="18"/>
      <color rgb="FFFFFFFF"/>
      <name val="Oswald"/>
    </font>
    <font>
      <sz val="17"/>
      <color rgb="FFFFFFFF"/>
      <name val="Oswald"/>
    </font>
    <font>
      <b/>
      <sz val="18"/>
      <color rgb="FFFFFFFF"/>
      <name val="Oswald"/>
    </font>
    <font>
      <sz val="15"/>
      <color rgb="FFFFFFFF"/>
      <name val="Oswald"/>
    </font>
    <font>
      <b/>
      <sz val="19"/>
      <color rgb="FFFFFFFF"/>
      <name val="Oswald"/>
    </font>
    <font>
      <b/>
      <sz val="26"/>
      <color rgb="FFFFFFFF"/>
      <name val="Oswald"/>
    </font>
    <font>
      <b/>
      <sz val="20"/>
      <color rgb="FFFFFFFF"/>
      <name val="Oswald"/>
    </font>
    <font>
      <sz val="13"/>
      <color rgb="FFFFFFFF"/>
      <name val="Oswald"/>
    </font>
    <font>
      <sz val="10"/>
      <color rgb="FFFFFFFF"/>
      <name val="Arial"/>
    </font>
    <font>
      <b/>
      <sz val="20"/>
      <color theme="1"/>
      <name val="Calibri"/>
    </font>
    <font>
      <b/>
      <sz val="12"/>
      <color rgb="FF000000"/>
      <name val="Arial"/>
    </font>
    <font>
      <b/>
      <u/>
      <sz val="12"/>
      <color rgb="FF000000"/>
      <name val="Arial"/>
    </font>
    <font>
      <b/>
      <u/>
      <sz val="12"/>
      <color rgb="FF000000"/>
      <name val="Arial"/>
    </font>
    <font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8" fillId="3" borderId="4" xfId="0" applyFont="1" applyFill="1" applyBorder="1"/>
    <xf numFmtId="0" fontId="8" fillId="3" borderId="0" xfId="0" applyFont="1" applyFill="1"/>
    <xf numFmtId="0" fontId="8" fillId="3" borderId="5" xfId="0" applyFont="1" applyFill="1" applyBorder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top"/>
    </xf>
    <xf numFmtId="164" fontId="5" fillId="4" borderId="6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5" fillId="4" borderId="7" xfId="0" applyNumberFormat="1" applyFont="1" applyFill="1" applyBorder="1" applyAlignment="1">
      <alignment horizontal="center" vertical="center"/>
    </xf>
    <xf numFmtId="0" fontId="8" fillId="3" borderId="8" xfId="0" applyFont="1" applyFill="1" applyBorder="1"/>
    <xf numFmtId="0" fontId="8" fillId="3" borderId="9" xfId="0" applyFont="1" applyFill="1" applyBorder="1"/>
    <xf numFmtId="0" fontId="8" fillId="3" borderId="10" xfId="0" applyFont="1" applyFill="1" applyBorder="1"/>
    <xf numFmtId="0" fontId="5" fillId="5" borderId="6" xfId="0" applyFont="1" applyFill="1" applyBorder="1" applyAlignment="1">
      <alignment horizontal="center" vertical="center"/>
    </xf>
    <xf numFmtId="164" fontId="16" fillId="3" borderId="6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8" fillId="3" borderId="14" xfId="0" applyFont="1" applyFill="1" applyBorder="1"/>
    <xf numFmtId="0" fontId="8" fillId="3" borderId="15" xfId="0" applyFont="1" applyFill="1" applyBorder="1"/>
    <xf numFmtId="0" fontId="8" fillId="3" borderId="16" xfId="0" applyFont="1" applyFill="1" applyBorder="1"/>
    <xf numFmtId="0" fontId="5" fillId="4" borderId="6" xfId="0" applyFont="1" applyFill="1" applyBorder="1" applyAlignment="1">
      <alignment horizontal="center"/>
    </xf>
    <xf numFmtId="164" fontId="17" fillId="0" borderId="0" xfId="0" applyNumberFormat="1" applyFont="1" applyAlignment="1">
      <alignment horizontal="center"/>
    </xf>
    <xf numFmtId="0" fontId="7" fillId="0" borderId="0" xfId="0" applyFont="1" applyAlignment="1">
      <alignment vertical="top"/>
    </xf>
    <xf numFmtId="0" fontId="18" fillId="2" borderId="6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right" vertical="center"/>
    </xf>
    <xf numFmtId="164" fontId="5" fillId="4" borderId="14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9" fillId="0" borderId="0" xfId="0" applyFont="1"/>
    <xf numFmtId="0" fontId="20" fillId="6" borderId="7" xfId="0" applyFont="1" applyFill="1" applyBorder="1" applyAlignment="1">
      <alignment horizontal="center" vertical="top"/>
    </xf>
    <xf numFmtId="0" fontId="21" fillId="7" borderId="6" xfId="0" applyFont="1" applyFill="1" applyBorder="1"/>
    <xf numFmtId="0" fontId="21" fillId="7" borderId="6" xfId="0" applyFont="1" applyFill="1" applyBorder="1" applyAlignment="1">
      <alignment horizontal="center"/>
    </xf>
    <xf numFmtId="0" fontId="22" fillId="7" borderId="6" xfId="0" applyFont="1" applyFill="1" applyBorder="1" applyAlignment="1">
      <alignment horizontal="center"/>
    </xf>
    <xf numFmtId="0" fontId="23" fillId="7" borderId="6" xfId="0" applyFont="1" applyFill="1" applyBorder="1" applyAlignment="1">
      <alignment horizontal="center"/>
    </xf>
    <xf numFmtId="0" fontId="24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6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4" fontId="13" fillId="4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0" xfId="0"/>
    <xf numFmtId="0" fontId="15" fillId="2" borderId="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4" fillId="0" borderId="12" xfId="0" applyFont="1" applyBorder="1"/>
    <xf numFmtId="0" fontId="4" fillId="0" borderId="13" xfId="0" applyFont="1" applyBorder="1"/>
    <xf numFmtId="0" fontId="5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800100</xdr:colOff>
      <xdr:row>17</xdr:row>
      <xdr:rowOff>161925</xdr:rowOff>
    </xdr:from>
    <xdr:ext cx="3733800" cy="30765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cs.fivem.net/vehicles/penumbra.webp" TargetMode="External"/><Relationship Id="rId21" Type="http://schemas.openxmlformats.org/officeDocument/2006/relationships/hyperlink" Target="https://docs.fivem.net/vehicles/club.webp" TargetMode="External"/><Relationship Id="rId324" Type="http://schemas.openxmlformats.org/officeDocument/2006/relationships/hyperlink" Target="https://docs.fivem.net/vehicles/vigero3.webp" TargetMode="External"/><Relationship Id="rId531" Type="http://schemas.openxmlformats.org/officeDocument/2006/relationships/hyperlink" Target="https://docs.fivem.net/vehicles/gbsolacev.webp" TargetMode="External"/><Relationship Id="rId170" Type="http://schemas.openxmlformats.org/officeDocument/2006/relationships/hyperlink" Target="https://docs.fivem.net/vehicles/monroe.webp" TargetMode="External"/><Relationship Id="rId268" Type="http://schemas.openxmlformats.org/officeDocument/2006/relationships/hyperlink" Target="https://docs.fivem.net/vehicles/clique.webp" TargetMode="External"/><Relationship Id="rId475" Type="http://schemas.openxmlformats.org/officeDocument/2006/relationships/hyperlink" Target="https://docs.fivem.net/vehicles/outlaw.webp" TargetMode="External"/><Relationship Id="rId32" Type="http://schemas.openxmlformats.org/officeDocument/2006/relationships/hyperlink" Target="https://docs.fivem.net/vehicles/prairie.webp" TargetMode="External"/><Relationship Id="rId128" Type="http://schemas.openxmlformats.org/officeDocument/2006/relationships/hyperlink" Target="https://docs.fivem.net/vehicles/schafter3.webp" TargetMode="External"/><Relationship Id="rId335" Type="http://schemas.openxmlformats.org/officeDocument/2006/relationships/hyperlink" Target="https://docs.fivem.net/vehicles/cinquemila.webp" TargetMode="External"/><Relationship Id="rId542" Type="http://schemas.openxmlformats.org/officeDocument/2006/relationships/hyperlink" Target="https://docs.fivem.net/vehicles/obeysport.webp" TargetMode="External"/><Relationship Id="rId181" Type="http://schemas.openxmlformats.org/officeDocument/2006/relationships/hyperlink" Target="https://docs.fivem.net/vehicles/stingergt.webp" TargetMode="External"/><Relationship Id="rId402" Type="http://schemas.openxmlformats.org/officeDocument/2006/relationships/hyperlink" Target="https://docs.fivem.net/vehicles/torero2.webp" TargetMode="External"/><Relationship Id="rId279" Type="http://schemas.openxmlformats.org/officeDocument/2006/relationships/hyperlink" Target="https://docs.fivem.net/vehicles/dukes3.webp" TargetMode="External"/><Relationship Id="rId486" Type="http://schemas.openxmlformats.org/officeDocument/2006/relationships/hyperlink" Target="https://docs.fivem.net/vehicles/verus.webp" TargetMode="External"/><Relationship Id="rId43" Type="http://schemas.openxmlformats.org/officeDocument/2006/relationships/hyperlink" Target="https://docs.fivem.net/vehicles/fr36.webp" TargetMode="External"/><Relationship Id="rId139" Type="http://schemas.openxmlformats.org/officeDocument/2006/relationships/hyperlink" Target="https://docs.fivem.net/vehicles/sultan2.webp" TargetMode="External"/><Relationship Id="rId346" Type="http://schemas.openxmlformats.org/officeDocument/2006/relationships/hyperlink" Target="https://docs.fivem.net/vehicles/premier.webp" TargetMode="External"/><Relationship Id="rId192" Type="http://schemas.openxmlformats.org/officeDocument/2006/relationships/hyperlink" Target="https://docs.fivem.net/vehicles/bobcatxl.webp" TargetMode="External"/><Relationship Id="rId206" Type="http://schemas.openxmlformats.org/officeDocument/2006/relationships/hyperlink" Target="https://docs.fivem.net/vehicles/bati.webp" TargetMode="External"/><Relationship Id="rId413" Type="http://schemas.openxmlformats.org/officeDocument/2006/relationships/hyperlink" Target="https://docs.fivem.net/vehicles/zentorno.webp" TargetMode="External"/><Relationship Id="rId497" Type="http://schemas.openxmlformats.org/officeDocument/2006/relationships/hyperlink" Target="https://docs.fivem.net/vehicles/gbbisonhf.webp" TargetMode="External"/><Relationship Id="rId12" Type="http://schemas.openxmlformats.org/officeDocument/2006/relationships/hyperlink" Target="https://docs.fivem.net/vehicles/openwheel1.webp" TargetMode="External"/><Relationship Id="rId108" Type="http://schemas.openxmlformats.org/officeDocument/2006/relationships/hyperlink" Target="https://docs.fivem.net/vehicles/ninef.webp" TargetMode="External"/><Relationship Id="rId315" Type="http://schemas.openxmlformats.org/officeDocument/2006/relationships/hyperlink" Target="https://docs.fivem.net/vehicles/stalion.webp" TargetMode="External"/><Relationship Id="rId357" Type="http://schemas.openxmlformats.org/officeDocument/2006/relationships/hyperlink" Target="https://docs.fivem.net/vehicles/tailgater.webp" TargetMode="External"/><Relationship Id="rId522" Type="http://schemas.openxmlformats.org/officeDocument/2006/relationships/hyperlink" Target="https://docs.fivem.net/vehicles/gbronin.webp" TargetMode="External"/><Relationship Id="rId54" Type="http://schemas.openxmlformats.org/officeDocument/2006/relationships/hyperlink" Target="https://docs.fivem.net/vehicles/windsor.webp" TargetMode="External"/><Relationship Id="rId96" Type="http://schemas.openxmlformats.org/officeDocument/2006/relationships/hyperlink" Target="https://docs.fivem.net/vehicles/jester3.webp" TargetMode="External"/><Relationship Id="rId161" Type="http://schemas.openxmlformats.org/officeDocument/2006/relationships/hyperlink" Target="https://docs.fivem.net/vehicles/dynasty.webp" TargetMode="External"/><Relationship Id="rId217" Type="http://schemas.openxmlformats.org/officeDocument/2006/relationships/hyperlink" Target="https://docs.fivem.net/vehicles/defiler.webp" TargetMode="External"/><Relationship Id="rId399" Type="http://schemas.openxmlformats.org/officeDocument/2006/relationships/hyperlink" Target="https://docs.fivem.net/vehicles/tezeract.webp" TargetMode="External"/><Relationship Id="rId259" Type="http://schemas.openxmlformats.org/officeDocument/2006/relationships/hyperlink" Target="https://docs.fivem.net/vehicles/brigham.webp" TargetMode="External"/><Relationship Id="rId424" Type="http://schemas.openxmlformats.org/officeDocument/2006/relationships/hyperlink" Target="https://docs.fivem.net/vehicles/castigator.webp" TargetMode="External"/><Relationship Id="rId466" Type="http://schemas.openxmlformats.org/officeDocument/2006/relationships/hyperlink" Target="https://docs.fivem.net/vehicles/freecrawler.webp" TargetMode="External"/><Relationship Id="rId23" Type="http://schemas.openxmlformats.org/officeDocument/2006/relationships/hyperlink" Target="https://docs.fivem.net/vehicles/issi2.webp" TargetMode="External"/><Relationship Id="rId119" Type="http://schemas.openxmlformats.org/officeDocument/2006/relationships/hyperlink" Target="https://docs.fivem.net/vehicles/pipistrello.webp" TargetMode="External"/><Relationship Id="rId270" Type="http://schemas.openxmlformats.org/officeDocument/2006/relationships/hyperlink" Target="https://docs.fivem.net/vehicles/deviant.webp" TargetMode="External"/><Relationship Id="rId326" Type="http://schemas.openxmlformats.org/officeDocument/2006/relationships/hyperlink" Target="https://docs.fivem.net/vehicles/virgo2.webp" TargetMode="External"/><Relationship Id="rId533" Type="http://schemas.openxmlformats.org/officeDocument/2006/relationships/hyperlink" Target="https://docs.fivem.net/vehicles/gbsultanrsx.webp" TargetMode="External"/><Relationship Id="rId65" Type="http://schemas.openxmlformats.org/officeDocument/2006/relationships/hyperlink" Target="https://docs.fivem.net/vehicles/comet3.webp" TargetMode="External"/><Relationship Id="rId130" Type="http://schemas.openxmlformats.org/officeDocument/2006/relationships/hyperlink" Target="https://docs.fivem.net/vehicles/schlagen.webp" TargetMode="External"/><Relationship Id="rId368" Type="http://schemas.openxmlformats.org/officeDocument/2006/relationships/hyperlink" Target="https://docs.fivem.net/vehicles/cyclone.webp" TargetMode="External"/><Relationship Id="rId172" Type="http://schemas.openxmlformats.org/officeDocument/2006/relationships/hyperlink" Target="https://docs.fivem.net/vehicles/peyote.webp" TargetMode="External"/><Relationship Id="rId228" Type="http://schemas.openxmlformats.org/officeDocument/2006/relationships/hyperlink" Target="https://docs.fivem.net/vehicles/gargoyle.webp" TargetMode="External"/><Relationship Id="rId435" Type="http://schemas.openxmlformats.org/officeDocument/2006/relationships/hyperlink" Target="https://docs.fivem.net/vehicles/gresley.webp" TargetMode="External"/><Relationship Id="rId477" Type="http://schemas.openxmlformats.org/officeDocument/2006/relationships/hyperlink" Target="https://docs.fivem.net/vehicles/ratel.webp" TargetMode="External"/><Relationship Id="rId281" Type="http://schemas.openxmlformats.org/officeDocument/2006/relationships/hyperlink" Target="https://docs.fivem.net/vehicles/faction.webp" TargetMode="External"/><Relationship Id="rId337" Type="http://schemas.openxmlformats.org/officeDocument/2006/relationships/hyperlink" Target="https://docs.fivem.net/vehicles/emperor.webp" TargetMode="External"/><Relationship Id="rId502" Type="http://schemas.openxmlformats.org/officeDocument/2006/relationships/hyperlink" Target="https://docs.fivem.net/vehicles/gbcomets2rc.webp" TargetMode="External"/><Relationship Id="rId34" Type="http://schemas.openxmlformats.org/officeDocument/2006/relationships/hyperlink" Target="https://docs.fivem.net/vehicles/weevil.webp" TargetMode="External"/><Relationship Id="rId76" Type="http://schemas.openxmlformats.org/officeDocument/2006/relationships/hyperlink" Target="https://docs.fivem.net/vehicles/drafter.webp" TargetMode="External"/><Relationship Id="rId141" Type="http://schemas.openxmlformats.org/officeDocument/2006/relationships/hyperlink" Target="https://docs.fivem.net/vehicles/sultanrs.webp" TargetMode="External"/><Relationship Id="rId379" Type="http://schemas.openxmlformats.org/officeDocument/2006/relationships/hyperlink" Target="https://docs.fivem.net/vehicles/italigtb.webp" TargetMode="External"/><Relationship Id="rId544" Type="http://schemas.openxmlformats.org/officeDocument/2006/relationships/hyperlink" Target="https://docs.fivem.net/vehicles/revenant.webp" TargetMode="External"/><Relationship Id="rId7" Type="http://schemas.openxmlformats.org/officeDocument/2006/relationships/hyperlink" Target="https://docs.fivem.net/vehicles/tribike.webp" TargetMode="External"/><Relationship Id="rId183" Type="http://schemas.openxmlformats.org/officeDocument/2006/relationships/hyperlink" Target="https://docs.fivem.net/vehicles/torero.webp" TargetMode="External"/><Relationship Id="rId239" Type="http://schemas.openxmlformats.org/officeDocument/2006/relationships/hyperlink" Target="https://docs.fivem.net/vehicles/pizzaboy.webp" TargetMode="External"/><Relationship Id="rId390" Type="http://schemas.openxmlformats.org/officeDocument/2006/relationships/hyperlink" Target="https://docs.fivem.net/vehicles/prototipo.webp" TargetMode="External"/><Relationship Id="rId404" Type="http://schemas.openxmlformats.org/officeDocument/2006/relationships/hyperlink" Target="https://docs.fivem.net/vehicles/turismor.webp" TargetMode="External"/><Relationship Id="rId446" Type="http://schemas.openxmlformats.org/officeDocument/2006/relationships/hyperlink" Target="https://docs.fivem.net/vehicles/rebla.webp" TargetMode="External"/><Relationship Id="rId250" Type="http://schemas.openxmlformats.org/officeDocument/2006/relationships/hyperlink" Target="https://docs.fivem.net/vehicles/stryder.webp" TargetMode="External"/><Relationship Id="rId292" Type="http://schemas.openxmlformats.org/officeDocument/2006/relationships/hyperlink" Target="https://docs.fivem.net/vehicles/hustler.webp" TargetMode="External"/><Relationship Id="rId306" Type="http://schemas.openxmlformats.org/officeDocument/2006/relationships/hyperlink" Target="https://docs.fivem.net/vehicles/picador.webp" TargetMode="External"/><Relationship Id="rId488" Type="http://schemas.openxmlformats.org/officeDocument/2006/relationships/hyperlink" Target="https://docs.fivem.net/vehicles/yosemite3.webp" TargetMode="External"/><Relationship Id="rId45" Type="http://schemas.openxmlformats.org/officeDocument/2006/relationships/hyperlink" Target="https://docs.fivem.net/vehicles/jackal.webp" TargetMode="External"/><Relationship Id="rId87" Type="http://schemas.openxmlformats.org/officeDocument/2006/relationships/hyperlink" Target="https://docs.fivem.net/vehicles/furoregt.webp" TargetMode="External"/><Relationship Id="rId110" Type="http://schemas.openxmlformats.org/officeDocument/2006/relationships/hyperlink" Target="https://docs.fivem.net/vehicles/niobe.webp" TargetMode="External"/><Relationship Id="rId348" Type="http://schemas.openxmlformats.org/officeDocument/2006/relationships/hyperlink" Target="https://docs.fivem.net/vehicles/primo2.webp" TargetMode="External"/><Relationship Id="rId513" Type="http://schemas.openxmlformats.org/officeDocument/2006/relationships/hyperlink" Target="https://docs.fivem.net/vehicles/gbkomodagt.webp" TargetMode="External"/><Relationship Id="rId152" Type="http://schemas.openxmlformats.org/officeDocument/2006/relationships/hyperlink" Target="https://docs.fivem.net/vehicles/btype.webp" TargetMode="External"/><Relationship Id="rId194" Type="http://schemas.openxmlformats.org/officeDocument/2006/relationships/hyperlink" Target="https://docs.fivem.net/vehicles/journey.webp" TargetMode="External"/><Relationship Id="rId208" Type="http://schemas.openxmlformats.org/officeDocument/2006/relationships/hyperlink" Target="https://docs.fivem.net/vehicles/bf400.webp" TargetMode="External"/><Relationship Id="rId415" Type="http://schemas.openxmlformats.org/officeDocument/2006/relationships/hyperlink" Target="https://docs.fivem.net/vehicles/aleutian.webp" TargetMode="External"/><Relationship Id="rId457" Type="http://schemas.openxmlformats.org/officeDocument/2006/relationships/hyperlink" Target="https://docs.fivem.net/vehicles/blazer3.webp" TargetMode="External"/><Relationship Id="rId261" Type="http://schemas.openxmlformats.org/officeDocument/2006/relationships/hyperlink" Target="https://docs.fivem.net/vehicles/buccaneer2.webp" TargetMode="External"/><Relationship Id="rId499" Type="http://schemas.openxmlformats.org/officeDocument/2006/relationships/hyperlink" Target="https://docs.fivem.net/vehicles/gbcometcl.webp" TargetMode="External"/><Relationship Id="rId14" Type="http://schemas.openxmlformats.org/officeDocument/2006/relationships/hyperlink" Target="https://docs.fivem.net/vehicles/asbo.webp" TargetMode="External"/><Relationship Id="rId56" Type="http://schemas.openxmlformats.org/officeDocument/2006/relationships/hyperlink" Target="https://docs.fivem.net/vehicles/zion.webp" TargetMode="External"/><Relationship Id="rId317" Type="http://schemas.openxmlformats.org/officeDocument/2006/relationships/hyperlink" Target="https://docs.fivem.net/vehicles/tampa.webp" TargetMode="External"/><Relationship Id="rId359" Type="http://schemas.openxmlformats.org/officeDocument/2006/relationships/hyperlink" Target="https://docs.fivem.net/vehicles/warrener.webp" TargetMode="External"/><Relationship Id="rId524" Type="http://schemas.openxmlformats.org/officeDocument/2006/relationships/hyperlink" Target="https://docs.fivem.net/vehicles/gbschlagenr.webp" TargetMode="External"/><Relationship Id="rId98" Type="http://schemas.openxmlformats.org/officeDocument/2006/relationships/hyperlink" Target="https://docs.fivem.net/vehicles/jugular.webp" TargetMode="External"/><Relationship Id="rId121" Type="http://schemas.openxmlformats.org/officeDocument/2006/relationships/hyperlink" Target="https://docs.fivem.net/vehicles/rapidgt.webp" TargetMode="External"/><Relationship Id="rId163" Type="http://schemas.openxmlformats.org/officeDocument/2006/relationships/hyperlink" Target="https://docs.fivem.net/vehicles/fagaloa.webp" TargetMode="External"/><Relationship Id="rId219" Type="http://schemas.openxmlformats.org/officeDocument/2006/relationships/hyperlink" Target="https://docs.fivem.net/vehicles/diablous2.webp" TargetMode="External"/><Relationship Id="rId370" Type="http://schemas.openxmlformats.org/officeDocument/2006/relationships/hyperlink" Target="https://docs.fivem.net/vehicles/emerus.webp" TargetMode="External"/><Relationship Id="rId426" Type="http://schemas.openxmlformats.org/officeDocument/2006/relationships/hyperlink" Target="https://docs.fivem.net/vehicles/cavalcade2.webp" TargetMode="External"/><Relationship Id="rId230" Type="http://schemas.openxmlformats.org/officeDocument/2006/relationships/hyperlink" Target="https://docs.fivem.net/vehicles/hakuchou2.webp" TargetMode="External"/><Relationship Id="rId468" Type="http://schemas.openxmlformats.org/officeDocument/2006/relationships/hyperlink" Target="https://docs.fivem.net/vehicles/hellion.webp" TargetMode="External"/><Relationship Id="rId25" Type="http://schemas.openxmlformats.org/officeDocument/2006/relationships/hyperlink" Target="https://docs.fivem.net/vehicles/issi4.webp" TargetMode="External"/><Relationship Id="rId67" Type="http://schemas.openxmlformats.org/officeDocument/2006/relationships/hyperlink" Target="https://docs.fivem.net/vehicles/comet5.webp" TargetMode="External"/><Relationship Id="rId272" Type="http://schemas.openxmlformats.org/officeDocument/2006/relationships/hyperlink" Target="https://docs.fivem.net/vehicles/dominator2.webp" TargetMode="External"/><Relationship Id="rId328" Type="http://schemas.openxmlformats.org/officeDocument/2006/relationships/hyperlink" Target="https://docs.fivem.net/vehicles/voodoo.webp" TargetMode="External"/><Relationship Id="rId535" Type="http://schemas.openxmlformats.org/officeDocument/2006/relationships/hyperlink" Target="https://docs.fivem.net/vehicles/gbtenfr.webp" TargetMode="External"/><Relationship Id="rId132" Type="http://schemas.openxmlformats.org/officeDocument/2006/relationships/hyperlink" Target="https://docs.fivem.net/vehicles/sentinel4.webp" TargetMode="External"/><Relationship Id="rId174" Type="http://schemas.openxmlformats.org/officeDocument/2006/relationships/hyperlink" Target="https://docs.fivem.net/vehicles/peyote3.webp" TargetMode="External"/><Relationship Id="rId381" Type="http://schemas.openxmlformats.org/officeDocument/2006/relationships/hyperlink" Target="https://docs.fivem.net/vehicles/italirsx.webp" TargetMode="External"/><Relationship Id="rId241" Type="http://schemas.openxmlformats.org/officeDocument/2006/relationships/hyperlink" Target="https://docs.fivem.net/vehicles/ratbike.webp" TargetMode="External"/><Relationship Id="rId437" Type="http://schemas.openxmlformats.org/officeDocument/2006/relationships/hyperlink" Target="https://docs.fivem.net/vehicles/huntley.webp" TargetMode="External"/><Relationship Id="rId479" Type="http://schemas.openxmlformats.org/officeDocument/2006/relationships/hyperlink" Target="https://docs.fivem.net/vehicles/riata.webp" TargetMode="External"/><Relationship Id="rId36" Type="http://schemas.openxmlformats.org/officeDocument/2006/relationships/hyperlink" Target="https://docs.fivem.net/vehicles/champion.webp" TargetMode="External"/><Relationship Id="rId283" Type="http://schemas.openxmlformats.org/officeDocument/2006/relationships/hyperlink" Target="https://docs.fivem.net/vehicles/faction3.webp" TargetMode="External"/><Relationship Id="rId339" Type="http://schemas.openxmlformats.org/officeDocument/2006/relationships/hyperlink" Target="https://docs.fivem.net/vehicles/fugitive.webp" TargetMode="External"/><Relationship Id="rId490" Type="http://schemas.openxmlformats.org/officeDocument/2006/relationships/hyperlink" Target="https://docs.fivem.net/vehicles/dc_elite.webp" TargetMode="External"/><Relationship Id="rId504" Type="http://schemas.openxmlformats.org/officeDocument/2006/relationships/hyperlink" Target="https://docs.fivem.net/vehicles/gbemerussb1.webp" TargetMode="External"/><Relationship Id="rId546" Type="http://schemas.openxmlformats.org/officeDocument/2006/relationships/hyperlink" Target="https://docs.fivem.net/vehicles/terminator.webp" TargetMode="External"/><Relationship Id="rId78" Type="http://schemas.openxmlformats.org/officeDocument/2006/relationships/hyperlink" Target="https://docs.fivem.net/vehicles/driftsentinel.webp" TargetMode="External"/><Relationship Id="rId101" Type="http://schemas.openxmlformats.org/officeDocument/2006/relationships/hyperlink" Target="https://docs.fivem.net/vehicles/kuruma.webp" TargetMode="External"/><Relationship Id="rId143" Type="http://schemas.openxmlformats.org/officeDocument/2006/relationships/hyperlink" Target="https://docs.fivem.net/vehicles/tenf.webp" TargetMode="External"/><Relationship Id="rId185" Type="http://schemas.openxmlformats.org/officeDocument/2006/relationships/hyperlink" Target="https://docs.fivem.net/vehicles/tornado2.webp" TargetMode="External"/><Relationship Id="rId350" Type="http://schemas.openxmlformats.org/officeDocument/2006/relationships/hyperlink" Target="https://docs.fivem.net/vehicles/rhinehart.webp" TargetMode="External"/><Relationship Id="rId406" Type="http://schemas.openxmlformats.org/officeDocument/2006/relationships/hyperlink" Target="https://docs.fivem.net/vehicles/tyrus.webp" TargetMode="External"/><Relationship Id="rId9" Type="http://schemas.openxmlformats.org/officeDocument/2006/relationships/hyperlink" Target="https://docs.fivem.net/vehicles/tribike3.webp" TargetMode="External"/><Relationship Id="rId210" Type="http://schemas.openxmlformats.org/officeDocument/2006/relationships/hyperlink" Target="https://docs.fivem.net/vehicles/chimera.webp" TargetMode="External"/><Relationship Id="rId392" Type="http://schemas.openxmlformats.org/officeDocument/2006/relationships/hyperlink" Target="https://docs.fivem.net/vehicles/s80.webp" TargetMode="External"/><Relationship Id="rId448" Type="http://schemas.openxmlformats.org/officeDocument/2006/relationships/hyperlink" Target="https://docs.fivem.net/vehicles/seminole.webp" TargetMode="External"/><Relationship Id="rId252" Type="http://schemas.openxmlformats.org/officeDocument/2006/relationships/hyperlink" Target="https://docs.fivem.net/vehicles/vader.webp" TargetMode="External"/><Relationship Id="rId294" Type="http://schemas.openxmlformats.org/officeDocument/2006/relationships/hyperlink" Target="https://docs.fivem.net/vehicles/impaler2.webp" TargetMode="External"/><Relationship Id="rId308" Type="http://schemas.openxmlformats.org/officeDocument/2006/relationships/hyperlink" Target="https://docs.fivem.net/vehicles/ruiner.webp" TargetMode="External"/><Relationship Id="rId515" Type="http://schemas.openxmlformats.org/officeDocument/2006/relationships/hyperlink" Target="https://docs.fivem.net/vehicles/gbmilano.webp" TargetMode="External"/><Relationship Id="rId47" Type="http://schemas.openxmlformats.org/officeDocument/2006/relationships/hyperlink" Target="https://docs.fivem.net/vehicles/oracle2.webp" TargetMode="External"/><Relationship Id="rId89" Type="http://schemas.openxmlformats.org/officeDocument/2006/relationships/hyperlink" Target="https://docs.fivem.net/vehicles/gauntlet6.webp" TargetMode="External"/><Relationship Id="rId112" Type="http://schemas.openxmlformats.org/officeDocument/2006/relationships/hyperlink" Target="https://docs.fivem.net/vehicles/omnisegt.webp" TargetMode="External"/><Relationship Id="rId154" Type="http://schemas.openxmlformats.org/officeDocument/2006/relationships/hyperlink" Target="https://docs.fivem.net/vehicles/btype2.webp" TargetMode="External"/><Relationship Id="rId361" Type="http://schemas.openxmlformats.org/officeDocument/2006/relationships/hyperlink" Target="https://docs.fivem.net/vehicles/washington.webp" TargetMode="External"/><Relationship Id="rId196" Type="http://schemas.openxmlformats.org/officeDocument/2006/relationships/hyperlink" Target="https://docs.fivem.net/vehicles/moonbeam.webp" TargetMode="External"/><Relationship Id="rId417" Type="http://schemas.openxmlformats.org/officeDocument/2006/relationships/hyperlink" Target="https://docs.fivem.net/vehicles/baller.webp" TargetMode="External"/><Relationship Id="rId459" Type="http://schemas.openxmlformats.org/officeDocument/2006/relationships/hyperlink" Target="https://docs.fivem.net/vehicles/brawler.webp" TargetMode="External"/><Relationship Id="rId16" Type="http://schemas.openxmlformats.org/officeDocument/2006/relationships/hyperlink" Target="https://docs.fivem.net/vehicles/blista2.webp" TargetMode="External"/><Relationship Id="rId221" Type="http://schemas.openxmlformats.org/officeDocument/2006/relationships/hyperlink" Target="https://docs.fivem.net/vehicles/enduro.webp" TargetMode="External"/><Relationship Id="rId263" Type="http://schemas.openxmlformats.org/officeDocument/2006/relationships/hyperlink" Target="https://docs.fivem.net/vehicles/buffalo2.webp" TargetMode="External"/><Relationship Id="rId319" Type="http://schemas.openxmlformats.org/officeDocument/2006/relationships/hyperlink" Target="https://docs.fivem.net/vehicles/tulip.webp" TargetMode="External"/><Relationship Id="rId470" Type="http://schemas.openxmlformats.org/officeDocument/2006/relationships/hyperlink" Target="https://docs.fivem.net/vehicles/kamacho.webp" TargetMode="External"/><Relationship Id="rId526" Type="http://schemas.openxmlformats.org/officeDocument/2006/relationships/hyperlink" Target="https://docs.fivem.net/vehicles/gbschrauber.webp" TargetMode="External"/><Relationship Id="rId58" Type="http://schemas.openxmlformats.org/officeDocument/2006/relationships/hyperlink" Target="https://docs.fivem.net/vehicles/alpha.webp" TargetMode="External"/><Relationship Id="rId123" Type="http://schemas.openxmlformats.org/officeDocument/2006/relationships/hyperlink" Target="https://docs.fivem.net/vehicles/raptor.webp" TargetMode="External"/><Relationship Id="rId330" Type="http://schemas.openxmlformats.org/officeDocument/2006/relationships/hyperlink" Target="https://docs.fivem.net/vehicles/yosemite.webp" TargetMode="External"/><Relationship Id="rId165" Type="http://schemas.openxmlformats.org/officeDocument/2006/relationships/hyperlink" Target="https://docs.fivem.net/vehicles/gt500.webp" TargetMode="External"/><Relationship Id="rId372" Type="http://schemas.openxmlformats.org/officeDocument/2006/relationships/hyperlink" Target="https://docs.fivem.net/vehicles/entity3.webp" TargetMode="External"/><Relationship Id="rId428" Type="http://schemas.openxmlformats.org/officeDocument/2006/relationships/hyperlink" Target="https://docs.fivem.net/vehicles/contender.webp" TargetMode="External"/><Relationship Id="rId232" Type="http://schemas.openxmlformats.org/officeDocument/2006/relationships/hyperlink" Target="https://docs.fivem.net/vehicles/innovation.webp" TargetMode="External"/><Relationship Id="rId274" Type="http://schemas.openxmlformats.org/officeDocument/2006/relationships/hyperlink" Target="https://s2.ezgif.com/tmp/ezgif-2f6de6a1563b402c.webp" TargetMode="External"/><Relationship Id="rId481" Type="http://schemas.openxmlformats.org/officeDocument/2006/relationships/hyperlink" Target="https://docs.fivem.net/vehicles/sandking2.webp" TargetMode="External"/><Relationship Id="rId27" Type="http://schemas.openxmlformats.org/officeDocument/2006/relationships/hyperlink" Target="https://docs.fivem.net/vehicles/issi6.webp" TargetMode="External"/><Relationship Id="rId69" Type="http://schemas.openxmlformats.org/officeDocument/2006/relationships/hyperlink" Target="https://docs.fivem.net/vehicles/comet7.webp" TargetMode="External"/><Relationship Id="rId134" Type="http://schemas.openxmlformats.org/officeDocument/2006/relationships/hyperlink" Target="https://docs.fivem.net/vehicles/sm722.webp" TargetMode="External"/><Relationship Id="rId537" Type="http://schemas.openxmlformats.org/officeDocument/2006/relationships/hyperlink" Target="https://docs.fivem.net/vehicles/gbtr3s.webp" TargetMode="External"/><Relationship Id="rId80" Type="http://schemas.openxmlformats.org/officeDocument/2006/relationships/hyperlink" Target="https://docs.fivem.net/vehicles/elegy.webp" TargetMode="External"/><Relationship Id="rId176" Type="http://schemas.openxmlformats.org/officeDocument/2006/relationships/hyperlink" Target="https://docs.fivem.net/vehicles/rapidgt3.webp" TargetMode="External"/><Relationship Id="rId341" Type="http://schemas.openxmlformats.org/officeDocument/2006/relationships/hyperlink" Target="https://docs.fivem.net/vehicles/glendale2.webp" TargetMode="External"/><Relationship Id="rId383" Type="http://schemas.openxmlformats.org/officeDocument/2006/relationships/hyperlink" Target="https://docs.fivem.net/vehicles/le7b.webp" TargetMode="External"/><Relationship Id="rId439" Type="http://schemas.openxmlformats.org/officeDocument/2006/relationships/hyperlink" Target="https://docs.fivem.net/vehicles/jubilee.webp" TargetMode="External"/><Relationship Id="rId201" Type="http://schemas.openxmlformats.org/officeDocument/2006/relationships/hyperlink" Target="https://docs.fivem.net/vehicles/youga3.webp" TargetMode="External"/><Relationship Id="rId243" Type="http://schemas.openxmlformats.org/officeDocument/2006/relationships/hyperlink" Target="https://docs.fivem.net/vehicles/ruffian.webp" TargetMode="External"/><Relationship Id="rId285" Type="http://schemas.openxmlformats.org/officeDocument/2006/relationships/hyperlink" Target="https://docs.fivem.net/vehicles/gauntlet2.webp" TargetMode="External"/><Relationship Id="rId450" Type="http://schemas.openxmlformats.org/officeDocument/2006/relationships/hyperlink" Target="https://docs.fivem.net/vehicles/serrano.webp" TargetMode="External"/><Relationship Id="rId506" Type="http://schemas.openxmlformats.org/officeDocument/2006/relationships/hyperlink" Target="https://docs.fivem.net/vehicles/gbesperta.webp" TargetMode="External"/><Relationship Id="rId38" Type="http://schemas.openxmlformats.org/officeDocument/2006/relationships/hyperlink" Target="https://docs.fivem.net/vehicles/cognoscenti.webp" TargetMode="External"/><Relationship Id="rId103" Type="http://schemas.openxmlformats.org/officeDocument/2006/relationships/hyperlink" Target="https://docs.fivem.net/vehicles/lynx.webp" TargetMode="External"/><Relationship Id="rId310" Type="http://schemas.openxmlformats.org/officeDocument/2006/relationships/hyperlink" Target="https://docs.fivem.net/vehicles/sabregt.webp" TargetMode="External"/><Relationship Id="rId492" Type="http://schemas.openxmlformats.org/officeDocument/2006/relationships/hyperlink" Target="https://docs.fivem.net/vehicles/dc500l.webp" TargetMode="External"/><Relationship Id="rId548" Type="http://schemas.openxmlformats.org/officeDocument/2006/relationships/hyperlink" Target="https://docs.fivem.net/vehicles/zenith.webp" TargetMode="External"/><Relationship Id="rId91" Type="http://schemas.openxmlformats.org/officeDocument/2006/relationships/hyperlink" Target="https://docs.fivem.net/vehicles/growler.webp" TargetMode="External"/><Relationship Id="rId145" Type="http://schemas.openxmlformats.org/officeDocument/2006/relationships/hyperlink" Target="https://docs.fivem.net/vehicles/tropos.webp" TargetMode="External"/><Relationship Id="rId187" Type="http://schemas.openxmlformats.org/officeDocument/2006/relationships/hyperlink" Target="https://docs.fivem.net/vehicles/turismo2.webp" TargetMode="External"/><Relationship Id="rId352" Type="http://schemas.openxmlformats.org/officeDocument/2006/relationships/hyperlink" Target="https://docs.fivem.net/vehicles/stafford.webp" TargetMode="External"/><Relationship Id="rId394" Type="http://schemas.openxmlformats.org/officeDocument/2006/relationships/hyperlink" Target="https://docs.fivem.net/vehicles/sheava.webp" TargetMode="External"/><Relationship Id="rId408" Type="http://schemas.openxmlformats.org/officeDocument/2006/relationships/hyperlink" Target="https://docs.fivem.net/vehicles/vagner.webp" TargetMode="External"/><Relationship Id="rId212" Type="http://schemas.openxmlformats.org/officeDocument/2006/relationships/hyperlink" Target="https://docs.fivem.net/vehicles/daemon.webp" TargetMode="External"/><Relationship Id="rId254" Type="http://schemas.openxmlformats.org/officeDocument/2006/relationships/hyperlink" Target="https://docs.fivem.net/vehicles/vortex.webp" TargetMode="External"/><Relationship Id="rId49" Type="http://schemas.openxmlformats.org/officeDocument/2006/relationships/hyperlink" Target="https://docs.fivem.net/vehicles/previon.webp" TargetMode="External"/><Relationship Id="rId114" Type="http://schemas.openxmlformats.org/officeDocument/2006/relationships/hyperlink" Target="https://docs.fivem.net/vehicles/paragon.webp" TargetMode="External"/><Relationship Id="rId296" Type="http://schemas.openxmlformats.org/officeDocument/2006/relationships/hyperlink" Target="https://docs.fivem.net/vehicles/impaler4.webp" TargetMode="External"/><Relationship Id="rId461" Type="http://schemas.openxmlformats.org/officeDocument/2006/relationships/hyperlink" Target="https://docs.fivem.net/vehicles/caracara2.webp" TargetMode="External"/><Relationship Id="rId517" Type="http://schemas.openxmlformats.org/officeDocument/2006/relationships/hyperlink" Target="https://docs.fivem.net/vehicles/gbmojave.webp" TargetMode="External"/><Relationship Id="rId60" Type="http://schemas.openxmlformats.org/officeDocument/2006/relationships/hyperlink" Target="https://docs.fivem.net/vehicles/bestiagts.webp" TargetMode="External"/><Relationship Id="rId156" Type="http://schemas.openxmlformats.org/officeDocument/2006/relationships/hyperlink" Target="https://docs.fivem.net/vehicles/casco.webp" TargetMode="External"/><Relationship Id="rId198" Type="http://schemas.openxmlformats.org/officeDocument/2006/relationships/hyperlink" Target="https://docs.fivem.net/vehicles/sadler.webp" TargetMode="External"/><Relationship Id="rId321" Type="http://schemas.openxmlformats.org/officeDocument/2006/relationships/hyperlink" Target="https://docs.fivem.net/vehicles/vamos.webp" TargetMode="External"/><Relationship Id="rId363" Type="http://schemas.openxmlformats.org/officeDocument/2006/relationships/hyperlink" Target="https://docs.fivem.net/vehicles/autarch.webp" TargetMode="External"/><Relationship Id="rId419" Type="http://schemas.openxmlformats.org/officeDocument/2006/relationships/hyperlink" Target="https://docs.fivem.net/vehicles/baller3.webp" TargetMode="External"/><Relationship Id="rId223" Type="http://schemas.openxmlformats.org/officeDocument/2006/relationships/hyperlink" Target="https://docs.fivem.net/vehicles/faggio.webp" TargetMode="External"/><Relationship Id="rId430" Type="http://schemas.openxmlformats.org/officeDocument/2006/relationships/hyperlink" Target="https://docs.fivem.net/vehicles/dubsta.webp" TargetMode="External"/><Relationship Id="rId18" Type="http://schemas.openxmlformats.org/officeDocument/2006/relationships/hyperlink" Target="https://docs.fivem.net/vehicles/boor.webp" TargetMode="External"/><Relationship Id="rId265" Type="http://schemas.openxmlformats.org/officeDocument/2006/relationships/hyperlink" Target="https://docs.fivem.net/vehicles/buffalo5.webp" TargetMode="External"/><Relationship Id="rId472" Type="http://schemas.openxmlformats.org/officeDocument/2006/relationships/hyperlink" Target="https://docs.fivem.net/vehicles/mesa.webp" TargetMode="External"/><Relationship Id="rId528" Type="http://schemas.openxmlformats.org/officeDocument/2006/relationships/hyperlink" Target="https://docs.fivem.net/vehicles/gbsentinelgts.webp" TargetMode="External"/><Relationship Id="rId125" Type="http://schemas.openxmlformats.org/officeDocument/2006/relationships/hyperlink" Target="https://docs.fivem.net/vehicles/revolter.webp" TargetMode="External"/><Relationship Id="rId167" Type="http://schemas.openxmlformats.org/officeDocument/2006/relationships/hyperlink" Target="https://docs.fivem.net/vehicles/jb7002.webp" TargetMode="External"/><Relationship Id="rId332" Type="http://schemas.openxmlformats.org/officeDocument/2006/relationships/hyperlink" Target="https://docs.fivem.net/vehicles/asea.webp" TargetMode="External"/><Relationship Id="rId374" Type="http://schemas.openxmlformats.org/officeDocument/2006/relationships/hyperlink" Target="https://docs.fivem.net/vehicles/fmj.webp" TargetMode="External"/><Relationship Id="rId71" Type="http://schemas.openxmlformats.org/officeDocument/2006/relationships/hyperlink" Target="https://docs.fivem.net/vehicles/coquette4.webp" TargetMode="External"/><Relationship Id="rId234" Type="http://schemas.openxmlformats.org/officeDocument/2006/relationships/hyperlink" Target="https://docs.fivem.net/vehicles/manchez.webp" TargetMode="External"/><Relationship Id="rId2" Type="http://schemas.openxmlformats.org/officeDocument/2006/relationships/hyperlink" Target="https://docs.fivem.net/vehicles/cruiser.webp" TargetMode="External"/><Relationship Id="rId29" Type="http://schemas.openxmlformats.org/officeDocument/2006/relationships/hyperlink" Target="https://docs.fivem.net/vehicles/issi8.webp" TargetMode="External"/><Relationship Id="rId276" Type="http://schemas.openxmlformats.org/officeDocument/2006/relationships/hyperlink" Target="https://docs.fivem.net/vehicles/dominator8.webp" TargetMode="External"/><Relationship Id="rId441" Type="http://schemas.openxmlformats.org/officeDocument/2006/relationships/hyperlink" Target="https://docs.fivem.net/vehicles/landstalker2.webp" TargetMode="External"/><Relationship Id="rId483" Type="http://schemas.openxmlformats.org/officeDocument/2006/relationships/hyperlink" Target="https://docs.fivem.net/vehicles/trophytruck.webp" TargetMode="External"/><Relationship Id="rId539" Type="http://schemas.openxmlformats.org/officeDocument/2006/relationships/hyperlink" Target="https://docs.fivem.net/vehicles/gbvivant.webp" TargetMode="External"/><Relationship Id="rId40" Type="http://schemas.openxmlformats.org/officeDocument/2006/relationships/hyperlink" Target="https://docs.fivem.net/vehicles/f620.webp" TargetMode="External"/><Relationship Id="rId136" Type="http://schemas.openxmlformats.org/officeDocument/2006/relationships/hyperlink" Target="https://docs.fivem.net/vehicles/streiter.webp" TargetMode="External"/><Relationship Id="rId178" Type="http://schemas.openxmlformats.org/officeDocument/2006/relationships/hyperlink" Target="https://docs.fivem.net/vehicles/retinue2.webp" TargetMode="External"/><Relationship Id="rId301" Type="http://schemas.openxmlformats.org/officeDocument/2006/relationships/hyperlink" Target="https://docs.fivem.net/vehicles/lurcher.webp" TargetMode="External"/><Relationship Id="rId343" Type="http://schemas.openxmlformats.org/officeDocument/2006/relationships/hyperlink" Target="https://docs.fivem.net/vehicles/ingot.webp" TargetMode="External"/><Relationship Id="rId82" Type="http://schemas.openxmlformats.org/officeDocument/2006/relationships/hyperlink" Target="https://docs.fivem.net/vehicles/euros.webp" TargetMode="External"/><Relationship Id="rId203" Type="http://schemas.openxmlformats.org/officeDocument/2006/relationships/hyperlink" Target="https://docs.fivem.net/vehicles/akuma.webp" TargetMode="External"/><Relationship Id="rId385" Type="http://schemas.openxmlformats.org/officeDocument/2006/relationships/hyperlink" Target="https://docs.fivem.net/vehicles/nero.webp" TargetMode="External"/><Relationship Id="rId245" Type="http://schemas.openxmlformats.org/officeDocument/2006/relationships/hyperlink" Target="https://docs.fivem.net/vehicles/sanchez2.webp" TargetMode="External"/><Relationship Id="rId287" Type="http://schemas.openxmlformats.org/officeDocument/2006/relationships/hyperlink" Target="https://docs.fivem.net/vehicles/gauntlet4.webp" TargetMode="External"/><Relationship Id="rId410" Type="http://schemas.openxmlformats.org/officeDocument/2006/relationships/hyperlink" Target="https://docs.fivem.net/vehicles/voltic.webp" TargetMode="External"/><Relationship Id="rId452" Type="http://schemas.openxmlformats.org/officeDocument/2006/relationships/hyperlink" Target="https://docs.fivem.net/vehicles/vivanite.webp" TargetMode="External"/><Relationship Id="rId494" Type="http://schemas.openxmlformats.org/officeDocument/2006/relationships/hyperlink" Target="https://docs.fivem.net/vehicles/g4m82.webp" TargetMode="External"/><Relationship Id="rId508" Type="http://schemas.openxmlformats.org/officeDocument/2006/relationships/hyperlink" Target="https://docs.fivem.net/vehicles/gbhades.webp" TargetMode="External"/><Relationship Id="rId105" Type="http://schemas.openxmlformats.org/officeDocument/2006/relationships/hyperlink" Target="https://docs.fivem.net/vehicles/massacro2.webp" TargetMode="External"/><Relationship Id="rId147" Type="http://schemas.openxmlformats.org/officeDocument/2006/relationships/hyperlink" Target="https://docs.fivem.net/vehicles/verlierer2.webp" TargetMode="External"/><Relationship Id="rId312" Type="http://schemas.openxmlformats.org/officeDocument/2006/relationships/hyperlink" Target="https://docs.fivem.net/vehicles/slamvan.webp" TargetMode="External"/><Relationship Id="rId354" Type="http://schemas.openxmlformats.org/officeDocument/2006/relationships/hyperlink" Target="https://docs.fivem.net/vehicles/stratum.webp" TargetMode="External"/><Relationship Id="rId51" Type="http://schemas.openxmlformats.org/officeDocument/2006/relationships/hyperlink" Target="https://docs.fivem.net/vehicles/sentinel2.webp" TargetMode="External"/><Relationship Id="rId93" Type="http://schemas.openxmlformats.org/officeDocument/2006/relationships/hyperlink" Target="https://docs.fivem.net/vehicles/italigto.webp" TargetMode="External"/><Relationship Id="rId189" Type="http://schemas.openxmlformats.org/officeDocument/2006/relationships/hyperlink" Target="https://docs.fivem.net/vehicles/z190.webp" TargetMode="External"/><Relationship Id="rId396" Type="http://schemas.openxmlformats.org/officeDocument/2006/relationships/hyperlink" Target="https://docs.fivem.net/vehicles/t20.webp" TargetMode="External"/><Relationship Id="rId214" Type="http://schemas.openxmlformats.org/officeDocument/2006/relationships/hyperlink" Target="https://docs.fivem.net/vehicles/deathbike.webp" TargetMode="External"/><Relationship Id="rId256" Type="http://schemas.openxmlformats.org/officeDocument/2006/relationships/hyperlink" Target="https://docs.fivem.net/vehicles/zombiea.webp" TargetMode="External"/><Relationship Id="rId298" Type="http://schemas.openxmlformats.org/officeDocument/2006/relationships/hyperlink" Target="https://docs.fivem.net/vehicles/imperator.webp" TargetMode="External"/><Relationship Id="rId421" Type="http://schemas.openxmlformats.org/officeDocument/2006/relationships/hyperlink" Target="https://docs.fivem.net/vehicles/baller7.webp" TargetMode="External"/><Relationship Id="rId463" Type="http://schemas.openxmlformats.org/officeDocument/2006/relationships/hyperlink" Target="https://docs.fivem.net/vehicles/dubsta3.webp" TargetMode="External"/><Relationship Id="rId519" Type="http://schemas.openxmlformats.org/officeDocument/2006/relationships/hyperlink" Target="https://docs.fivem.net/vehicles/gbnexusrr.webp" TargetMode="External"/><Relationship Id="rId116" Type="http://schemas.openxmlformats.org/officeDocument/2006/relationships/hyperlink" Target="https://docs.fivem.net/vehicles/pariah.webp" TargetMode="External"/><Relationship Id="rId158" Type="http://schemas.openxmlformats.org/officeDocument/2006/relationships/hyperlink" Target="https://docs.fivem.net/vehicles/coquette2.webp" TargetMode="External"/><Relationship Id="rId323" Type="http://schemas.openxmlformats.org/officeDocument/2006/relationships/hyperlink" Target="https://docs.fivem.net/vehicles/vigero2.webp" TargetMode="External"/><Relationship Id="rId530" Type="http://schemas.openxmlformats.org/officeDocument/2006/relationships/hyperlink" Target="https://docs.fivem.net/vehicles/gbsolace.webp" TargetMode="External"/><Relationship Id="rId20" Type="http://schemas.openxmlformats.org/officeDocument/2006/relationships/hyperlink" Target="https://docs.fivem.net/vehicles/brioso2.webp" TargetMode="External"/><Relationship Id="rId62" Type="http://schemas.openxmlformats.org/officeDocument/2006/relationships/hyperlink" Target="https://docs.fivem.net/vehicles/carbonizzare.webp" TargetMode="External"/><Relationship Id="rId365" Type="http://schemas.openxmlformats.org/officeDocument/2006/relationships/hyperlink" Target="https://docs.fivem.net/vehicles/bullet.webp" TargetMode="External"/><Relationship Id="rId225" Type="http://schemas.openxmlformats.org/officeDocument/2006/relationships/hyperlink" Target="https://docs.fivem.net/vehicles/faggio3.webp" TargetMode="External"/><Relationship Id="rId267" Type="http://schemas.openxmlformats.org/officeDocument/2006/relationships/hyperlink" Target="https://docs.fivem.net/vehicles/chino2.webp" TargetMode="External"/><Relationship Id="rId432" Type="http://schemas.openxmlformats.org/officeDocument/2006/relationships/hyperlink" Target="https://docs.fivem.net/vehicles/fq2.webp" TargetMode="External"/><Relationship Id="rId474" Type="http://schemas.openxmlformats.org/officeDocument/2006/relationships/hyperlink" Target="https://docs.fivem.net/vehicles/monstrociti.webp" TargetMode="External"/><Relationship Id="rId127" Type="http://schemas.openxmlformats.org/officeDocument/2006/relationships/hyperlink" Target="https://docs.fivem.net/vehicles/ruston.webp" TargetMode="External"/><Relationship Id="rId31" Type="http://schemas.openxmlformats.org/officeDocument/2006/relationships/hyperlink" Target="https://docs.fivem.net/vehicles/panto.webp" TargetMode="External"/><Relationship Id="rId73" Type="http://schemas.openxmlformats.org/officeDocument/2006/relationships/hyperlink" Target="https://docs.fivem.net/vehicles/corsita.webp" TargetMode="External"/><Relationship Id="rId169" Type="http://schemas.openxmlformats.org/officeDocument/2006/relationships/hyperlink" Target="https://docs.fivem.net/vehicles/michelli.webp" TargetMode="External"/><Relationship Id="rId334" Type="http://schemas.openxmlformats.org/officeDocument/2006/relationships/hyperlink" Target="https://docs.fivem.net/vehicles/asterope2.webp" TargetMode="External"/><Relationship Id="rId376" Type="http://schemas.openxmlformats.org/officeDocument/2006/relationships/hyperlink" Target="https://docs.fivem.net/vehicles/gp1.webp" TargetMode="External"/><Relationship Id="rId541" Type="http://schemas.openxmlformats.org/officeDocument/2006/relationships/hyperlink" Target="https://docs.fivem.net/vehicles/ixr.webp" TargetMode="External"/><Relationship Id="rId4" Type="http://schemas.openxmlformats.org/officeDocument/2006/relationships/hyperlink" Target="https://docs.fivem.net/vehicles/inductor.webp" TargetMode="External"/><Relationship Id="rId180" Type="http://schemas.openxmlformats.org/officeDocument/2006/relationships/hyperlink" Target="https://docs.fivem.net/vehicles/stinger.webp" TargetMode="External"/><Relationship Id="rId236" Type="http://schemas.openxmlformats.org/officeDocument/2006/relationships/hyperlink" Target="https://docs.fivem.net/vehicles/nemesis.webp" TargetMode="External"/><Relationship Id="rId278" Type="http://schemas.openxmlformats.org/officeDocument/2006/relationships/hyperlink" Target="https://docs.fivem.net/vehicles/dukes.webp" TargetMode="External"/><Relationship Id="rId401" Type="http://schemas.openxmlformats.org/officeDocument/2006/relationships/hyperlink" Target="https://docs.fivem.net/vehicles/tigon.webp" TargetMode="External"/><Relationship Id="rId443" Type="http://schemas.openxmlformats.org/officeDocument/2006/relationships/hyperlink" Target="https://docs.fivem.net/vehicles/patriot.webp" TargetMode="External"/><Relationship Id="rId303" Type="http://schemas.openxmlformats.org/officeDocument/2006/relationships/hyperlink" Target="https://docs.fivem.net/vehicles/manana2.webp" TargetMode="External"/><Relationship Id="rId485" Type="http://schemas.openxmlformats.org/officeDocument/2006/relationships/hyperlink" Target="https://docs.fivem.net/vehicles/vagrant.webp" TargetMode="External"/><Relationship Id="rId42" Type="http://schemas.openxmlformats.org/officeDocument/2006/relationships/hyperlink" Target="https://docs.fivem.net/vehicles/felon2.webp" TargetMode="External"/><Relationship Id="rId84" Type="http://schemas.openxmlformats.org/officeDocument/2006/relationships/hyperlink" Target="https://docs.fivem.net/vehicles/everon2.webp" TargetMode="External"/><Relationship Id="rId138" Type="http://schemas.openxmlformats.org/officeDocument/2006/relationships/hyperlink" Target="https://docs.fivem.net/vehicles/sultan.webp" TargetMode="External"/><Relationship Id="rId345" Type="http://schemas.openxmlformats.org/officeDocument/2006/relationships/hyperlink" Target="https://docs.fivem.net/vehicles/oracle.webp" TargetMode="External"/><Relationship Id="rId387" Type="http://schemas.openxmlformats.org/officeDocument/2006/relationships/hyperlink" Target="https://docs.fivem.net/vehicles/osiris.webp" TargetMode="External"/><Relationship Id="rId510" Type="http://schemas.openxmlformats.org/officeDocument/2006/relationships/hyperlink" Target="https://docs.fivem.net/vehicles/gbimpaler.webp" TargetMode="External"/><Relationship Id="rId191" Type="http://schemas.openxmlformats.org/officeDocument/2006/relationships/hyperlink" Target="https://docs.fivem.net/vehicles/bison.webp" TargetMode="External"/><Relationship Id="rId205" Type="http://schemas.openxmlformats.org/officeDocument/2006/relationships/hyperlink" Target="https://docs.fivem.net/vehicles/bagger.webp" TargetMode="External"/><Relationship Id="rId247" Type="http://schemas.openxmlformats.org/officeDocument/2006/relationships/hyperlink" Target="https://docs.fivem.net/vehicles/shinobi.webp" TargetMode="External"/><Relationship Id="rId412" Type="http://schemas.openxmlformats.org/officeDocument/2006/relationships/hyperlink" Target="https://docs.fivem.net/vehicles/zeno.webp" TargetMode="External"/><Relationship Id="rId107" Type="http://schemas.openxmlformats.org/officeDocument/2006/relationships/hyperlink" Target="https://docs.fivem.net/vehicles/neon.webp" TargetMode="External"/><Relationship Id="rId289" Type="http://schemas.openxmlformats.org/officeDocument/2006/relationships/hyperlink" Target="https://docs.fivem.net/vehicles/greenwood.webp" TargetMode="External"/><Relationship Id="rId454" Type="http://schemas.openxmlformats.org/officeDocument/2006/relationships/hyperlink" Target="https://docs.fivem.net/vehicles/bfinjection.webp" TargetMode="External"/><Relationship Id="rId496" Type="http://schemas.openxmlformats.org/officeDocument/2006/relationships/hyperlink" Target="https://docs.fivem.net/vehicles/gbbanshees.webp" TargetMode="External"/><Relationship Id="rId11" Type="http://schemas.openxmlformats.org/officeDocument/2006/relationships/hyperlink" Target="https://docs.fivem.net/vehicles/formula2.webp" TargetMode="External"/><Relationship Id="rId53" Type="http://schemas.openxmlformats.org/officeDocument/2006/relationships/hyperlink" Target="https://docs.fivem.net/vehicles/tahoma.webp" TargetMode="External"/><Relationship Id="rId149" Type="http://schemas.openxmlformats.org/officeDocument/2006/relationships/hyperlink" Target="https://docs.fivem.net/vehicles/vorschlaghammer.webp" TargetMode="External"/><Relationship Id="rId314" Type="http://schemas.openxmlformats.org/officeDocument/2006/relationships/hyperlink" Target="https://docs.fivem.net/vehicles/slamvan3.webp" TargetMode="External"/><Relationship Id="rId356" Type="http://schemas.openxmlformats.org/officeDocument/2006/relationships/hyperlink" Target="https://docs.fivem.net/vehicles/surge.webp" TargetMode="External"/><Relationship Id="rId398" Type="http://schemas.openxmlformats.org/officeDocument/2006/relationships/hyperlink" Target="https://docs.fivem.net/vehicles/tempesta.webp" TargetMode="External"/><Relationship Id="rId521" Type="http://schemas.openxmlformats.org/officeDocument/2006/relationships/hyperlink" Target="https://docs.fivem.net/vehicles/gbraidillon.webp" TargetMode="External"/><Relationship Id="rId95" Type="http://schemas.openxmlformats.org/officeDocument/2006/relationships/hyperlink" Target="https://docs.fivem.net/vehicles/jester2.webp" TargetMode="External"/><Relationship Id="rId160" Type="http://schemas.openxmlformats.org/officeDocument/2006/relationships/hyperlink" Target="https://docs.fivem.net/vehicles/driftnebula.webp" TargetMode="External"/><Relationship Id="rId216" Type="http://schemas.openxmlformats.org/officeDocument/2006/relationships/hyperlink" Target="https://docs.fivem.net/vehicles/deathbike3.webp" TargetMode="External"/><Relationship Id="rId423" Type="http://schemas.openxmlformats.org/officeDocument/2006/relationships/hyperlink" Target="https://docs.fivem.net/vehicles/bjxl.webp" TargetMode="External"/><Relationship Id="rId258" Type="http://schemas.openxmlformats.org/officeDocument/2006/relationships/hyperlink" Target="https://docs.fivem.net/vehicles/blade.webp" TargetMode="External"/><Relationship Id="rId465" Type="http://schemas.openxmlformats.org/officeDocument/2006/relationships/hyperlink" Target="https://docs.fivem.net/vehicles/everon.webp" TargetMode="External"/><Relationship Id="rId22" Type="http://schemas.openxmlformats.org/officeDocument/2006/relationships/hyperlink" Target="https://docs.fivem.net/vehicles/dilettante.webp" TargetMode="External"/><Relationship Id="rId64" Type="http://schemas.openxmlformats.org/officeDocument/2006/relationships/hyperlink" Target="https://docs.fivem.net/vehicles/comet2.webp" TargetMode="External"/><Relationship Id="rId118" Type="http://schemas.openxmlformats.org/officeDocument/2006/relationships/hyperlink" Target="https://docs.fivem.net/vehicles/penumbra2.webp" TargetMode="External"/><Relationship Id="rId325" Type="http://schemas.openxmlformats.org/officeDocument/2006/relationships/hyperlink" Target="https://docs.fivem.net/vehicles/virgo.webp" TargetMode="External"/><Relationship Id="rId367" Type="http://schemas.openxmlformats.org/officeDocument/2006/relationships/hyperlink" Target="https://docs.fivem.net/vehicles/corsita.webp" TargetMode="External"/><Relationship Id="rId532" Type="http://schemas.openxmlformats.org/officeDocument/2006/relationships/hyperlink" Target="https://docs.fivem.net/vehicles/gbstarlight.webp" TargetMode="External"/><Relationship Id="rId171" Type="http://schemas.openxmlformats.org/officeDocument/2006/relationships/hyperlink" Target="https://docs.fivem.net/vehicles/nebula.webp" TargetMode="External"/><Relationship Id="rId227" Type="http://schemas.openxmlformats.org/officeDocument/2006/relationships/hyperlink" Target="https://docs.fivem.net/vehicles/fcr2.webp" TargetMode="External"/><Relationship Id="rId269" Type="http://schemas.openxmlformats.org/officeDocument/2006/relationships/hyperlink" Target="https://docs.fivem.net/vehicles/clique2.webp" TargetMode="External"/><Relationship Id="rId434" Type="http://schemas.openxmlformats.org/officeDocument/2006/relationships/hyperlink" Target="https://docs.fivem.net/vehicles/granger2.webp" TargetMode="External"/><Relationship Id="rId476" Type="http://schemas.openxmlformats.org/officeDocument/2006/relationships/hyperlink" Target="https://docs.fivem.net/vehicles/rancherxl.webp" TargetMode="External"/><Relationship Id="rId33" Type="http://schemas.openxmlformats.org/officeDocument/2006/relationships/hyperlink" Target="https://docs.fivem.net/vehicles/rhapsody.webp" TargetMode="External"/><Relationship Id="rId129" Type="http://schemas.openxmlformats.org/officeDocument/2006/relationships/hyperlink" Target="https://docs.fivem.net/vehicles/schafter4.webp" TargetMode="External"/><Relationship Id="rId280" Type="http://schemas.openxmlformats.org/officeDocument/2006/relationships/hyperlink" Target="https://docs.fivem.net/vehicles/ellie.webp" TargetMode="External"/><Relationship Id="rId336" Type="http://schemas.openxmlformats.org/officeDocument/2006/relationships/hyperlink" Target="https://docs.fivem.net/vehicles/deity.webp" TargetMode="External"/><Relationship Id="rId501" Type="http://schemas.openxmlformats.org/officeDocument/2006/relationships/hyperlink" Target="https://docs.fivem.net/vehicles/gbcomets2r.webp" TargetMode="External"/><Relationship Id="rId543" Type="http://schemas.openxmlformats.org/officeDocument/2006/relationships/hyperlink" Target="https://docs.fivem.net/vehicles/offzenith.webp" TargetMode="External"/><Relationship Id="rId75" Type="http://schemas.openxmlformats.org/officeDocument/2006/relationships/hyperlink" Target="https://docs.fivem.net/vehicles/cypher.webp" TargetMode="External"/><Relationship Id="rId140" Type="http://schemas.openxmlformats.org/officeDocument/2006/relationships/hyperlink" Target="https://docs.fivem.net/vehicles/sultan3.webp" TargetMode="External"/><Relationship Id="rId182" Type="http://schemas.openxmlformats.org/officeDocument/2006/relationships/hyperlink" Target="https://docs.fivem.net/vehicles/swinger.webp" TargetMode="External"/><Relationship Id="rId378" Type="http://schemas.openxmlformats.org/officeDocument/2006/relationships/hyperlink" Target="https://docs.fivem.net/vehicles/infernus.webp" TargetMode="External"/><Relationship Id="rId403" Type="http://schemas.openxmlformats.org/officeDocument/2006/relationships/hyperlink" Target="https://docs.fivem.net/vehicles/turismo3.webp" TargetMode="External"/><Relationship Id="rId6" Type="http://schemas.openxmlformats.org/officeDocument/2006/relationships/hyperlink" Target="https://docs.fivem.net/vehicles/scorcher.webp" TargetMode="External"/><Relationship Id="rId238" Type="http://schemas.openxmlformats.org/officeDocument/2006/relationships/hyperlink" Target="https://docs.fivem.net/vehicles/pcj.webp" TargetMode="External"/><Relationship Id="rId445" Type="http://schemas.openxmlformats.org/officeDocument/2006/relationships/hyperlink" Target="https://docs.fivem.net/vehicles/radi.webp" TargetMode="External"/><Relationship Id="rId487" Type="http://schemas.openxmlformats.org/officeDocument/2006/relationships/hyperlink" Target="https://docs.fivem.net/vehicles/winky.webp" TargetMode="External"/><Relationship Id="rId291" Type="http://schemas.openxmlformats.org/officeDocument/2006/relationships/hyperlink" Target="https://docs.fivem.net/vehicles/hotknife.webp" TargetMode="External"/><Relationship Id="rId305" Type="http://schemas.openxmlformats.org/officeDocument/2006/relationships/hyperlink" Target="https://docs.fivem.net/vehicles/phoenix.webp" TargetMode="External"/><Relationship Id="rId347" Type="http://schemas.openxmlformats.org/officeDocument/2006/relationships/hyperlink" Target="https://docs.fivem.net/vehicles/primo.webp" TargetMode="External"/><Relationship Id="rId512" Type="http://schemas.openxmlformats.org/officeDocument/2006/relationships/hyperlink" Target="https://docs.fivem.net/vehicles/gbissimetro.webp" TargetMode="External"/><Relationship Id="rId44" Type="http://schemas.openxmlformats.org/officeDocument/2006/relationships/hyperlink" Target="https://docs.fivem.net/vehicles/futo.webp" TargetMode="External"/><Relationship Id="rId86" Type="http://schemas.openxmlformats.org/officeDocument/2006/relationships/hyperlink" Target="https://docs.fivem.net/vehicles/flashgt.webp" TargetMode="External"/><Relationship Id="rId151" Type="http://schemas.openxmlformats.org/officeDocument/2006/relationships/hyperlink" Target="https://docs.fivem.net/vehicles/zr350.webp" TargetMode="External"/><Relationship Id="rId389" Type="http://schemas.openxmlformats.org/officeDocument/2006/relationships/hyperlink" Target="https://docs.fivem.net/vehicles/pfister811.webp" TargetMode="External"/><Relationship Id="rId193" Type="http://schemas.openxmlformats.org/officeDocument/2006/relationships/hyperlink" Target="https://docs.fivem.net/vehicles/gburrito2.webp" TargetMode="External"/><Relationship Id="rId207" Type="http://schemas.openxmlformats.org/officeDocument/2006/relationships/hyperlink" Target="https://docs.fivem.net/vehicles/bati2.webp" TargetMode="External"/><Relationship Id="rId249" Type="http://schemas.openxmlformats.org/officeDocument/2006/relationships/hyperlink" Target="https://docs.fivem.net/vehicles/sovereign.webp" TargetMode="External"/><Relationship Id="rId414" Type="http://schemas.openxmlformats.org/officeDocument/2006/relationships/hyperlink" Target="https://docs.fivem.net/vehicles/zorrusso.webp" TargetMode="External"/><Relationship Id="rId456" Type="http://schemas.openxmlformats.org/officeDocument/2006/relationships/hyperlink" Target="https://docs.fivem.net/vehicles/blazer.webp" TargetMode="External"/><Relationship Id="rId498" Type="http://schemas.openxmlformats.org/officeDocument/2006/relationships/hyperlink" Target="https://docs.fivem.net/vehicles/gbclubxr.webp" TargetMode="External"/><Relationship Id="rId13" Type="http://schemas.openxmlformats.org/officeDocument/2006/relationships/hyperlink" Target="https://docs.fivem.net/vehicles/openwheel2.webp" TargetMode="External"/><Relationship Id="rId109" Type="http://schemas.openxmlformats.org/officeDocument/2006/relationships/hyperlink" Target="https://docs.fivem.net/vehicles/ninef2.webp" TargetMode="External"/><Relationship Id="rId260" Type="http://schemas.openxmlformats.org/officeDocument/2006/relationships/hyperlink" Target="https://docs.fivem.net/vehicles/buccaneer.webp" TargetMode="External"/><Relationship Id="rId316" Type="http://schemas.openxmlformats.org/officeDocument/2006/relationships/hyperlink" Target="https://docs.fivem.net/vehicles/stalion2.webp" TargetMode="External"/><Relationship Id="rId523" Type="http://schemas.openxmlformats.org/officeDocument/2006/relationships/hyperlink" Target="https://docs.fivem.net/vehicles/gbsapphire.webp" TargetMode="External"/><Relationship Id="rId55" Type="http://schemas.openxmlformats.org/officeDocument/2006/relationships/hyperlink" Target="https://docs.fivem.net/vehicles/windsor2.webp" TargetMode="External"/><Relationship Id="rId97" Type="http://schemas.openxmlformats.org/officeDocument/2006/relationships/hyperlink" Target="https://docs.fivem.net/vehicles/jester4.webp" TargetMode="External"/><Relationship Id="rId120" Type="http://schemas.openxmlformats.org/officeDocument/2006/relationships/hyperlink" Target="https://docs.fivem.net/vehicles/r300.webp" TargetMode="External"/><Relationship Id="rId358" Type="http://schemas.openxmlformats.org/officeDocument/2006/relationships/hyperlink" Target="https://docs.fivem.net/vehicles/tailgater2.webp" TargetMode="External"/><Relationship Id="rId162" Type="http://schemas.openxmlformats.org/officeDocument/2006/relationships/hyperlink" Target="https://docs.fivem.net/vehicles/envisage.webp" TargetMode="External"/><Relationship Id="rId218" Type="http://schemas.openxmlformats.org/officeDocument/2006/relationships/hyperlink" Target="https://docs.fivem.net/vehicles/diablous.webp" TargetMode="External"/><Relationship Id="rId425" Type="http://schemas.openxmlformats.org/officeDocument/2006/relationships/hyperlink" Target="https://docs.fivem.net/vehicles/cavalcade.webp" TargetMode="External"/><Relationship Id="rId467" Type="http://schemas.openxmlformats.org/officeDocument/2006/relationships/hyperlink" Target="https://docs.fivem.net/vehicles/guardian.webp" TargetMode="External"/><Relationship Id="rId271" Type="http://schemas.openxmlformats.org/officeDocument/2006/relationships/hyperlink" Target="https://docs.fivem.net/vehicles/dominator.webp" TargetMode="External"/><Relationship Id="rId24" Type="http://schemas.openxmlformats.org/officeDocument/2006/relationships/hyperlink" Target="https://docs.fivem.net/vehicles/issi3.webp" TargetMode="External"/><Relationship Id="rId66" Type="http://schemas.openxmlformats.org/officeDocument/2006/relationships/hyperlink" Target="https://docs.fivem.net/vehicles/comet4.webp" TargetMode="External"/><Relationship Id="rId131" Type="http://schemas.openxmlformats.org/officeDocument/2006/relationships/hyperlink" Target="https://docs.fivem.net/vehicles/schwarzer.webp" TargetMode="External"/><Relationship Id="rId327" Type="http://schemas.openxmlformats.org/officeDocument/2006/relationships/hyperlink" Target="https://docs.fivem.net/vehicles/virgo3.webp" TargetMode="External"/><Relationship Id="rId369" Type="http://schemas.openxmlformats.org/officeDocument/2006/relationships/hyperlink" Target="https://docs.fivem.net/vehicles/deveste.webp" TargetMode="External"/><Relationship Id="rId534" Type="http://schemas.openxmlformats.org/officeDocument/2006/relationships/hyperlink" Target="https://docs.fivem.net/vehicles/gbtahomagt.webp" TargetMode="External"/><Relationship Id="rId173" Type="http://schemas.openxmlformats.org/officeDocument/2006/relationships/hyperlink" Target="https://docs.fivem.net/vehicles/peyote2.webp" TargetMode="External"/><Relationship Id="rId229" Type="http://schemas.openxmlformats.org/officeDocument/2006/relationships/hyperlink" Target="https://docs.fivem.net/vehicles/hakuchou.webp" TargetMode="External"/><Relationship Id="rId380" Type="http://schemas.openxmlformats.org/officeDocument/2006/relationships/hyperlink" Target="https://docs.fivem.net/vehicles/italigtb2.webp" TargetMode="External"/><Relationship Id="rId436" Type="http://schemas.openxmlformats.org/officeDocument/2006/relationships/hyperlink" Target="https://docs.fivem.net/vehicles/habanero.webp" TargetMode="External"/><Relationship Id="rId240" Type="http://schemas.openxmlformats.org/officeDocument/2006/relationships/hyperlink" Target="https://docs.fivem.net/vehicles/powersurge.webp" TargetMode="External"/><Relationship Id="rId478" Type="http://schemas.openxmlformats.org/officeDocument/2006/relationships/hyperlink" Target="https://docs.fivem.net/vehicles/rebel2.webp" TargetMode="External"/><Relationship Id="rId35" Type="http://schemas.openxmlformats.org/officeDocument/2006/relationships/hyperlink" Target="https://docs.fivem.net/vehicles/broadway.webp" TargetMode="External"/><Relationship Id="rId77" Type="http://schemas.openxmlformats.org/officeDocument/2006/relationships/hyperlink" Target="https://docs.fivem.net/vehicles/driftcypher.webp" TargetMode="External"/><Relationship Id="rId100" Type="http://schemas.openxmlformats.org/officeDocument/2006/relationships/hyperlink" Target="https://docs.fivem.net/vehicles/komoda.webp" TargetMode="External"/><Relationship Id="rId282" Type="http://schemas.openxmlformats.org/officeDocument/2006/relationships/hyperlink" Target="https://docs.fivem.net/vehicles/faction2.webp" TargetMode="External"/><Relationship Id="rId338" Type="http://schemas.openxmlformats.org/officeDocument/2006/relationships/hyperlink" Target="https://docs.fivem.net/vehicles/eudora.webp" TargetMode="External"/><Relationship Id="rId503" Type="http://schemas.openxmlformats.org/officeDocument/2006/relationships/hyperlink" Target="https://docs.fivem.net/vehicles/gbdominatorgsx.webp" TargetMode="External"/><Relationship Id="rId545" Type="http://schemas.openxmlformats.org/officeDocument/2006/relationships/hyperlink" Target="https://docs.fivem.net/vehicles/s790anim.webp" TargetMode="External"/><Relationship Id="rId8" Type="http://schemas.openxmlformats.org/officeDocument/2006/relationships/hyperlink" Target="https://docs.fivem.net/vehicles/tribike2.webp" TargetMode="External"/><Relationship Id="rId142" Type="http://schemas.openxmlformats.org/officeDocument/2006/relationships/hyperlink" Target="https://docs.fivem.net/vehicles/surano.webp" TargetMode="External"/><Relationship Id="rId184" Type="http://schemas.openxmlformats.org/officeDocument/2006/relationships/hyperlink" Target="https://docs.fivem.net/vehicles/tornado.webp" TargetMode="External"/><Relationship Id="rId391" Type="http://schemas.openxmlformats.org/officeDocument/2006/relationships/hyperlink" Target="https://docs.fivem.net/vehicles/reaper.webp" TargetMode="External"/><Relationship Id="rId405" Type="http://schemas.openxmlformats.org/officeDocument/2006/relationships/hyperlink" Target="https://docs.fivem.net/vehicles/tyrant.webp" TargetMode="External"/><Relationship Id="rId447" Type="http://schemas.openxmlformats.org/officeDocument/2006/relationships/hyperlink" Target="https://docs.fivem.net/vehicles/rocoto.webp" TargetMode="External"/><Relationship Id="rId251" Type="http://schemas.openxmlformats.org/officeDocument/2006/relationships/hyperlink" Target="https://docs.fivem.net/vehicles/thrust.webp" TargetMode="External"/><Relationship Id="rId489" Type="http://schemas.openxmlformats.org/officeDocument/2006/relationships/hyperlink" Target="https://docs.fivem.net/vehicles/620gts.webp" TargetMode="External"/><Relationship Id="rId46" Type="http://schemas.openxmlformats.org/officeDocument/2006/relationships/hyperlink" Target="https://docs.fivem.net/vehicles/kanjosj.webp" TargetMode="External"/><Relationship Id="rId293" Type="http://schemas.openxmlformats.org/officeDocument/2006/relationships/hyperlink" Target="https://docs.fivem.net/vehicles/impaler.webp" TargetMode="External"/><Relationship Id="rId307" Type="http://schemas.openxmlformats.org/officeDocument/2006/relationships/hyperlink" Target="https://docs.fivem.net/vehicles/ratloader2.webp" TargetMode="External"/><Relationship Id="rId349" Type="http://schemas.openxmlformats.org/officeDocument/2006/relationships/hyperlink" Target="https://docs.fivem.net/vehicles/regina.webp" TargetMode="External"/><Relationship Id="rId514" Type="http://schemas.openxmlformats.org/officeDocument/2006/relationships/hyperlink" Target="https://docs.fivem.net/vehicles/gblod4.webp" TargetMode="External"/><Relationship Id="rId88" Type="http://schemas.openxmlformats.org/officeDocument/2006/relationships/hyperlink" Target="https://docs.fivem.net/vehicles/futo2.webp" TargetMode="External"/><Relationship Id="rId111" Type="http://schemas.openxmlformats.org/officeDocument/2006/relationships/hyperlink" Target="https://docs.fivem.net/vehicles/omnis.webp" TargetMode="External"/><Relationship Id="rId153" Type="http://schemas.openxmlformats.org/officeDocument/2006/relationships/hyperlink" Target="https://docs.fivem.net/vehicles/btype.webp" TargetMode="External"/><Relationship Id="rId195" Type="http://schemas.openxmlformats.org/officeDocument/2006/relationships/hyperlink" Target="https://docs.fivem.net/vehicles/journey2.webp" TargetMode="External"/><Relationship Id="rId209" Type="http://schemas.openxmlformats.org/officeDocument/2006/relationships/hyperlink" Target="https://docs.fivem.net/vehicles/carbonrs.webp" TargetMode="External"/><Relationship Id="rId360" Type="http://schemas.openxmlformats.org/officeDocument/2006/relationships/hyperlink" Target="https://docs.fivem.net/vehicles/warrener2.webp" TargetMode="External"/><Relationship Id="rId416" Type="http://schemas.openxmlformats.org/officeDocument/2006/relationships/hyperlink" Target="https://docs.fivem.net/vehicles/astron.webp" TargetMode="External"/><Relationship Id="rId220" Type="http://schemas.openxmlformats.org/officeDocument/2006/relationships/hyperlink" Target="https://docs.fivem.net/vehicles/double.webp" TargetMode="External"/><Relationship Id="rId458" Type="http://schemas.openxmlformats.org/officeDocument/2006/relationships/hyperlink" Target="https://docs.fivem.net/vehicles/blazer4.webp" TargetMode="External"/><Relationship Id="rId15" Type="http://schemas.openxmlformats.org/officeDocument/2006/relationships/hyperlink" Target="https://docs.fivem.net/vehicles/powersurge.webp" TargetMode="External"/><Relationship Id="rId57" Type="http://schemas.openxmlformats.org/officeDocument/2006/relationships/hyperlink" Target="https://docs.fivem.net/vehicles/zion2.webp" TargetMode="External"/><Relationship Id="rId262" Type="http://schemas.openxmlformats.org/officeDocument/2006/relationships/hyperlink" Target="https://docs.fivem.net/vehicles/buffalo.webp" TargetMode="External"/><Relationship Id="rId318" Type="http://schemas.openxmlformats.org/officeDocument/2006/relationships/hyperlink" Target="https://docs.fivem.net/vehicles/tampa2.webp" TargetMode="External"/><Relationship Id="rId525" Type="http://schemas.openxmlformats.org/officeDocument/2006/relationships/hyperlink" Target="https://docs.fivem.net/vehicles/gbschlagensp.webp" TargetMode="External"/><Relationship Id="rId99" Type="http://schemas.openxmlformats.org/officeDocument/2006/relationships/hyperlink" Target="https://docs.fivem.net/vehicles/khamelion.webp" TargetMode="External"/><Relationship Id="rId122" Type="http://schemas.openxmlformats.org/officeDocument/2006/relationships/hyperlink" Target="https://docs.fivem.net/vehicles/rapidgt2.webp" TargetMode="External"/><Relationship Id="rId164" Type="http://schemas.openxmlformats.org/officeDocument/2006/relationships/hyperlink" Target="https://docs.fivem.net/vehicles/feltzer3.webp" TargetMode="External"/><Relationship Id="rId371" Type="http://schemas.openxmlformats.org/officeDocument/2006/relationships/hyperlink" Target="https://docs.fivem.net/vehicles/entity2.webp" TargetMode="External"/><Relationship Id="rId427" Type="http://schemas.openxmlformats.org/officeDocument/2006/relationships/hyperlink" Target="https://docs.fivem.net/vehicles/cavalcade3.webp" TargetMode="External"/><Relationship Id="rId469" Type="http://schemas.openxmlformats.org/officeDocument/2006/relationships/hyperlink" Target="https://docs.fivem.net/vehicles/kalahari.webp" TargetMode="External"/><Relationship Id="rId26" Type="http://schemas.openxmlformats.org/officeDocument/2006/relationships/hyperlink" Target="https://docs.fivem.net/vehicles/issi5.webp" TargetMode="External"/><Relationship Id="rId231" Type="http://schemas.openxmlformats.org/officeDocument/2006/relationships/hyperlink" Target="https://docs.fivem.net/vehicles/hexer.webp" TargetMode="External"/><Relationship Id="rId273" Type="http://schemas.openxmlformats.org/officeDocument/2006/relationships/hyperlink" Target="https://docs.fivem.net/vehicles/dominator3.webp" TargetMode="External"/><Relationship Id="rId329" Type="http://schemas.openxmlformats.org/officeDocument/2006/relationships/hyperlink" Target="https://docs.fivem.net/vehicles/weevil2.webp" TargetMode="External"/><Relationship Id="rId480" Type="http://schemas.openxmlformats.org/officeDocument/2006/relationships/hyperlink" Target="https://docs.fivem.net/vehicles/sandking.webp" TargetMode="External"/><Relationship Id="rId536" Type="http://schemas.openxmlformats.org/officeDocument/2006/relationships/hyperlink" Target="https://docs.fivem.net/vehicles/gbterrorizer.webp" TargetMode="External"/><Relationship Id="rId68" Type="http://schemas.openxmlformats.org/officeDocument/2006/relationships/hyperlink" Target="https://docs.fivem.net/vehicles/comet6.webp" TargetMode="External"/><Relationship Id="rId133" Type="http://schemas.openxmlformats.org/officeDocument/2006/relationships/hyperlink" Target="https://docs.fivem.net/vehicles/seven70.webp" TargetMode="External"/><Relationship Id="rId175" Type="http://schemas.openxmlformats.org/officeDocument/2006/relationships/hyperlink" Target="https://docs.fivem.net/vehicles/pigalle.webp" TargetMode="External"/><Relationship Id="rId340" Type="http://schemas.openxmlformats.org/officeDocument/2006/relationships/hyperlink" Target="https://docs.fivem.net/vehicles/glendale.webp" TargetMode="External"/><Relationship Id="rId200" Type="http://schemas.openxmlformats.org/officeDocument/2006/relationships/hyperlink" Target="https://docs.fivem.net/vehicles/youga2.webp" TargetMode="External"/><Relationship Id="rId382" Type="http://schemas.openxmlformats.org/officeDocument/2006/relationships/hyperlink" Target="https://docs.fivem.net/vehicles/krieger.webp" TargetMode="External"/><Relationship Id="rId438" Type="http://schemas.openxmlformats.org/officeDocument/2006/relationships/hyperlink" Target="https://docs.fivem.net/vehicles/iwagen.webp" TargetMode="External"/><Relationship Id="rId242" Type="http://schemas.openxmlformats.org/officeDocument/2006/relationships/hyperlink" Target="https://docs.fivem.net/vehicles/reever.webp" TargetMode="External"/><Relationship Id="rId284" Type="http://schemas.openxmlformats.org/officeDocument/2006/relationships/hyperlink" Target="https://docs.fivem.net/vehicles/gauntlet.webp" TargetMode="External"/><Relationship Id="rId491" Type="http://schemas.openxmlformats.org/officeDocument/2006/relationships/hyperlink" Target="https://docs.fivem.net/vehicles/dc_evo900comet.webp" TargetMode="External"/><Relationship Id="rId505" Type="http://schemas.openxmlformats.org/officeDocument/2006/relationships/hyperlink" Target="https://docs.fivem.net/vehicles/gbeon.webp" TargetMode="External"/><Relationship Id="rId37" Type="http://schemas.openxmlformats.org/officeDocument/2006/relationships/hyperlink" Target="https://docs.fivem.net/vehicles/cogcabrio.webp" TargetMode="External"/><Relationship Id="rId79" Type="http://schemas.openxmlformats.org/officeDocument/2006/relationships/hyperlink" Target="https://docs.fivem.net/vehicles/driftvorschlag.webp" TargetMode="External"/><Relationship Id="rId102" Type="http://schemas.openxmlformats.org/officeDocument/2006/relationships/hyperlink" Target="https://docs.fivem.net/vehicles/locust.webp" TargetMode="External"/><Relationship Id="rId144" Type="http://schemas.openxmlformats.org/officeDocument/2006/relationships/hyperlink" Target="https://docs.fivem.net/vehicles/tenf2.webp" TargetMode="External"/><Relationship Id="rId547" Type="http://schemas.openxmlformats.org/officeDocument/2006/relationships/hyperlink" Target="https://docs.fivem.net/vehicles/toroslxstance.webp" TargetMode="External"/><Relationship Id="rId90" Type="http://schemas.openxmlformats.org/officeDocument/2006/relationships/hyperlink" Target="https://docs.fivem.net/vehicles/gb200.webp" TargetMode="External"/><Relationship Id="rId186" Type="http://schemas.openxmlformats.org/officeDocument/2006/relationships/hyperlink" Target="https://docs.fivem.net/vehicles/tornado5.webp" TargetMode="External"/><Relationship Id="rId351" Type="http://schemas.openxmlformats.org/officeDocument/2006/relationships/hyperlink" Target="https://docs.fivem.net/vehicles/schafter2.webp" TargetMode="External"/><Relationship Id="rId393" Type="http://schemas.openxmlformats.org/officeDocument/2006/relationships/hyperlink" Target="https://docs.fivem.net/vehicles/sc1.webp" TargetMode="External"/><Relationship Id="rId407" Type="http://schemas.openxmlformats.org/officeDocument/2006/relationships/hyperlink" Target="https://docs.fivem.net/vehicles/vacca.webp" TargetMode="External"/><Relationship Id="rId449" Type="http://schemas.openxmlformats.org/officeDocument/2006/relationships/hyperlink" Target="https://docs.fivem.net/vehicles/seminole2.webp" TargetMode="External"/><Relationship Id="rId211" Type="http://schemas.openxmlformats.org/officeDocument/2006/relationships/hyperlink" Target="https://docs.fivem.net/vehicles/cliffhanger.webp" TargetMode="External"/><Relationship Id="rId253" Type="http://schemas.openxmlformats.org/officeDocument/2006/relationships/hyperlink" Target="https://docs.fivem.net/vehicles/vindicator.webp" TargetMode="External"/><Relationship Id="rId295" Type="http://schemas.openxmlformats.org/officeDocument/2006/relationships/hyperlink" Target="https://docs.fivem.net/vehicles/impaler3.webp" TargetMode="External"/><Relationship Id="rId309" Type="http://schemas.openxmlformats.org/officeDocument/2006/relationships/hyperlink" Target="https://docs.fivem.net/vehicles/ruiner4.webp" TargetMode="External"/><Relationship Id="rId460" Type="http://schemas.openxmlformats.org/officeDocument/2006/relationships/hyperlink" Target="https://docs.fivem.net/vehicles/caracara.webp" TargetMode="External"/><Relationship Id="rId516" Type="http://schemas.openxmlformats.org/officeDocument/2006/relationships/hyperlink" Target="https://docs.fivem.net/vehicles/gbmogulrs.webp" TargetMode="External"/><Relationship Id="rId48" Type="http://schemas.openxmlformats.org/officeDocument/2006/relationships/hyperlink" Target="https://docs.fivem.net/vehicles/postlude.webp" TargetMode="External"/><Relationship Id="rId113" Type="http://schemas.openxmlformats.org/officeDocument/2006/relationships/hyperlink" Target="https://docs.fivem.net/vehicles/panthere.webp" TargetMode="External"/><Relationship Id="rId320" Type="http://schemas.openxmlformats.org/officeDocument/2006/relationships/hyperlink" Target="https://docs.fivem.net/vehicles/tulip2.webp" TargetMode="External"/><Relationship Id="rId155" Type="http://schemas.openxmlformats.org/officeDocument/2006/relationships/hyperlink" Target="https://docs.fivem.net/vehicles/btype3.webp" TargetMode="External"/><Relationship Id="rId197" Type="http://schemas.openxmlformats.org/officeDocument/2006/relationships/hyperlink" Target="https://docs.fivem.net/vehicles/rumpo3.webp" TargetMode="External"/><Relationship Id="rId362" Type="http://schemas.openxmlformats.org/officeDocument/2006/relationships/hyperlink" Target="https://docs.fivem.net/vehicles/adder.webp" TargetMode="External"/><Relationship Id="rId418" Type="http://schemas.openxmlformats.org/officeDocument/2006/relationships/hyperlink" Target="https://docs.fivem.net/vehicles/baller2.webp" TargetMode="External"/><Relationship Id="rId222" Type="http://schemas.openxmlformats.org/officeDocument/2006/relationships/hyperlink" Target="https://docs.fivem.net/vehicles/esskey.webp" TargetMode="External"/><Relationship Id="rId264" Type="http://schemas.openxmlformats.org/officeDocument/2006/relationships/hyperlink" Target="https://docs.fivem.net/vehicles/buffalo4.webp" TargetMode="External"/><Relationship Id="rId471" Type="http://schemas.openxmlformats.org/officeDocument/2006/relationships/hyperlink" Target="https://docs.fivem.net/vehicles/l35.webp" TargetMode="External"/><Relationship Id="rId17" Type="http://schemas.openxmlformats.org/officeDocument/2006/relationships/hyperlink" Target="https://docs.fivem.net/vehicles/blista3.webp" TargetMode="External"/><Relationship Id="rId59" Type="http://schemas.openxmlformats.org/officeDocument/2006/relationships/hyperlink" Target="https://docs.fivem.net/vehicles/banshee.webp" TargetMode="External"/><Relationship Id="rId124" Type="http://schemas.openxmlformats.org/officeDocument/2006/relationships/hyperlink" Target="https://docs.fivem.net/vehicles/remus.webp" TargetMode="External"/><Relationship Id="rId527" Type="http://schemas.openxmlformats.org/officeDocument/2006/relationships/hyperlink" Target="https://docs.fivem.net/vehicles/gbschwartzers.webp" TargetMode="External"/><Relationship Id="rId70" Type="http://schemas.openxmlformats.org/officeDocument/2006/relationships/hyperlink" Target="https://docs.fivem.net/vehicles/coquette.webp" TargetMode="External"/><Relationship Id="rId166" Type="http://schemas.openxmlformats.org/officeDocument/2006/relationships/hyperlink" Target="https://docs.fivem.net/vehicles/infernus2.webp" TargetMode="External"/><Relationship Id="rId331" Type="http://schemas.openxmlformats.org/officeDocument/2006/relationships/hyperlink" Target="https://docs.fivem.net/vehicles/yosemite2.webp" TargetMode="External"/><Relationship Id="rId373" Type="http://schemas.openxmlformats.org/officeDocument/2006/relationships/hyperlink" Target="https://docs.fivem.net/vehicles/entityxf.webp" TargetMode="External"/><Relationship Id="rId429" Type="http://schemas.openxmlformats.org/officeDocument/2006/relationships/hyperlink" Target="https://docs.fivem.net/vehicles/dorado.webp" TargetMode="External"/><Relationship Id="rId1" Type="http://schemas.openxmlformats.org/officeDocument/2006/relationships/hyperlink" Target="https://docs.fivem.net/vehicles/bmx.webp" TargetMode="External"/><Relationship Id="rId233" Type="http://schemas.openxmlformats.org/officeDocument/2006/relationships/hyperlink" Target="https://docs.fivem.net/vehicles/lectro.webp" TargetMode="External"/><Relationship Id="rId440" Type="http://schemas.openxmlformats.org/officeDocument/2006/relationships/hyperlink" Target="https://docs.fivem.net/vehicles/landstalker.webp" TargetMode="External"/><Relationship Id="rId28" Type="http://schemas.openxmlformats.org/officeDocument/2006/relationships/hyperlink" Target="https://docs.fivem.net/vehicles/issi7.webp" TargetMode="External"/><Relationship Id="rId275" Type="http://schemas.openxmlformats.org/officeDocument/2006/relationships/hyperlink" Target="https://docs.fivem.net/vehicles/dominator7.webp" TargetMode="External"/><Relationship Id="rId300" Type="http://schemas.openxmlformats.org/officeDocument/2006/relationships/hyperlink" Target="https://docs.fivem.net/vehicles/imperator3.webp" TargetMode="External"/><Relationship Id="rId482" Type="http://schemas.openxmlformats.org/officeDocument/2006/relationships/hyperlink" Target="https://docs.fivem.net/vehicles/terminus.webp" TargetMode="External"/><Relationship Id="rId538" Type="http://schemas.openxmlformats.org/officeDocument/2006/relationships/hyperlink" Target="https://docs.fivem.net/vehicles/gbturismogts.webp" TargetMode="External"/><Relationship Id="rId81" Type="http://schemas.openxmlformats.org/officeDocument/2006/relationships/hyperlink" Target="https://docs.fivem.net/vehicles/elegy2.webp" TargetMode="External"/><Relationship Id="rId135" Type="http://schemas.openxmlformats.org/officeDocument/2006/relationships/hyperlink" Target="https://docs.fivem.net/vehicles/specter.webp" TargetMode="External"/><Relationship Id="rId177" Type="http://schemas.openxmlformats.org/officeDocument/2006/relationships/hyperlink" Target="https://docs.fivem.net/vehicles/retinue.webp" TargetMode="External"/><Relationship Id="rId342" Type="http://schemas.openxmlformats.org/officeDocument/2006/relationships/hyperlink" Target="https://docs.fivem.net/vehicles/impaler5.webp" TargetMode="External"/><Relationship Id="rId384" Type="http://schemas.openxmlformats.org/officeDocument/2006/relationships/hyperlink" Target="https://docs.fivem.net/vehicles/lm87.webp" TargetMode="External"/><Relationship Id="rId202" Type="http://schemas.openxmlformats.org/officeDocument/2006/relationships/hyperlink" Target="https://docs.fivem.net/vehicles/youga4.webp" TargetMode="External"/><Relationship Id="rId244" Type="http://schemas.openxmlformats.org/officeDocument/2006/relationships/hyperlink" Target="https://docs.fivem.net/vehicles/sanchez.webp" TargetMode="External"/><Relationship Id="rId39" Type="http://schemas.openxmlformats.org/officeDocument/2006/relationships/hyperlink" Target="https://docs.fivem.net/vehicles/exemplar.webp" TargetMode="External"/><Relationship Id="rId286" Type="http://schemas.openxmlformats.org/officeDocument/2006/relationships/hyperlink" Target="https://docs.fivem.net/vehicles/gauntlet3.webp" TargetMode="External"/><Relationship Id="rId451" Type="http://schemas.openxmlformats.org/officeDocument/2006/relationships/hyperlink" Target="https://docs.fivem.net/vehicles/toros.webp" TargetMode="External"/><Relationship Id="rId493" Type="http://schemas.openxmlformats.org/officeDocument/2006/relationships/hyperlink" Target="https://docs.fivem.net/vehicles/evocometwoc.webp" TargetMode="External"/><Relationship Id="rId507" Type="http://schemas.openxmlformats.org/officeDocument/2006/relationships/hyperlink" Target="https://docs.fivem.net/vehicles/gbgresleystx.webp" TargetMode="External"/><Relationship Id="rId549" Type="http://schemas.openxmlformats.org/officeDocument/2006/relationships/hyperlink" Target="https://docs.fivem.net/vehicles/zr6gt.webp" TargetMode="External"/><Relationship Id="rId50" Type="http://schemas.openxmlformats.org/officeDocument/2006/relationships/hyperlink" Target="https://docs.fivem.net/vehicles/sentinel.webp" TargetMode="External"/><Relationship Id="rId104" Type="http://schemas.openxmlformats.org/officeDocument/2006/relationships/hyperlink" Target="https://docs.fivem.net/vehicles/massacro.webp" TargetMode="External"/><Relationship Id="rId146" Type="http://schemas.openxmlformats.org/officeDocument/2006/relationships/hyperlink" Target="https://docs.fivem.net/vehicles/vectre.webp" TargetMode="External"/><Relationship Id="rId188" Type="http://schemas.openxmlformats.org/officeDocument/2006/relationships/hyperlink" Target="https://docs.fivem.net/vehicles/viseris.webp" TargetMode="External"/><Relationship Id="rId311" Type="http://schemas.openxmlformats.org/officeDocument/2006/relationships/hyperlink" Target="https://docs.fivem.net/vehicles/sabregt2.webp" TargetMode="External"/><Relationship Id="rId353" Type="http://schemas.openxmlformats.org/officeDocument/2006/relationships/hyperlink" Target="https://docs.fivem.net/vehicles/stanier.webp" TargetMode="External"/><Relationship Id="rId395" Type="http://schemas.openxmlformats.org/officeDocument/2006/relationships/hyperlink" Target="https://docs.fivem.net/vehicles/stingertt.webp" TargetMode="External"/><Relationship Id="rId409" Type="http://schemas.openxmlformats.org/officeDocument/2006/relationships/hyperlink" Target="https://docs.fivem.net/vehicles/virtue.webp" TargetMode="External"/><Relationship Id="rId92" Type="http://schemas.openxmlformats.org/officeDocument/2006/relationships/hyperlink" Target="https://docs.fivem.net/vehicles/imorgon.webp" TargetMode="External"/><Relationship Id="rId213" Type="http://schemas.openxmlformats.org/officeDocument/2006/relationships/hyperlink" Target="https://docs.fivem.net/vehicles/daemon2.webp" TargetMode="External"/><Relationship Id="rId420" Type="http://schemas.openxmlformats.org/officeDocument/2006/relationships/hyperlink" Target="https://docs.fivem.net/vehicles/baller4.webp" TargetMode="External"/><Relationship Id="rId255" Type="http://schemas.openxmlformats.org/officeDocument/2006/relationships/hyperlink" Target="https://docs.fivem.net/vehicles/wolfsbane.webp" TargetMode="External"/><Relationship Id="rId297" Type="http://schemas.openxmlformats.org/officeDocument/2006/relationships/hyperlink" Target="https://docs.fivem.net/vehicles/impaler6.webp" TargetMode="External"/><Relationship Id="rId462" Type="http://schemas.openxmlformats.org/officeDocument/2006/relationships/hyperlink" Target="https://docs.fivem.net/vehicles/draugur.webp" TargetMode="External"/><Relationship Id="rId518" Type="http://schemas.openxmlformats.org/officeDocument/2006/relationships/hyperlink" Target="https://docs.fivem.net/vehicles/gbneonct.webp" TargetMode="External"/><Relationship Id="rId115" Type="http://schemas.openxmlformats.org/officeDocument/2006/relationships/hyperlink" Target="https://docs.fivem.net/vehicles/paragon3.webp" TargetMode="External"/><Relationship Id="rId157" Type="http://schemas.openxmlformats.org/officeDocument/2006/relationships/hyperlink" Target="https://docs.fivem.net/vehicles/cheburek.webp" TargetMode="External"/><Relationship Id="rId322" Type="http://schemas.openxmlformats.org/officeDocument/2006/relationships/hyperlink" Target="https://docs.fivem.net/vehicles/vigero.webp" TargetMode="External"/><Relationship Id="rId364" Type="http://schemas.openxmlformats.org/officeDocument/2006/relationships/hyperlink" Target="https://docs.fivem.net/vehicles/banshee2.webp" TargetMode="External"/><Relationship Id="rId61" Type="http://schemas.openxmlformats.org/officeDocument/2006/relationships/hyperlink" Target="https://docs.fivem.net/vehicles/calico.webp" TargetMode="External"/><Relationship Id="rId199" Type="http://schemas.openxmlformats.org/officeDocument/2006/relationships/hyperlink" Target="https://docs.fivem.net/vehicles/surfer.webp" TargetMode="External"/><Relationship Id="rId19" Type="http://schemas.openxmlformats.org/officeDocument/2006/relationships/hyperlink" Target="https://docs.fivem.net/vehicles/lectro.webp" TargetMode="External"/><Relationship Id="rId224" Type="http://schemas.openxmlformats.org/officeDocument/2006/relationships/hyperlink" Target="https://docs.fivem.net/vehicles/faggio2.webp" TargetMode="External"/><Relationship Id="rId266" Type="http://schemas.openxmlformats.org/officeDocument/2006/relationships/hyperlink" Target="https://docs.fivem.net/vehicles/chino.webp" TargetMode="External"/><Relationship Id="rId431" Type="http://schemas.openxmlformats.org/officeDocument/2006/relationships/hyperlink" Target="https://docs.fivem.net/vehicles/dubsta2.webp" TargetMode="External"/><Relationship Id="rId473" Type="http://schemas.openxmlformats.org/officeDocument/2006/relationships/hyperlink" Target="https://docs.fivem.net/vehicles/mesa3.webp" TargetMode="External"/><Relationship Id="rId529" Type="http://schemas.openxmlformats.org/officeDocument/2006/relationships/hyperlink" Target="https://docs.fivem.net/vehicles/gbsidewinder.webp" TargetMode="External"/><Relationship Id="rId30" Type="http://schemas.openxmlformats.org/officeDocument/2006/relationships/hyperlink" Target="https://docs.fivem.net/vehicles/kanjo.webp" TargetMode="External"/><Relationship Id="rId126" Type="http://schemas.openxmlformats.org/officeDocument/2006/relationships/hyperlink" Target="https://docs.fivem.net/vehicles/rt3000.webp" TargetMode="External"/><Relationship Id="rId168" Type="http://schemas.openxmlformats.org/officeDocument/2006/relationships/hyperlink" Target="https://docs.fivem.net/vehicles/mamba.webp" TargetMode="External"/><Relationship Id="rId333" Type="http://schemas.openxmlformats.org/officeDocument/2006/relationships/hyperlink" Target="https://docs.fivem.net/vehicles/asterope.webp" TargetMode="External"/><Relationship Id="rId540" Type="http://schemas.openxmlformats.org/officeDocument/2006/relationships/hyperlink" Target="https://docs.fivem.net/vehicles/gbvivantgrb.webp" TargetMode="External"/><Relationship Id="rId72" Type="http://schemas.openxmlformats.org/officeDocument/2006/relationships/hyperlink" Target="https://docs.fivem.net/vehicles/coquette5.webp" TargetMode="External"/><Relationship Id="rId375" Type="http://schemas.openxmlformats.org/officeDocument/2006/relationships/hyperlink" Target="https://docs.fivem.net/vehicles/furia.webp" TargetMode="External"/><Relationship Id="rId3" Type="http://schemas.openxmlformats.org/officeDocument/2006/relationships/hyperlink" Target="https://docs.fivem.net/vehicles/fixter.webp" TargetMode="External"/><Relationship Id="rId235" Type="http://schemas.openxmlformats.org/officeDocument/2006/relationships/hyperlink" Target="https://docs.fivem.net/vehicles/manchez2.webp" TargetMode="External"/><Relationship Id="rId277" Type="http://schemas.openxmlformats.org/officeDocument/2006/relationships/hyperlink" Target="https://docs.fivem.net/vehicles/dominator9.webp" TargetMode="External"/><Relationship Id="rId400" Type="http://schemas.openxmlformats.org/officeDocument/2006/relationships/hyperlink" Target="https://docs.fivem.net/vehicles/thrax.webp" TargetMode="External"/><Relationship Id="rId442" Type="http://schemas.openxmlformats.org/officeDocument/2006/relationships/hyperlink" Target="https://docs.fivem.net/vehicles/novak.webp" TargetMode="External"/><Relationship Id="rId484" Type="http://schemas.openxmlformats.org/officeDocument/2006/relationships/hyperlink" Target="https://docs.fivem.net/vehicles/trophytruck2.webp" TargetMode="External"/><Relationship Id="rId137" Type="http://schemas.openxmlformats.org/officeDocument/2006/relationships/hyperlink" Target="https://docs.fivem.net/vehicles/sugoi.webp" TargetMode="External"/><Relationship Id="rId302" Type="http://schemas.openxmlformats.org/officeDocument/2006/relationships/hyperlink" Target="https://docs.fivem.net/vehicles/manana.webp" TargetMode="External"/><Relationship Id="rId344" Type="http://schemas.openxmlformats.org/officeDocument/2006/relationships/hyperlink" Target="https://docs.fivem.net/vehicles/intruder.webp" TargetMode="External"/><Relationship Id="rId41" Type="http://schemas.openxmlformats.org/officeDocument/2006/relationships/hyperlink" Target="https://docs.fivem.net/vehicles/felon.webp" TargetMode="External"/><Relationship Id="rId83" Type="http://schemas.openxmlformats.org/officeDocument/2006/relationships/hyperlink" Target="https://docs.fivem.net/vehicles/eurosx32.webp" TargetMode="External"/><Relationship Id="rId179" Type="http://schemas.openxmlformats.org/officeDocument/2006/relationships/hyperlink" Target="https://docs.fivem.net/vehicles/savestra.webp" TargetMode="External"/><Relationship Id="rId386" Type="http://schemas.openxmlformats.org/officeDocument/2006/relationships/hyperlink" Target="https://docs.fivem.net/vehicles/nero2.webp" TargetMode="External"/><Relationship Id="rId190" Type="http://schemas.openxmlformats.org/officeDocument/2006/relationships/hyperlink" Target="https://docs.fivem.net/vehicles/zion3.webp" TargetMode="External"/><Relationship Id="rId204" Type="http://schemas.openxmlformats.org/officeDocument/2006/relationships/hyperlink" Target="https://docs.fivem.net/vehicles/avarus.webp" TargetMode="External"/><Relationship Id="rId246" Type="http://schemas.openxmlformats.org/officeDocument/2006/relationships/hyperlink" Target="https://docs.fivem.net/vehicles/sanctus.webp" TargetMode="External"/><Relationship Id="rId288" Type="http://schemas.openxmlformats.org/officeDocument/2006/relationships/hyperlink" Target="https://docs.fivem.net/vehicles/gauntlet5.webp" TargetMode="External"/><Relationship Id="rId411" Type="http://schemas.openxmlformats.org/officeDocument/2006/relationships/hyperlink" Target="https://docs.fivem.net/vehicles/xa21.webp" TargetMode="External"/><Relationship Id="rId453" Type="http://schemas.openxmlformats.org/officeDocument/2006/relationships/hyperlink" Target="https://docs.fivem.net/vehicles/xls.webp" TargetMode="External"/><Relationship Id="rId509" Type="http://schemas.openxmlformats.org/officeDocument/2006/relationships/hyperlink" Target="https://docs.fivem.net/vehicles/gbharmann.webp" TargetMode="External"/><Relationship Id="rId106" Type="http://schemas.openxmlformats.org/officeDocument/2006/relationships/hyperlink" Target="https://docs.fivem.net/vehicles/neo.webp" TargetMode="External"/><Relationship Id="rId313" Type="http://schemas.openxmlformats.org/officeDocument/2006/relationships/hyperlink" Target="https://docs.fivem.net/vehicles/slamvan2.webp" TargetMode="External"/><Relationship Id="rId495" Type="http://schemas.openxmlformats.org/officeDocument/2006/relationships/hyperlink" Target="https://docs.fivem.net/vehicles/g4m82touring.webp" TargetMode="External"/><Relationship Id="rId10" Type="http://schemas.openxmlformats.org/officeDocument/2006/relationships/hyperlink" Target="https://docs.fivem.net/vehicles/formula.webp" TargetMode="External"/><Relationship Id="rId52" Type="http://schemas.openxmlformats.org/officeDocument/2006/relationships/hyperlink" Target="https://docs.fivem.net/vehicles/sentinel3.webp" TargetMode="External"/><Relationship Id="rId94" Type="http://schemas.openxmlformats.org/officeDocument/2006/relationships/hyperlink" Target="https://docs.fivem.net/vehicles/jester.webp" TargetMode="External"/><Relationship Id="rId148" Type="http://schemas.openxmlformats.org/officeDocument/2006/relationships/hyperlink" Target="https://docs.fivem.net/vehicles/visione.webp" TargetMode="External"/><Relationship Id="rId355" Type="http://schemas.openxmlformats.org/officeDocument/2006/relationships/hyperlink" Target="https://docs.fivem.net/vehicles/superd.webp" TargetMode="External"/><Relationship Id="rId397" Type="http://schemas.openxmlformats.org/officeDocument/2006/relationships/hyperlink" Target="https://docs.fivem.net/vehicles/taipan.webp" TargetMode="External"/><Relationship Id="rId520" Type="http://schemas.openxmlformats.org/officeDocument/2006/relationships/hyperlink" Target="https://docs.fivem.net/vehicles/gbprospero.webp" TargetMode="External"/><Relationship Id="rId215" Type="http://schemas.openxmlformats.org/officeDocument/2006/relationships/hyperlink" Target="https://docs.fivem.net/vehicles/deathbike2.webp" TargetMode="External"/><Relationship Id="rId257" Type="http://schemas.openxmlformats.org/officeDocument/2006/relationships/hyperlink" Target="https://docs.fivem.net/vehicles/zombieb.webp" TargetMode="External"/><Relationship Id="rId422" Type="http://schemas.openxmlformats.org/officeDocument/2006/relationships/hyperlink" Target="https://docs.fivem.net/vehicles/baller8.webp" TargetMode="External"/><Relationship Id="rId464" Type="http://schemas.openxmlformats.org/officeDocument/2006/relationships/hyperlink" Target="https://docs.fivem.net/vehicles/dune.webp" TargetMode="External"/><Relationship Id="rId299" Type="http://schemas.openxmlformats.org/officeDocument/2006/relationships/hyperlink" Target="https://docs.fivem.net/vehicles/imperator2.webp" TargetMode="External"/><Relationship Id="rId63" Type="http://schemas.openxmlformats.org/officeDocument/2006/relationships/hyperlink" Target="https://docs.fivem.net/vehicles/cheetah2.webp" TargetMode="External"/><Relationship Id="rId159" Type="http://schemas.openxmlformats.org/officeDocument/2006/relationships/hyperlink" Target="https://docs.fivem.net/vehicles/coquette3.webp" TargetMode="External"/><Relationship Id="rId366" Type="http://schemas.openxmlformats.org/officeDocument/2006/relationships/hyperlink" Target="https://docs.fivem.net/vehicles/cheetah.webp" TargetMode="External"/><Relationship Id="rId226" Type="http://schemas.openxmlformats.org/officeDocument/2006/relationships/hyperlink" Target="https://docs.fivem.net/vehicles/fcr.webp" TargetMode="External"/><Relationship Id="rId433" Type="http://schemas.openxmlformats.org/officeDocument/2006/relationships/hyperlink" Target="https://docs.fivem.net/vehicles/granger.webp" TargetMode="External"/><Relationship Id="rId74" Type="http://schemas.openxmlformats.org/officeDocument/2006/relationships/hyperlink" Target="https://docs.fivem.net/vehicles/coureur.webp" TargetMode="External"/><Relationship Id="rId377" Type="http://schemas.openxmlformats.org/officeDocument/2006/relationships/hyperlink" Target="https://docs.fivem.net/vehicles/ignus.webp" TargetMode="External"/><Relationship Id="rId500" Type="http://schemas.openxmlformats.org/officeDocument/2006/relationships/hyperlink" Target="https://docs.fivem.net/vehicles/gbcomets1t.webp" TargetMode="External"/><Relationship Id="rId5" Type="http://schemas.openxmlformats.org/officeDocument/2006/relationships/hyperlink" Target="https://docs.fivem.net/vehicles/inductor2.webp" TargetMode="External"/><Relationship Id="rId237" Type="http://schemas.openxmlformats.org/officeDocument/2006/relationships/hyperlink" Target="https://docs.fivem.net/vehicles/nightblade.webp" TargetMode="External"/><Relationship Id="rId444" Type="http://schemas.openxmlformats.org/officeDocument/2006/relationships/hyperlink" Target="https://docs.fivem.net/vehicles/patriot3.webp" TargetMode="External"/><Relationship Id="rId290" Type="http://schemas.openxmlformats.org/officeDocument/2006/relationships/hyperlink" Target="https://docs.fivem.net/vehicles/hermes.webp" TargetMode="External"/><Relationship Id="rId304" Type="http://schemas.openxmlformats.org/officeDocument/2006/relationships/hyperlink" Target="https://docs.fivem.net/vehicles/nightshade.webp" TargetMode="External"/><Relationship Id="rId388" Type="http://schemas.openxmlformats.org/officeDocument/2006/relationships/hyperlink" Target="https://docs.fivem.net/vehicles/penetrator.webp" TargetMode="External"/><Relationship Id="rId511" Type="http://schemas.openxmlformats.org/officeDocument/2006/relationships/hyperlink" Target="https://docs.fivem.net/vehicles/gbirisz.webp" TargetMode="External"/><Relationship Id="rId85" Type="http://schemas.openxmlformats.org/officeDocument/2006/relationships/hyperlink" Target="https://docs.fivem.net/vehicles/feltzer2.webp" TargetMode="External"/><Relationship Id="rId150" Type="http://schemas.openxmlformats.org/officeDocument/2006/relationships/hyperlink" Target="https://docs.fivem.net/vehicles/vstr.webp" TargetMode="External"/><Relationship Id="rId248" Type="http://schemas.openxmlformats.org/officeDocument/2006/relationships/hyperlink" Target="https://docs.fivem.net/vehicles/shotaro.webp" TargetMode="External"/><Relationship Id="rId455" Type="http://schemas.openxmlformats.org/officeDocument/2006/relationships/hyperlink" Target="https://docs.fivem.net/vehicles/bifta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N1000"/>
  <sheetViews>
    <sheetView showGridLines="0" zoomScale="70" zoomScaleNormal="70" workbookViewId="0">
      <selection activeCell="J9" sqref="J9"/>
    </sheetView>
  </sheetViews>
  <sheetFormatPr baseColWidth="10" defaultColWidth="12.59765625" defaultRowHeight="15" customHeight="1" x14ac:dyDescent="0.35"/>
  <cols>
    <col min="1" max="1" width="0.59765625" customWidth="1"/>
    <col min="2" max="2" width="7.265625" customWidth="1"/>
    <col min="3" max="3" width="24.59765625" customWidth="1"/>
    <col min="4" max="4" width="11.86328125" bestFit="1" customWidth="1"/>
    <col min="5" max="5" width="9.1328125" customWidth="1"/>
    <col min="6" max="6" width="12.3984375" customWidth="1"/>
    <col min="7" max="7" width="5" customWidth="1"/>
    <col min="8" max="8" width="19.59765625" customWidth="1"/>
    <col min="9" max="9" width="4.86328125" customWidth="1"/>
    <col min="10" max="10" width="22" customWidth="1"/>
    <col min="11" max="11" width="4.1328125" customWidth="1"/>
    <col min="14" max="14" width="43.46484375" customWidth="1"/>
  </cols>
  <sheetData>
    <row r="1" spans="1:14" ht="15.75" customHeight="1" x14ac:dyDescent="0.35">
      <c r="A1" s="1" t="s">
        <v>0</v>
      </c>
    </row>
    <row r="2" spans="1:14" ht="15.75" customHeight="1" x14ac:dyDescent="0.4">
      <c r="B2" s="2"/>
      <c r="C2" s="43" t="s">
        <v>1</v>
      </c>
      <c r="D2" s="44"/>
      <c r="E2" s="44"/>
      <c r="F2" s="44"/>
      <c r="G2" s="44"/>
      <c r="H2" s="44"/>
      <c r="I2" s="44"/>
      <c r="J2" s="45"/>
      <c r="K2" s="3"/>
      <c r="L2" s="46" t="s">
        <v>2</v>
      </c>
      <c r="M2" s="44"/>
      <c r="N2" s="45"/>
    </row>
    <row r="3" spans="1:14" ht="20.25" customHeight="1" x14ac:dyDescent="0.5">
      <c r="B3" s="2"/>
      <c r="C3" s="4"/>
      <c r="D3" s="4"/>
      <c r="E3" s="5"/>
      <c r="F3" s="5"/>
      <c r="G3" s="5"/>
      <c r="H3" s="5"/>
      <c r="I3" s="5"/>
      <c r="J3" s="5"/>
      <c r="K3" s="2"/>
      <c r="L3" s="6" t="str">
        <f>"Matrícula: " &amp; TEXT(C30, "")</f>
        <v xml:space="preserve">Matrícula: </v>
      </c>
      <c r="M3" s="7"/>
      <c r="N3" s="8"/>
    </row>
    <row r="4" spans="1:14" ht="21.75" customHeight="1" x14ac:dyDescent="0.5">
      <c r="B4" s="9"/>
      <c r="C4" s="46" t="s">
        <v>3</v>
      </c>
      <c r="D4" s="45"/>
      <c r="E4" s="46" t="s">
        <v>4</v>
      </c>
      <c r="F4" s="45"/>
      <c r="G4" s="3"/>
      <c r="H4" s="46" t="s">
        <v>5</v>
      </c>
      <c r="I4" s="44"/>
      <c r="J4" s="45"/>
      <c r="K4" s="9"/>
      <c r="L4" s="6" t="str">
        <f ca="1">"Modelo: " &amp; TEXT(C6, "")</f>
        <v>Modelo: Ruffian</v>
      </c>
      <c r="M4" s="7"/>
      <c r="N4" s="8"/>
    </row>
    <row r="5" spans="1:14" ht="24.75" customHeight="1" x14ac:dyDescent="0.55000000000000004">
      <c r="A5" s="10"/>
      <c r="B5" s="9"/>
      <c r="C5" s="52" t="s">
        <v>33</v>
      </c>
      <c r="D5" s="45"/>
      <c r="E5" s="47" t="str">
        <f ca="1">VLOOKUP(C5,Listado!A:F,4,FALSE)</f>
        <v>Motos</v>
      </c>
      <c r="F5" s="45"/>
      <c r="G5" s="3"/>
      <c r="H5" s="48" t="s">
        <v>6</v>
      </c>
      <c r="I5" s="45"/>
      <c r="J5" s="11">
        <f ca="1">IF(D11, E7*0.15, 0) + IF(D11, 300, 0)</f>
        <v>3225</v>
      </c>
      <c r="K5" s="9"/>
      <c r="L5" s="6" t="str">
        <f>"Modificación: " &amp;
IF(D7, "Full Tuning",
   IF(D11, "Motor", "") &amp;
   IF(D13&gt;0, "+ Performance (" &amp; D13 &amp; " piezas) ", "") &amp;
   IF(D15&gt;0, "+ Custom (" &amp; D15 &amp; " piezas) ", "") &amp;
   IF(D17&gt;0, "+ Cosmetic (" &amp; D17 &amp; " piezas) ", "")
) &amp;
IF(D9, "+ Pintura camaleónica ", "") &amp;
IF(D20, "+ Reparación", "")</f>
        <v>Modificación: Motor</v>
      </c>
      <c r="M5" s="7"/>
      <c r="N5" s="8"/>
    </row>
    <row r="6" spans="1:14" ht="24.75" customHeight="1" x14ac:dyDescent="0.55000000000000004">
      <c r="A6" s="10"/>
      <c r="B6" s="9"/>
      <c r="C6" s="53" t="str">
        <f ca="1">VLOOKUP(C5,Listado!A:F,2,FALSE)</f>
        <v>Ruffian</v>
      </c>
      <c r="D6" s="45"/>
      <c r="E6" s="51" t="s">
        <v>7</v>
      </c>
      <c r="F6" s="45"/>
      <c r="G6" s="3"/>
      <c r="H6" s="48" t="s">
        <v>8</v>
      </c>
      <c r="I6" s="45"/>
      <c r="J6" s="11">
        <f>IF(D13&gt;0, E7*0.15, 0) + D13*200</f>
        <v>0</v>
      </c>
      <c r="K6" s="9"/>
      <c r="L6" s="6" t="str">
        <f ca="1">"Importe: " &amp; TEXT(J9, "#$")</f>
        <v>Importe: 2580$</v>
      </c>
      <c r="M6" s="7"/>
      <c r="N6" s="8"/>
    </row>
    <row r="7" spans="1:14" ht="23.25" customHeight="1" x14ac:dyDescent="0.55000000000000004">
      <c r="A7" s="10"/>
      <c r="B7" s="9"/>
      <c r="C7" s="12" t="s">
        <v>9</v>
      </c>
      <c r="D7" s="13" t="b">
        <v>0</v>
      </c>
      <c r="E7" s="54">
        <f ca="1">VLOOKUP(C5,Listado!A:F,3,FALSE)</f>
        <v>19500</v>
      </c>
      <c r="F7" s="45"/>
      <c r="G7" s="3"/>
      <c r="H7" s="48" t="s">
        <v>10</v>
      </c>
      <c r="I7" s="45"/>
      <c r="J7" s="11">
        <f>IF(D15&gt;0, E7*0.05, 0) + D15*100</f>
        <v>0</v>
      </c>
      <c r="K7" s="9"/>
      <c r="L7" s="6" t="str">
        <f>"Empleado que realizo el servicio: " &amp; TEXT(C27, "")</f>
        <v xml:space="preserve">Empleado que realizo el servicio: </v>
      </c>
      <c r="M7" s="7"/>
      <c r="N7" s="8"/>
    </row>
    <row r="8" spans="1:14" ht="26.25" customHeight="1" x14ac:dyDescent="0.55000000000000004">
      <c r="A8" s="10"/>
      <c r="B8" s="9"/>
      <c r="C8" s="14"/>
      <c r="D8" s="14"/>
      <c r="E8" s="14"/>
      <c r="F8" s="14"/>
      <c r="G8" s="14"/>
      <c r="H8" s="48" t="s">
        <v>11</v>
      </c>
      <c r="I8" s="45"/>
      <c r="J8" s="15">
        <f>IF(D17&gt;0, E7*0.05, 0) + D17*50</f>
        <v>0</v>
      </c>
      <c r="K8" s="9"/>
      <c r="L8" s="16" t="str">
        <f>"Convenio y descuento: " &amp; I16 &amp; " (" &amp; I13 &amp; "%)"</f>
        <v>Convenio y descuento: N/A (20%)</v>
      </c>
      <c r="M8" s="17"/>
      <c r="N8" s="18"/>
    </row>
    <row r="9" spans="1:14" ht="33.75" customHeight="1" x14ac:dyDescent="1">
      <c r="A9" s="10"/>
      <c r="B9" s="9"/>
      <c r="C9" s="19" t="s">
        <v>12</v>
      </c>
      <c r="D9" s="13" t="b">
        <v>0</v>
      </c>
      <c r="E9" s="55" t="s">
        <v>13</v>
      </c>
      <c r="F9" s="56"/>
      <c r="G9" s="14"/>
      <c r="H9" s="57" t="s">
        <v>14</v>
      </c>
      <c r="I9" s="45"/>
      <c r="J9" s="20">
        <f ca="1">IF(E5="VIP",
        IF(D7,
                5000 +
                IF(D11,300,0) +
                D13*200 +
                D15*100 +
                D17*50 +
                IF(D20,D24,0),
                IF(D11,1000,0) +
                D13*1000 +
                D15*1000 +
                D17*1000 +
                IF(D20,D24,0)
        ),
        IF(D7,
                (E7*0.4)*(1-(I13/100)) +
                IF(D20,D24,0),
                (
                  IF(D11,E7*0.15,0) +
                  IF(D13&gt;0,E7*0.15,0) +
                  IF(D15&gt;0,E7*0.05,0) +
                  IF(D17&gt;0,E7*0.05,0) +
                  IF(D11,300,0) +
                  D13*200 +
                  D15*100 +
                  D17*50
                )*(1-(I13/100)) +
                IF(D20,D24,0)
        )
)+ IF(D9, 5000, 0)</f>
        <v>2580</v>
      </c>
      <c r="K9" s="9"/>
    </row>
    <row r="10" spans="1:14" ht="24.75" customHeight="1" x14ac:dyDescent="0.6">
      <c r="A10" s="10"/>
      <c r="B10" s="2"/>
      <c r="C10" s="49" t="s">
        <v>6</v>
      </c>
      <c r="D10" s="45"/>
      <c r="E10" s="21" t="s">
        <v>15</v>
      </c>
      <c r="F10" s="14"/>
      <c r="G10" s="5"/>
    </row>
    <row r="11" spans="1:14" ht="25.5" customHeight="1" x14ac:dyDescent="0.55000000000000004">
      <c r="A11" s="10"/>
      <c r="B11" s="2"/>
      <c r="C11" s="22" t="s">
        <v>15</v>
      </c>
      <c r="D11" s="13" t="b">
        <v>1</v>
      </c>
      <c r="E11" s="21" t="s">
        <v>16</v>
      </c>
      <c r="F11" s="21" t="b">
        <v>0</v>
      </c>
      <c r="G11" s="14"/>
      <c r="K11" s="23"/>
      <c r="L11" s="58" t="s">
        <v>17</v>
      </c>
      <c r="M11" s="59"/>
      <c r="N11" s="60"/>
    </row>
    <row r="12" spans="1:14" ht="24.75" customHeight="1" x14ac:dyDescent="0.6">
      <c r="A12" s="10"/>
      <c r="B12" s="2"/>
      <c r="C12" s="49" t="s">
        <v>8</v>
      </c>
      <c r="D12" s="45"/>
      <c r="E12" s="1"/>
      <c r="F12" s="1"/>
      <c r="G12" s="14"/>
      <c r="H12" s="50" t="s">
        <v>18</v>
      </c>
      <c r="I12" s="44"/>
      <c r="J12" s="45"/>
      <c r="K12" s="23"/>
      <c r="L12" s="24" t="str">
        <f>"Matrícula: " &amp; TEXT(C30, "")</f>
        <v xml:space="preserve">Matrícula: </v>
      </c>
      <c r="M12" s="25"/>
      <c r="N12" s="26"/>
    </row>
    <row r="13" spans="1:14" ht="15.75" customHeight="1" x14ac:dyDescent="0.55000000000000004">
      <c r="A13" s="10"/>
      <c r="B13" s="2"/>
      <c r="C13" s="22" t="s">
        <v>15</v>
      </c>
      <c r="D13" s="27">
        <v>0</v>
      </c>
      <c r="E13" s="1"/>
      <c r="G13" s="14"/>
      <c r="H13" s="12" t="s">
        <v>19</v>
      </c>
      <c r="I13" s="61">
        <v>20</v>
      </c>
      <c r="J13" s="45"/>
      <c r="K13" s="23"/>
      <c r="L13" s="6" t="str">
        <f ca="1">"Modelo: " &amp; TEXT(C6, "")</f>
        <v>Modelo: Ruffian</v>
      </c>
      <c r="M13" s="7"/>
      <c r="N13" s="8"/>
    </row>
    <row r="14" spans="1:14" ht="15.75" customHeight="1" x14ac:dyDescent="0.75">
      <c r="A14" s="10"/>
      <c r="B14" s="2"/>
      <c r="C14" s="49" t="s">
        <v>10</v>
      </c>
      <c r="D14" s="45"/>
      <c r="E14" s="1"/>
      <c r="F14" s="28"/>
      <c r="G14" s="14"/>
      <c r="K14" s="23"/>
      <c r="L14" s="6" t="str">
        <f>"Modificación: Reparación"</f>
        <v>Modificación: Reparación</v>
      </c>
      <c r="M14" s="7"/>
      <c r="N14" s="8"/>
    </row>
    <row r="15" spans="1:14" ht="21" customHeight="1" x14ac:dyDescent="0.55000000000000004">
      <c r="A15" s="10"/>
      <c r="B15" s="2"/>
      <c r="C15" s="22" t="s">
        <v>15</v>
      </c>
      <c r="D15" s="27">
        <v>0</v>
      </c>
      <c r="E15" s="1"/>
      <c r="F15" s="1"/>
      <c r="G15" s="14"/>
      <c r="H15" s="50" t="s">
        <v>20</v>
      </c>
      <c r="I15" s="44"/>
      <c r="J15" s="45"/>
      <c r="K15" s="23"/>
      <c r="L15" s="6" t="str">
        <f>"Importe: " &amp; TEXT(D24, "#$")</f>
        <v>Importe: $</v>
      </c>
      <c r="M15" s="7"/>
      <c r="N15" s="8"/>
    </row>
    <row r="16" spans="1:14" ht="25.5" customHeight="1" x14ac:dyDescent="0.6">
      <c r="A16" s="10"/>
      <c r="B16" s="2"/>
      <c r="C16" s="49" t="s">
        <v>11</v>
      </c>
      <c r="D16" s="45"/>
      <c r="E16" s="1"/>
      <c r="G16" s="14"/>
      <c r="H16" s="12" t="s">
        <v>20</v>
      </c>
      <c r="I16" s="61" t="s">
        <v>21</v>
      </c>
      <c r="J16" s="45"/>
      <c r="K16" s="23"/>
      <c r="L16" s="6" t="str">
        <f>"Empleado que realizo el servicio: " &amp; TEXT(C27, "")</f>
        <v xml:space="preserve">Empleado que realizo el servicio: </v>
      </c>
      <c r="M16" s="7"/>
      <c r="N16" s="8"/>
    </row>
    <row r="17" spans="1:14" ht="23.25" customHeight="1" x14ac:dyDescent="0.55000000000000004">
      <c r="A17" s="10"/>
      <c r="B17" s="2"/>
      <c r="C17" s="22" t="s">
        <v>15</v>
      </c>
      <c r="D17" s="27"/>
      <c r="E17" s="1"/>
      <c r="F17" s="1"/>
      <c r="G17" s="14"/>
      <c r="H17" s="29"/>
      <c r="I17" s="29"/>
      <c r="J17" s="29"/>
      <c r="K17" s="23"/>
      <c r="L17" s="16" t="str">
        <f>"Convenio y descuento: " &amp; I16 &amp; " (" &amp; I13 &amp; "%)"</f>
        <v>Convenio y descuento: N/A (20%)</v>
      </c>
      <c r="M17" s="17"/>
      <c r="N17" s="18"/>
    </row>
    <row r="18" spans="1:14" ht="15.75" customHeight="1" x14ac:dyDescent="0.4">
      <c r="A18" s="10"/>
      <c r="B18" s="2"/>
      <c r="E18" s="1"/>
      <c r="F18" s="1"/>
      <c r="G18" s="14"/>
      <c r="H18" s="29"/>
      <c r="I18" s="29"/>
      <c r="J18" s="29"/>
      <c r="K18" s="2"/>
    </row>
    <row r="19" spans="1:14" ht="15.75" customHeight="1" x14ac:dyDescent="0.4">
      <c r="A19" s="10"/>
      <c r="B19" s="2"/>
      <c r="E19" s="1"/>
      <c r="F19" s="1"/>
      <c r="G19" s="14"/>
      <c r="H19" s="29"/>
      <c r="I19" s="29"/>
      <c r="J19" s="29"/>
      <c r="K19" s="2"/>
    </row>
    <row r="20" spans="1:14" ht="15.75" customHeight="1" x14ac:dyDescent="0.4">
      <c r="A20" s="10"/>
      <c r="B20" s="2"/>
      <c r="C20" s="30" t="s">
        <v>22</v>
      </c>
      <c r="D20" s="13" t="b">
        <v>0</v>
      </c>
      <c r="E20" s="31"/>
      <c r="F20" s="31"/>
      <c r="G20" s="14"/>
      <c r="H20" s="29"/>
      <c r="I20" s="29"/>
      <c r="J20" s="29"/>
      <c r="K20" s="2"/>
    </row>
    <row r="21" spans="1:14" ht="15.75" customHeight="1" x14ac:dyDescent="0.4">
      <c r="A21" s="10"/>
      <c r="B21" s="2"/>
      <c r="C21" s="32" t="s">
        <v>23</v>
      </c>
      <c r="D21" s="33">
        <v>0</v>
      </c>
      <c r="E21" s="31"/>
      <c r="F21" s="31"/>
      <c r="G21" s="14"/>
      <c r="H21" s="29"/>
      <c r="I21" s="29"/>
      <c r="J21" s="29"/>
      <c r="K21" s="2"/>
    </row>
    <row r="22" spans="1:14" ht="15.75" customHeight="1" x14ac:dyDescent="0.4">
      <c r="A22" s="10"/>
      <c r="B22" s="2"/>
      <c r="C22" s="32" t="s">
        <v>24</v>
      </c>
      <c r="D22" s="33">
        <v>0</v>
      </c>
      <c r="E22" s="31"/>
      <c r="F22" s="31"/>
      <c r="G22" s="14"/>
      <c r="H22" s="62" t="str">
        <f ca="1">IFERROR(_xludf.IMAGE(VLOOKUP(C6,Listado!A:E,5,FALSE)), "No hay imagen para este vehículo")</f>
        <v>No hay imagen para este vehículo</v>
      </c>
      <c r="I22" s="56"/>
      <c r="J22" s="56"/>
      <c r="K22" s="2"/>
    </row>
    <row r="23" spans="1:14" ht="15.75" customHeight="1" x14ac:dyDescent="0.4">
      <c r="A23" s="10"/>
      <c r="B23" s="2"/>
      <c r="C23" s="32" t="s">
        <v>25</v>
      </c>
      <c r="D23" s="33">
        <v>0</v>
      </c>
      <c r="E23" s="31"/>
      <c r="F23" s="31"/>
      <c r="G23" s="14"/>
      <c r="H23" s="56"/>
      <c r="I23" s="56"/>
      <c r="J23" s="56"/>
      <c r="K23" s="2"/>
    </row>
    <row r="24" spans="1:14" ht="15.75" customHeight="1" x14ac:dyDescent="0.4">
      <c r="A24" s="10"/>
      <c r="B24" s="2"/>
      <c r="C24" s="12" t="s">
        <v>14</v>
      </c>
      <c r="D24" s="34">
        <f>((D21*30) + (D22*65) + (D23*40)) * (1 - I13/100)</f>
        <v>0</v>
      </c>
      <c r="E24" s="35"/>
      <c r="F24" s="35"/>
      <c r="G24" s="14"/>
      <c r="H24" s="56"/>
      <c r="I24" s="56"/>
      <c r="J24" s="56"/>
      <c r="K24" s="2"/>
    </row>
    <row r="25" spans="1:14" ht="19.5" customHeight="1" x14ac:dyDescent="0.4">
      <c r="A25" s="10"/>
      <c r="B25" s="2"/>
      <c r="C25" s="14"/>
      <c r="D25" s="35"/>
      <c r="E25" s="14"/>
      <c r="F25" s="14"/>
      <c r="G25" s="14"/>
      <c r="H25" s="56"/>
      <c r="I25" s="56"/>
      <c r="J25" s="56"/>
      <c r="K25" s="2"/>
    </row>
    <row r="26" spans="1:14" ht="19.5" customHeight="1" x14ac:dyDescent="0.4">
      <c r="A26" s="10"/>
      <c r="B26" s="2"/>
      <c r="C26" s="50" t="s">
        <v>26</v>
      </c>
      <c r="D26" s="44"/>
      <c r="E26" s="44"/>
      <c r="F26" s="45"/>
      <c r="G26" s="14"/>
      <c r="H26" s="56"/>
      <c r="I26" s="56"/>
      <c r="J26" s="56"/>
      <c r="K26" s="2"/>
    </row>
    <row r="27" spans="1:14" ht="15.75" customHeight="1" x14ac:dyDescent="0.4">
      <c r="A27" s="10"/>
      <c r="B27" s="2"/>
      <c r="C27" s="51"/>
      <c r="D27" s="44"/>
      <c r="E27" s="44"/>
      <c r="F27" s="45"/>
      <c r="G27" s="14"/>
      <c r="H27" s="56"/>
      <c r="I27" s="56"/>
      <c r="J27" s="56"/>
      <c r="K27" s="2"/>
      <c r="L27" s="2"/>
      <c r="M27" s="2"/>
      <c r="N27" s="2"/>
    </row>
    <row r="28" spans="1:14" ht="15.75" customHeight="1" x14ac:dyDescent="0.4">
      <c r="A28" s="10"/>
      <c r="B28" s="2"/>
      <c r="C28" s="5"/>
      <c r="D28" s="5"/>
      <c r="E28" s="5"/>
      <c r="F28" s="5"/>
      <c r="G28" s="14"/>
      <c r="H28" s="56"/>
      <c r="I28" s="56"/>
      <c r="J28" s="56"/>
      <c r="K28" s="23"/>
      <c r="L28" s="2"/>
      <c r="M28" s="2"/>
      <c r="N28" s="2"/>
    </row>
    <row r="29" spans="1:14" ht="15.75" customHeight="1" x14ac:dyDescent="0.4">
      <c r="A29" s="10"/>
      <c r="B29" s="2"/>
      <c r="C29" s="50" t="s">
        <v>27</v>
      </c>
      <c r="D29" s="44"/>
      <c r="E29" s="44"/>
      <c r="F29" s="45"/>
      <c r="G29" s="5"/>
      <c r="H29" s="56"/>
      <c r="I29" s="56"/>
      <c r="J29" s="56"/>
      <c r="K29" s="23"/>
      <c r="L29" s="2"/>
      <c r="M29" s="2"/>
      <c r="N29" s="2"/>
    </row>
    <row r="30" spans="1:14" ht="15.75" customHeight="1" x14ac:dyDescent="0.4">
      <c r="A30" s="10"/>
      <c r="B30" s="2"/>
      <c r="C30" s="51"/>
      <c r="D30" s="44"/>
      <c r="E30" s="44"/>
      <c r="F30" s="45"/>
      <c r="G30" s="5"/>
      <c r="H30" s="56"/>
      <c r="I30" s="56"/>
      <c r="J30" s="56"/>
      <c r="K30" s="23"/>
      <c r="L30" s="2"/>
      <c r="M30" s="2"/>
      <c r="N30" s="2"/>
    </row>
    <row r="31" spans="1:14" ht="15.75" customHeight="1" x14ac:dyDescent="0.4">
      <c r="B31" s="2"/>
      <c r="C31" s="5"/>
      <c r="D31" s="5"/>
      <c r="E31" s="5"/>
      <c r="F31" s="5"/>
      <c r="G31" s="5"/>
      <c r="H31" s="56"/>
      <c r="I31" s="56"/>
      <c r="J31" s="56"/>
      <c r="K31" s="2"/>
      <c r="L31" s="2"/>
      <c r="M31" s="2"/>
      <c r="N31" s="2"/>
    </row>
    <row r="32" spans="1:14" ht="15.75" customHeight="1" x14ac:dyDescent="0.4">
      <c r="B32" s="2"/>
      <c r="C32" s="5"/>
      <c r="D32" s="5"/>
      <c r="E32" s="5"/>
      <c r="F32" s="5"/>
      <c r="G32" s="5"/>
      <c r="H32" s="56"/>
      <c r="I32" s="56"/>
      <c r="J32" s="56"/>
      <c r="K32" s="2"/>
    </row>
    <row r="33" spans="2:11" ht="21.75" customHeight="1" x14ac:dyDescent="0.4">
      <c r="B33" s="2"/>
      <c r="C33" s="5"/>
      <c r="D33" s="5"/>
      <c r="E33" s="5"/>
      <c r="F33" s="5"/>
      <c r="G33" s="5"/>
      <c r="H33" s="56"/>
      <c r="I33" s="56"/>
      <c r="J33" s="56"/>
      <c r="K33" s="2"/>
    </row>
    <row r="34" spans="2:11" ht="15.75" hidden="1" customHeight="1" x14ac:dyDescent="0.4">
      <c r="B34" s="2"/>
      <c r="C34" s="5"/>
      <c r="D34" s="5"/>
      <c r="E34" s="5"/>
      <c r="F34" s="5"/>
      <c r="G34" s="5"/>
      <c r="H34" s="56"/>
      <c r="I34" s="56"/>
      <c r="J34" s="56"/>
      <c r="K34" s="2"/>
    </row>
    <row r="35" spans="2:11" ht="15.75" hidden="1" customHeight="1" x14ac:dyDescent="0.4">
      <c r="B35" s="2"/>
      <c r="C35" s="5"/>
      <c r="D35" s="5"/>
      <c r="E35" s="5"/>
      <c r="F35" s="5"/>
      <c r="G35" s="5"/>
      <c r="H35" s="56"/>
      <c r="I35" s="56"/>
      <c r="J35" s="56"/>
      <c r="K35" s="2"/>
    </row>
    <row r="36" spans="2:11" ht="15.75" hidden="1" customHeight="1" x14ac:dyDescent="0.4">
      <c r="B36" s="2"/>
      <c r="C36" s="5"/>
      <c r="D36" s="5"/>
      <c r="E36" s="5"/>
      <c r="F36" s="5"/>
      <c r="G36" s="5"/>
      <c r="H36" s="56"/>
      <c r="I36" s="56"/>
      <c r="J36" s="56"/>
      <c r="K36" s="2"/>
    </row>
    <row r="37" spans="2:11" ht="15.75" hidden="1" customHeight="1" x14ac:dyDescent="0.4">
      <c r="B37" s="2"/>
      <c r="C37" s="36"/>
      <c r="D37" s="36"/>
      <c r="E37" s="36"/>
      <c r="F37" s="36"/>
      <c r="G37" s="5"/>
      <c r="H37" s="62" t="str">
        <f ca="1">IFERROR(_xludf.IMAGE(VLOOKUP(C26,Listado!A:E,5,FALSE)), "No hay imagen para este vehículo")</f>
        <v>No hay imagen para este vehículo</v>
      </c>
      <c r="I37" s="56"/>
      <c r="J37" s="56"/>
      <c r="K37" s="2"/>
    </row>
    <row r="38" spans="2:11" ht="15.75" hidden="1" customHeight="1" x14ac:dyDescent="0.4">
      <c r="B38" s="2"/>
      <c r="C38" s="36"/>
      <c r="D38" s="36"/>
      <c r="E38" s="36"/>
      <c r="F38" s="36"/>
      <c r="G38" s="5"/>
      <c r="H38" s="56"/>
      <c r="I38" s="56"/>
      <c r="J38" s="56"/>
      <c r="K38" s="2"/>
    </row>
    <row r="39" spans="2:11" ht="15.75" hidden="1" customHeight="1" x14ac:dyDescent="0.35">
      <c r="C39" s="36"/>
      <c r="D39" s="36"/>
      <c r="E39" s="36"/>
      <c r="F39" s="36"/>
      <c r="G39" s="36"/>
      <c r="H39" s="56"/>
      <c r="I39" s="56"/>
      <c r="J39" s="56"/>
    </row>
    <row r="40" spans="2:11" ht="15.75" hidden="1" customHeight="1" x14ac:dyDescent="0.35">
      <c r="C40" s="36"/>
      <c r="D40" s="36"/>
      <c r="E40" s="36"/>
      <c r="F40" s="36"/>
      <c r="G40" s="36"/>
      <c r="H40" s="56"/>
      <c r="I40" s="56"/>
      <c r="J40" s="56"/>
    </row>
    <row r="41" spans="2:11" ht="15.75" hidden="1" customHeight="1" x14ac:dyDescent="0.35">
      <c r="C41" s="36"/>
      <c r="D41" s="36"/>
      <c r="E41" s="36"/>
      <c r="F41" s="36"/>
      <c r="G41" s="36"/>
      <c r="H41" s="56"/>
      <c r="I41" s="56"/>
      <c r="J41" s="56"/>
    </row>
    <row r="42" spans="2:11" ht="15.75" hidden="1" customHeight="1" x14ac:dyDescent="0.35">
      <c r="C42" s="36"/>
      <c r="D42" s="36"/>
      <c r="E42" s="36"/>
      <c r="F42" s="36"/>
      <c r="G42" s="36"/>
      <c r="H42" s="56"/>
      <c r="I42" s="56"/>
      <c r="J42" s="56"/>
    </row>
    <row r="43" spans="2:11" ht="15.75" hidden="1" customHeight="1" x14ac:dyDescent="0.35">
      <c r="C43" s="36"/>
      <c r="D43" s="36"/>
      <c r="E43" s="36"/>
      <c r="F43" s="36"/>
      <c r="G43" s="36"/>
      <c r="H43" s="56"/>
      <c r="I43" s="56"/>
      <c r="J43" s="56"/>
    </row>
    <row r="44" spans="2:11" ht="15.75" hidden="1" customHeight="1" x14ac:dyDescent="0.35">
      <c r="C44" s="36"/>
      <c r="D44" s="36"/>
      <c r="E44" s="36"/>
      <c r="F44" s="36"/>
      <c r="G44" s="36"/>
      <c r="H44" s="56"/>
      <c r="I44" s="56"/>
      <c r="J44" s="56"/>
    </row>
    <row r="45" spans="2:11" ht="15.75" hidden="1" customHeight="1" x14ac:dyDescent="0.35">
      <c r="C45" s="36"/>
      <c r="D45" s="36"/>
      <c r="E45" s="36"/>
      <c r="F45" s="36"/>
      <c r="G45" s="36"/>
      <c r="H45" s="56"/>
      <c r="I45" s="56"/>
      <c r="J45" s="56"/>
    </row>
    <row r="46" spans="2:11" ht="15.75" hidden="1" customHeight="1" x14ac:dyDescent="0.35">
      <c r="C46" s="36"/>
      <c r="D46" s="36"/>
      <c r="E46" s="36"/>
      <c r="F46" s="36"/>
      <c r="G46" s="36"/>
      <c r="H46" s="56"/>
      <c r="I46" s="56"/>
      <c r="J46" s="56"/>
    </row>
    <row r="47" spans="2:11" ht="15.75" hidden="1" customHeight="1" x14ac:dyDescent="0.35">
      <c r="C47" s="36"/>
      <c r="D47" s="36"/>
      <c r="E47" s="36"/>
      <c r="F47" s="36"/>
      <c r="G47" s="36"/>
      <c r="H47" s="56"/>
      <c r="I47" s="56"/>
      <c r="J47" s="56"/>
    </row>
    <row r="48" spans="2:11" ht="15.75" hidden="1" customHeight="1" x14ac:dyDescent="0.35">
      <c r="C48" s="36"/>
      <c r="D48" s="36"/>
      <c r="E48" s="36"/>
      <c r="F48" s="36"/>
      <c r="G48" s="36"/>
      <c r="H48" s="56"/>
      <c r="I48" s="56"/>
      <c r="J48" s="56"/>
    </row>
    <row r="49" spans="3:10" ht="15.75" hidden="1" customHeight="1" x14ac:dyDescent="0.35">
      <c r="C49" s="36"/>
      <c r="D49" s="36"/>
      <c r="E49" s="36"/>
      <c r="F49" s="36"/>
      <c r="G49" s="36"/>
      <c r="H49" s="56"/>
      <c r="I49" s="56"/>
      <c r="J49" s="56"/>
    </row>
    <row r="50" spans="3:10" ht="15.75" hidden="1" customHeight="1" x14ac:dyDescent="0.35">
      <c r="C50" s="36"/>
      <c r="D50" s="36"/>
      <c r="E50" s="36"/>
      <c r="F50" s="36"/>
      <c r="G50" s="36"/>
      <c r="H50" s="56"/>
      <c r="I50" s="56"/>
      <c r="J50" s="56"/>
    </row>
    <row r="51" spans="3:10" ht="15.75" hidden="1" customHeight="1" x14ac:dyDescent="0.35">
      <c r="C51" s="36"/>
      <c r="D51" s="36"/>
      <c r="E51" s="36"/>
      <c r="F51" s="36"/>
      <c r="G51" s="36"/>
      <c r="H51" s="56"/>
      <c r="I51" s="56"/>
      <c r="J51" s="56"/>
    </row>
    <row r="52" spans="3:10" ht="15.75" hidden="1" customHeight="1" x14ac:dyDescent="0.35">
      <c r="C52" s="36"/>
      <c r="D52" s="36"/>
      <c r="E52" s="36"/>
      <c r="F52" s="36"/>
      <c r="G52" s="36"/>
      <c r="H52" s="62" t="str">
        <f ca="1">IFERROR(_xludf.IMAGE(VLOOKUP(C39,Listado!A:E,5,FALSE)), "No hay imagen para este vehículo")</f>
        <v>No hay imagen para este vehículo</v>
      </c>
      <c r="I52" s="56"/>
      <c r="J52" s="56"/>
    </row>
    <row r="53" spans="3:10" ht="15.75" hidden="1" customHeight="1" x14ac:dyDescent="0.35">
      <c r="C53" s="36"/>
      <c r="D53" s="36"/>
      <c r="E53" s="36"/>
      <c r="F53" s="36"/>
      <c r="G53" s="36"/>
      <c r="H53" s="56"/>
      <c r="I53" s="56"/>
      <c r="J53" s="56"/>
    </row>
    <row r="54" spans="3:10" ht="15.75" hidden="1" customHeight="1" x14ac:dyDescent="0.35">
      <c r="C54" s="36"/>
      <c r="D54" s="36"/>
      <c r="E54" s="36"/>
      <c r="F54" s="36"/>
      <c r="G54" s="36"/>
      <c r="H54" s="56"/>
      <c r="I54" s="56"/>
      <c r="J54" s="56"/>
    </row>
    <row r="55" spans="3:10" ht="15.75" hidden="1" customHeight="1" x14ac:dyDescent="0.35">
      <c r="C55" s="36"/>
      <c r="D55" s="36"/>
      <c r="E55" s="36"/>
      <c r="F55" s="36"/>
      <c r="G55" s="36"/>
      <c r="H55" s="56"/>
      <c r="I55" s="56"/>
      <c r="J55" s="56"/>
    </row>
    <row r="56" spans="3:10" ht="15.75" hidden="1" customHeight="1" x14ac:dyDescent="0.35">
      <c r="C56" s="36"/>
      <c r="D56" s="36"/>
      <c r="E56" s="36"/>
      <c r="F56" s="36"/>
      <c r="G56" s="36"/>
      <c r="H56" s="56"/>
      <c r="I56" s="56"/>
      <c r="J56" s="56"/>
    </row>
    <row r="57" spans="3:10" ht="15.75" hidden="1" customHeight="1" x14ac:dyDescent="0.35">
      <c r="C57" s="36"/>
      <c r="D57" s="36"/>
      <c r="E57" s="36"/>
      <c r="F57" s="36"/>
      <c r="G57" s="36"/>
      <c r="H57" s="56"/>
      <c r="I57" s="56"/>
      <c r="J57" s="56"/>
    </row>
    <row r="58" spans="3:10" ht="15.75" hidden="1" customHeight="1" x14ac:dyDescent="0.35">
      <c r="C58" s="36"/>
      <c r="D58" s="36"/>
      <c r="E58" s="36"/>
      <c r="F58" s="36"/>
      <c r="G58" s="36"/>
      <c r="H58" s="56"/>
      <c r="I58" s="56"/>
      <c r="J58" s="56"/>
    </row>
    <row r="59" spans="3:10" ht="15.75" hidden="1" customHeight="1" x14ac:dyDescent="0.35">
      <c r="C59" s="36"/>
      <c r="D59" s="36"/>
      <c r="E59" s="36"/>
      <c r="F59" s="36"/>
      <c r="G59" s="36"/>
      <c r="H59" s="56"/>
      <c r="I59" s="56"/>
      <c r="J59" s="56"/>
    </row>
    <row r="60" spans="3:10" ht="15.75" hidden="1" customHeight="1" x14ac:dyDescent="0.35">
      <c r="C60" s="36"/>
      <c r="D60" s="36"/>
      <c r="E60" s="36"/>
      <c r="F60" s="36"/>
      <c r="G60" s="36"/>
      <c r="H60" s="56"/>
      <c r="I60" s="56"/>
      <c r="J60" s="56"/>
    </row>
    <row r="61" spans="3:10" ht="15.75" hidden="1" customHeight="1" x14ac:dyDescent="0.35">
      <c r="C61" s="36"/>
      <c r="D61" s="36"/>
      <c r="E61" s="36"/>
      <c r="F61" s="36"/>
      <c r="G61" s="36"/>
      <c r="H61" s="56"/>
      <c r="I61" s="56"/>
      <c r="J61" s="56"/>
    </row>
    <row r="62" spans="3:10" ht="15.75" hidden="1" customHeight="1" x14ac:dyDescent="0.35">
      <c r="C62" s="36"/>
      <c r="D62" s="36"/>
      <c r="E62" s="36"/>
      <c r="F62" s="36"/>
      <c r="G62" s="36"/>
      <c r="H62" s="56"/>
      <c r="I62" s="56"/>
      <c r="J62" s="56"/>
    </row>
    <row r="63" spans="3:10" ht="15.75" hidden="1" customHeight="1" x14ac:dyDescent="0.35">
      <c r="C63" s="36"/>
      <c r="D63" s="36"/>
      <c r="E63" s="36"/>
      <c r="F63" s="36"/>
      <c r="G63" s="36"/>
      <c r="H63" s="56"/>
      <c r="I63" s="56"/>
      <c r="J63" s="56"/>
    </row>
    <row r="64" spans="3:10" ht="15.75" hidden="1" customHeight="1" x14ac:dyDescent="0.35">
      <c r="C64" s="36"/>
      <c r="D64" s="36"/>
      <c r="E64" s="36"/>
      <c r="F64" s="36"/>
      <c r="G64" s="36"/>
      <c r="H64" s="56"/>
      <c r="I64" s="56"/>
      <c r="J64" s="56"/>
    </row>
    <row r="65" spans="3:10" ht="15.75" hidden="1" customHeight="1" x14ac:dyDescent="0.35">
      <c r="C65" s="36"/>
      <c r="D65" s="36"/>
      <c r="E65" s="36"/>
      <c r="F65" s="36"/>
      <c r="G65" s="36"/>
      <c r="H65" s="56"/>
      <c r="I65" s="56"/>
      <c r="J65" s="56"/>
    </row>
    <row r="66" spans="3:10" ht="15.75" hidden="1" customHeight="1" x14ac:dyDescent="0.35">
      <c r="C66" s="36"/>
      <c r="D66" s="36"/>
      <c r="E66" s="36"/>
      <c r="F66" s="36"/>
      <c r="G66" s="36"/>
      <c r="H66" s="56"/>
      <c r="I66" s="56"/>
      <c r="J66" s="56"/>
    </row>
    <row r="67" spans="3:10" ht="15.75" hidden="1" customHeight="1" x14ac:dyDescent="0.35">
      <c r="C67" s="36"/>
      <c r="D67" s="36"/>
      <c r="E67" s="36"/>
      <c r="F67" s="36"/>
      <c r="G67" s="36"/>
      <c r="H67" s="62" t="str">
        <f ca="1">IFERROR(_xludf.IMAGE(VLOOKUP(C54,Listado!A:E,5,FALSE)), "No hay imagen para este vehículo")</f>
        <v>No hay imagen para este vehículo</v>
      </c>
      <c r="I67" s="56"/>
      <c r="J67" s="56"/>
    </row>
    <row r="68" spans="3:10" ht="15.75" hidden="1" customHeight="1" x14ac:dyDescent="0.35">
      <c r="C68" s="36"/>
      <c r="D68" s="36"/>
      <c r="E68" s="36"/>
      <c r="F68" s="36"/>
      <c r="G68" s="36"/>
      <c r="H68" s="56"/>
      <c r="I68" s="56"/>
      <c r="J68" s="56"/>
    </row>
    <row r="69" spans="3:10" ht="15.75" hidden="1" customHeight="1" x14ac:dyDescent="0.35">
      <c r="C69" s="36"/>
      <c r="D69" s="36"/>
      <c r="E69" s="36"/>
      <c r="F69" s="36"/>
      <c r="G69" s="36"/>
      <c r="H69" s="56"/>
      <c r="I69" s="56"/>
      <c r="J69" s="56"/>
    </row>
    <row r="70" spans="3:10" ht="15.75" hidden="1" customHeight="1" x14ac:dyDescent="0.35">
      <c r="C70" s="36"/>
      <c r="D70" s="36"/>
      <c r="E70" s="36"/>
      <c r="F70" s="36"/>
      <c r="G70" s="36"/>
      <c r="H70" s="56"/>
      <c r="I70" s="56"/>
      <c r="J70" s="56"/>
    </row>
    <row r="71" spans="3:10" ht="15.75" hidden="1" customHeight="1" x14ac:dyDescent="0.35">
      <c r="C71" s="36"/>
      <c r="D71" s="36"/>
      <c r="E71" s="36"/>
      <c r="F71" s="36"/>
      <c r="G71" s="36"/>
      <c r="H71" s="56"/>
      <c r="I71" s="56"/>
      <c r="J71" s="56"/>
    </row>
    <row r="72" spans="3:10" ht="15.75" hidden="1" customHeight="1" x14ac:dyDescent="0.35">
      <c r="C72" s="36"/>
      <c r="D72" s="36"/>
      <c r="E72" s="36"/>
      <c r="F72" s="36"/>
      <c r="G72" s="36"/>
      <c r="H72" s="56"/>
      <c r="I72" s="56"/>
      <c r="J72" s="56"/>
    </row>
    <row r="73" spans="3:10" ht="15.75" hidden="1" customHeight="1" x14ac:dyDescent="0.35">
      <c r="C73" s="36"/>
      <c r="D73" s="36"/>
      <c r="E73" s="36"/>
      <c r="F73" s="36"/>
      <c r="G73" s="36"/>
      <c r="H73" s="56"/>
      <c r="I73" s="56"/>
      <c r="J73" s="56"/>
    </row>
    <row r="74" spans="3:10" ht="15.75" hidden="1" customHeight="1" x14ac:dyDescent="0.35">
      <c r="C74" s="36"/>
      <c r="D74" s="36"/>
      <c r="E74" s="36"/>
      <c r="F74" s="36"/>
      <c r="G74" s="36"/>
      <c r="H74" s="56"/>
      <c r="I74" s="56"/>
      <c r="J74" s="56"/>
    </row>
    <row r="75" spans="3:10" ht="15.75" hidden="1" customHeight="1" x14ac:dyDescent="0.35">
      <c r="C75" s="36"/>
      <c r="D75" s="36"/>
      <c r="E75" s="36"/>
      <c r="F75" s="36"/>
      <c r="G75" s="36"/>
      <c r="H75" s="56"/>
      <c r="I75" s="56"/>
      <c r="J75" s="56"/>
    </row>
    <row r="76" spans="3:10" ht="15.75" hidden="1" customHeight="1" x14ac:dyDescent="0.35">
      <c r="C76" s="36"/>
      <c r="D76" s="36"/>
      <c r="E76" s="36"/>
      <c r="F76" s="36"/>
      <c r="G76" s="36"/>
      <c r="H76" s="56"/>
      <c r="I76" s="56"/>
      <c r="J76" s="56"/>
    </row>
    <row r="77" spans="3:10" ht="15.75" hidden="1" customHeight="1" x14ac:dyDescent="0.35">
      <c r="C77" s="36"/>
      <c r="D77" s="36"/>
      <c r="E77" s="36"/>
      <c r="F77" s="36"/>
      <c r="G77" s="36"/>
      <c r="H77" s="56"/>
      <c r="I77" s="56"/>
      <c r="J77" s="56"/>
    </row>
    <row r="78" spans="3:10" ht="15.75" hidden="1" customHeight="1" x14ac:dyDescent="0.35">
      <c r="C78" s="36"/>
      <c r="D78" s="36"/>
      <c r="E78" s="36"/>
      <c r="F78" s="36"/>
      <c r="G78" s="36"/>
      <c r="H78" s="56"/>
      <c r="I78" s="56"/>
      <c r="J78" s="56"/>
    </row>
    <row r="79" spans="3:10" ht="15.75" hidden="1" customHeight="1" x14ac:dyDescent="0.35">
      <c r="C79" s="36"/>
      <c r="D79" s="36"/>
      <c r="E79" s="36"/>
      <c r="F79" s="36"/>
      <c r="G79" s="36"/>
      <c r="H79" s="56"/>
      <c r="I79" s="56"/>
      <c r="J79" s="56"/>
    </row>
    <row r="80" spans="3:10" ht="15.75" hidden="1" customHeight="1" x14ac:dyDescent="0.35">
      <c r="C80" s="36"/>
      <c r="D80" s="36"/>
      <c r="E80" s="36"/>
      <c r="F80" s="36"/>
      <c r="G80" s="36"/>
      <c r="H80" s="56"/>
      <c r="I80" s="56"/>
      <c r="J80" s="56"/>
    </row>
    <row r="81" spans="3:10" ht="15.75" hidden="1" customHeight="1" x14ac:dyDescent="0.35">
      <c r="C81" s="36"/>
      <c r="D81" s="36"/>
      <c r="E81" s="36"/>
      <c r="F81" s="36"/>
      <c r="G81" s="36"/>
      <c r="H81" s="56"/>
      <c r="I81" s="56"/>
      <c r="J81" s="56"/>
    </row>
    <row r="82" spans="3:10" ht="15.75" hidden="1" customHeight="1" x14ac:dyDescent="0.35">
      <c r="C82" s="36"/>
      <c r="D82" s="36"/>
      <c r="E82" s="36"/>
      <c r="F82" s="36"/>
      <c r="G82" s="36"/>
      <c r="H82" s="62" t="str">
        <f ca="1">IFERROR(_xludf.IMAGE(VLOOKUP(C69,Listado!A:E,5,FALSE)), "No hay imagen para este vehículo")</f>
        <v>No hay imagen para este vehículo</v>
      </c>
      <c r="I82" s="56"/>
      <c r="J82" s="56"/>
    </row>
    <row r="83" spans="3:10" ht="15.75" hidden="1" customHeight="1" x14ac:dyDescent="0.35">
      <c r="C83" s="36"/>
      <c r="D83" s="36"/>
      <c r="E83" s="36"/>
      <c r="F83" s="36"/>
      <c r="G83" s="36"/>
      <c r="H83" s="56"/>
      <c r="I83" s="56"/>
      <c r="J83" s="56"/>
    </row>
    <row r="84" spans="3:10" ht="15.75" hidden="1" customHeight="1" x14ac:dyDescent="0.35">
      <c r="C84" s="36"/>
      <c r="D84" s="36"/>
      <c r="E84" s="36"/>
      <c r="F84" s="36"/>
      <c r="G84" s="36"/>
      <c r="H84" s="56"/>
      <c r="I84" s="56"/>
      <c r="J84" s="56"/>
    </row>
    <row r="85" spans="3:10" ht="15.75" hidden="1" customHeight="1" x14ac:dyDescent="0.35">
      <c r="C85" s="36"/>
      <c r="D85" s="36"/>
      <c r="E85" s="36"/>
      <c r="F85" s="36"/>
      <c r="G85" s="36"/>
      <c r="H85" s="56"/>
      <c r="I85" s="56"/>
      <c r="J85" s="56"/>
    </row>
    <row r="86" spans="3:10" ht="15.75" hidden="1" customHeight="1" x14ac:dyDescent="0.35">
      <c r="C86" s="36"/>
      <c r="D86" s="36"/>
      <c r="E86" s="36"/>
      <c r="F86" s="36"/>
      <c r="G86" s="36"/>
      <c r="H86" s="56"/>
      <c r="I86" s="56"/>
      <c r="J86" s="56"/>
    </row>
    <row r="87" spans="3:10" ht="15.75" hidden="1" customHeight="1" x14ac:dyDescent="0.35">
      <c r="C87" s="36"/>
      <c r="D87" s="36"/>
      <c r="E87" s="36"/>
      <c r="F87" s="36"/>
      <c r="G87" s="36"/>
      <c r="H87" s="56"/>
      <c r="I87" s="56"/>
      <c r="J87" s="56"/>
    </row>
    <row r="88" spans="3:10" ht="15.75" hidden="1" customHeight="1" x14ac:dyDescent="0.35">
      <c r="C88" s="36"/>
      <c r="D88" s="36"/>
      <c r="E88" s="36"/>
      <c r="F88" s="36"/>
      <c r="G88" s="36"/>
      <c r="H88" s="56"/>
      <c r="I88" s="56"/>
      <c r="J88" s="56"/>
    </row>
    <row r="89" spans="3:10" ht="15.75" hidden="1" customHeight="1" x14ac:dyDescent="0.35">
      <c r="C89" s="36"/>
      <c r="D89" s="36"/>
      <c r="E89" s="36"/>
      <c r="F89" s="36"/>
      <c r="G89" s="36"/>
      <c r="H89" s="56"/>
      <c r="I89" s="56"/>
      <c r="J89" s="56"/>
    </row>
    <row r="90" spans="3:10" ht="15.75" hidden="1" customHeight="1" x14ac:dyDescent="0.35">
      <c r="C90" s="36"/>
      <c r="D90" s="36"/>
      <c r="E90" s="36"/>
      <c r="F90" s="36"/>
      <c r="G90" s="36"/>
      <c r="H90" s="56"/>
      <c r="I90" s="56"/>
      <c r="J90" s="56"/>
    </row>
    <row r="91" spans="3:10" ht="15.75" hidden="1" customHeight="1" x14ac:dyDescent="0.35">
      <c r="C91" s="36"/>
      <c r="D91" s="36"/>
      <c r="E91" s="36"/>
      <c r="F91" s="36"/>
      <c r="G91" s="36"/>
      <c r="H91" s="56"/>
      <c r="I91" s="56"/>
      <c r="J91" s="56"/>
    </row>
    <row r="92" spans="3:10" ht="15.75" hidden="1" customHeight="1" x14ac:dyDescent="0.35">
      <c r="C92" s="36"/>
      <c r="D92" s="36"/>
      <c r="E92" s="36"/>
      <c r="F92" s="36"/>
      <c r="G92" s="36"/>
      <c r="H92" s="56"/>
      <c r="I92" s="56"/>
      <c r="J92" s="56"/>
    </row>
    <row r="93" spans="3:10" ht="15.75" hidden="1" customHeight="1" x14ac:dyDescent="0.35">
      <c r="C93" s="36"/>
      <c r="D93" s="36"/>
      <c r="E93" s="36"/>
      <c r="F93" s="36"/>
      <c r="G93" s="36"/>
      <c r="H93" s="56"/>
      <c r="I93" s="56"/>
      <c r="J93" s="56"/>
    </row>
    <row r="94" spans="3:10" ht="15.75" hidden="1" customHeight="1" x14ac:dyDescent="0.35">
      <c r="C94" s="36"/>
      <c r="D94" s="36"/>
      <c r="E94" s="36"/>
      <c r="F94" s="36"/>
      <c r="G94" s="36"/>
      <c r="H94" s="56"/>
      <c r="I94" s="56"/>
      <c r="J94" s="56"/>
    </row>
    <row r="95" spans="3:10" ht="15.75" hidden="1" customHeight="1" x14ac:dyDescent="0.35">
      <c r="C95" s="36"/>
      <c r="D95" s="36"/>
      <c r="E95" s="36"/>
      <c r="F95" s="36"/>
      <c r="G95" s="36"/>
      <c r="H95" s="56"/>
      <c r="I95" s="56"/>
      <c r="J95" s="56"/>
    </row>
    <row r="96" spans="3:10" ht="15.75" hidden="1" customHeight="1" x14ac:dyDescent="0.35">
      <c r="C96" s="36"/>
      <c r="D96" s="36"/>
      <c r="E96" s="36"/>
      <c r="F96" s="36"/>
      <c r="G96" s="36"/>
      <c r="H96" s="56"/>
      <c r="I96" s="56"/>
      <c r="J96" s="56"/>
    </row>
    <row r="97" spans="3:10" ht="15.75" hidden="1" customHeight="1" x14ac:dyDescent="0.35">
      <c r="C97" s="36"/>
      <c r="D97" s="36"/>
      <c r="E97" s="36"/>
      <c r="F97" s="36"/>
      <c r="G97" s="36"/>
      <c r="H97" s="62" t="str">
        <f ca="1">IFERROR(_xludf.IMAGE(VLOOKUP(C84,Listado!A:E,5,FALSE)), "No hay imagen para este vehículo")</f>
        <v>No hay imagen para este vehículo</v>
      </c>
      <c r="I97" s="56"/>
      <c r="J97" s="56"/>
    </row>
    <row r="98" spans="3:10" ht="15.75" hidden="1" customHeight="1" x14ac:dyDescent="0.35">
      <c r="C98" s="36"/>
      <c r="D98" s="36"/>
      <c r="E98" s="36"/>
      <c r="F98" s="36"/>
      <c r="G98" s="36"/>
      <c r="H98" s="56"/>
      <c r="I98" s="56"/>
      <c r="J98" s="56"/>
    </row>
    <row r="99" spans="3:10" ht="15.75" hidden="1" customHeight="1" x14ac:dyDescent="0.35">
      <c r="C99" s="36"/>
      <c r="D99" s="36"/>
      <c r="E99" s="36"/>
      <c r="F99" s="36"/>
      <c r="G99" s="36"/>
      <c r="H99" s="56"/>
      <c r="I99" s="56"/>
      <c r="J99" s="56"/>
    </row>
    <row r="100" spans="3:10" ht="15.75" hidden="1" customHeight="1" x14ac:dyDescent="0.35">
      <c r="C100" s="36"/>
      <c r="D100" s="36"/>
      <c r="E100" s="36"/>
      <c r="F100" s="36"/>
      <c r="G100" s="36"/>
      <c r="H100" s="56"/>
      <c r="I100" s="56"/>
      <c r="J100" s="56"/>
    </row>
    <row r="101" spans="3:10" ht="15.75" hidden="1" customHeight="1" x14ac:dyDescent="0.35">
      <c r="C101" s="36"/>
      <c r="D101" s="36"/>
      <c r="E101" s="36"/>
      <c r="F101" s="36"/>
      <c r="G101" s="36"/>
      <c r="H101" s="56"/>
      <c r="I101" s="56"/>
      <c r="J101" s="56"/>
    </row>
    <row r="102" spans="3:10" ht="15.75" hidden="1" customHeight="1" x14ac:dyDescent="0.35">
      <c r="C102" s="36"/>
      <c r="D102" s="36"/>
      <c r="E102" s="36"/>
      <c r="F102" s="36"/>
      <c r="G102" s="36"/>
      <c r="H102" s="56"/>
      <c r="I102" s="56"/>
      <c r="J102" s="56"/>
    </row>
    <row r="103" spans="3:10" ht="15.75" hidden="1" customHeight="1" x14ac:dyDescent="0.35">
      <c r="C103" s="36"/>
      <c r="D103" s="36"/>
      <c r="E103" s="36"/>
      <c r="F103" s="36"/>
      <c r="G103" s="36"/>
      <c r="H103" s="56"/>
      <c r="I103" s="56"/>
      <c r="J103" s="56"/>
    </row>
    <row r="104" spans="3:10" ht="15.75" hidden="1" customHeight="1" x14ac:dyDescent="0.35">
      <c r="C104" s="36"/>
      <c r="D104" s="36"/>
      <c r="E104" s="36"/>
      <c r="F104" s="36"/>
      <c r="G104" s="36"/>
      <c r="H104" s="56"/>
      <c r="I104" s="56"/>
      <c r="J104" s="56"/>
    </row>
    <row r="105" spans="3:10" ht="15.75" hidden="1" customHeight="1" x14ac:dyDescent="0.35">
      <c r="C105" s="36"/>
      <c r="D105" s="36"/>
      <c r="E105" s="36"/>
      <c r="F105" s="36"/>
      <c r="G105" s="36"/>
      <c r="H105" s="56"/>
      <c r="I105" s="56"/>
      <c r="J105" s="56"/>
    </row>
    <row r="106" spans="3:10" ht="15.75" hidden="1" customHeight="1" x14ac:dyDescent="0.35">
      <c r="C106" s="36"/>
      <c r="D106" s="36"/>
      <c r="E106" s="36"/>
      <c r="F106" s="36"/>
      <c r="G106" s="36"/>
      <c r="H106" s="56"/>
      <c r="I106" s="56"/>
      <c r="J106" s="56"/>
    </row>
    <row r="107" spans="3:10" ht="15.75" hidden="1" customHeight="1" x14ac:dyDescent="0.35">
      <c r="C107" s="36"/>
      <c r="D107" s="36"/>
      <c r="E107" s="36"/>
      <c r="F107" s="36"/>
      <c r="G107" s="36"/>
      <c r="H107" s="56"/>
      <c r="I107" s="56"/>
      <c r="J107" s="56"/>
    </row>
    <row r="108" spans="3:10" ht="15.75" hidden="1" customHeight="1" x14ac:dyDescent="0.35">
      <c r="C108" s="36"/>
      <c r="D108" s="36"/>
      <c r="E108" s="36"/>
      <c r="F108" s="36"/>
      <c r="G108" s="36"/>
      <c r="H108" s="56"/>
      <c r="I108" s="56"/>
      <c r="J108" s="56"/>
    </row>
    <row r="109" spans="3:10" ht="15.75" hidden="1" customHeight="1" x14ac:dyDescent="0.35">
      <c r="C109" s="36"/>
      <c r="D109" s="36"/>
      <c r="E109" s="36"/>
      <c r="F109" s="36"/>
      <c r="G109" s="36"/>
      <c r="H109" s="56"/>
      <c r="I109" s="56"/>
      <c r="J109" s="56"/>
    </row>
    <row r="110" spans="3:10" ht="15.75" hidden="1" customHeight="1" x14ac:dyDescent="0.35">
      <c r="C110" s="36"/>
      <c r="D110" s="36"/>
      <c r="E110" s="36"/>
      <c r="F110" s="36"/>
      <c r="G110" s="36"/>
      <c r="H110" s="56"/>
      <c r="I110" s="56"/>
      <c r="J110" s="56"/>
    </row>
    <row r="111" spans="3:10" ht="15.75" hidden="1" customHeight="1" x14ac:dyDescent="0.35">
      <c r="C111" s="36"/>
      <c r="D111" s="36"/>
      <c r="E111" s="36"/>
      <c r="F111" s="36"/>
      <c r="G111" s="36"/>
      <c r="H111" s="56"/>
      <c r="I111" s="56"/>
      <c r="J111" s="56"/>
    </row>
    <row r="112" spans="3:10" ht="15.75" hidden="1" customHeight="1" x14ac:dyDescent="0.35">
      <c r="C112" s="36"/>
      <c r="D112" s="36"/>
      <c r="E112" s="36"/>
      <c r="F112" s="36"/>
      <c r="G112" s="36"/>
      <c r="H112" s="62" t="str">
        <f ca="1">IFERROR(_xludf.IMAGE(VLOOKUP(C99,Listado!A:E,5,FALSE)), "No hay imagen para este vehículo")</f>
        <v>No hay imagen para este vehículo</v>
      </c>
      <c r="I112" s="56"/>
      <c r="J112" s="56"/>
    </row>
    <row r="113" spans="3:10" ht="15.75" hidden="1" customHeight="1" x14ac:dyDescent="0.35">
      <c r="C113" s="36"/>
      <c r="D113" s="36"/>
      <c r="E113" s="36"/>
      <c r="F113" s="36"/>
      <c r="G113" s="36"/>
      <c r="H113" s="56"/>
      <c r="I113" s="56"/>
      <c r="J113" s="56"/>
    </row>
    <row r="114" spans="3:10" ht="15.75" hidden="1" customHeight="1" x14ac:dyDescent="0.35">
      <c r="C114" s="36"/>
      <c r="D114" s="36"/>
      <c r="E114" s="36"/>
      <c r="F114" s="36"/>
      <c r="G114" s="36"/>
      <c r="H114" s="56"/>
      <c r="I114" s="56"/>
      <c r="J114" s="56"/>
    </row>
    <row r="115" spans="3:10" ht="15.75" hidden="1" customHeight="1" x14ac:dyDescent="0.35">
      <c r="C115" s="36"/>
      <c r="D115" s="36"/>
      <c r="E115" s="36"/>
      <c r="F115" s="36"/>
      <c r="G115" s="36"/>
      <c r="H115" s="56"/>
      <c r="I115" s="56"/>
      <c r="J115" s="56"/>
    </row>
    <row r="116" spans="3:10" ht="15.75" hidden="1" customHeight="1" x14ac:dyDescent="0.35">
      <c r="C116" s="36"/>
      <c r="D116" s="36"/>
      <c r="E116" s="36"/>
      <c r="F116" s="36"/>
      <c r="G116" s="36"/>
      <c r="H116" s="56"/>
      <c r="I116" s="56"/>
      <c r="J116" s="56"/>
    </row>
    <row r="117" spans="3:10" ht="15.75" hidden="1" customHeight="1" x14ac:dyDescent="0.35">
      <c r="C117" s="36"/>
      <c r="D117" s="36"/>
      <c r="E117" s="36"/>
      <c r="F117" s="36"/>
      <c r="G117" s="36"/>
      <c r="H117" s="56"/>
      <c r="I117" s="56"/>
      <c r="J117" s="56"/>
    </row>
    <row r="118" spans="3:10" ht="15.75" hidden="1" customHeight="1" x14ac:dyDescent="0.35">
      <c r="C118" s="36"/>
      <c r="D118" s="36"/>
      <c r="E118" s="36"/>
      <c r="F118" s="36"/>
      <c r="G118" s="36"/>
      <c r="H118" s="56"/>
      <c r="I118" s="56"/>
      <c r="J118" s="56"/>
    </row>
    <row r="119" spans="3:10" ht="15.75" hidden="1" customHeight="1" x14ac:dyDescent="0.35">
      <c r="C119" s="36"/>
      <c r="D119" s="36"/>
      <c r="E119" s="36"/>
      <c r="F119" s="36"/>
      <c r="G119" s="36"/>
      <c r="H119" s="56"/>
      <c r="I119" s="56"/>
      <c r="J119" s="56"/>
    </row>
    <row r="120" spans="3:10" ht="15.75" hidden="1" customHeight="1" x14ac:dyDescent="0.35">
      <c r="C120" s="36"/>
      <c r="D120" s="36"/>
      <c r="E120" s="36"/>
      <c r="F120" s="36"/>
      <c r="G120" s="36"/>
      <c r="H120" s="56"/>
      <c r="I120" s="56"/>
      <c r="J120" s="56"/>
    </row>
    <row r="121" spans="3:10" ht="15.75" hidden="1" customHeight="1" x14ac:dyDescent="0.35">
      <c r="C121" s="36"/>
      <c r="D121" s="36"/>
      <c r="E121" s="36"/>
      <c r="F121" s="36"/>
      <c r="G121" s="36"/>
      <c r="H121" s="56"/>
      <c r="I121" s="56"/>
      <c r="J121" s="56"/>
    </row>
    <row r="122" spans="3:10" ht="15.75" hidden="1" customHeight="1" x14ac:dyDescent="0.35">
      <c r="C122" s="36"/>
      <c r="D122" s="36"/>
      <c r="E122" s="36"/>
      <c r="F122" s="36"/>
      <c r="G122" s="36"/>
      <c r="H122" s="56"/>
      <c r="I122" s="56"/>
      <c r="J122" s="56"/>
    </row>
    <row r="123" spans="3:10" ht="15.75" hidden="1" customHeight="1" x14ac:dyDescent="0.35">
      <c r="C123" s="36"/>
      <c r="D123" s="36"/>
      <c r="E123" s="36"/>
      <c r="F123" s="36"/>
      <c r="G123" s="36"/>
      <c r="H123" s="56"/>
      <c r="I123" s="56"/>
      <c r="J123" s="56"/>
    </row>
    <row r="124" spans="3:10" ht="15.75" hidden="1" customHeight="1" x14ac:dyDescent="0.35">
      <c r="C124" s="36"/>
      <c r="D124" s="36"/>
      <c r="E124" s="36"/>
      <c r="F124" s="36"/>
      <c r="G124" s="36"/>
      <c r="H124" s="56"/>
      <c r="I124" s="56"/>
      <c r="J124" s="56"/>
    </row>
    <row r="125" spans="3:10" ht="15.75" hidden="1" customHeight="1" x14ac:dyDescent="0.35">
      <c r="C125" s="36"/>
      <c r="D125" s="36"/>
      <c r="E125" s="36"/>
      <c r="F125" s="36"/>
      <c r="G125" s="36"/>
      <c r="H125" s="56"/>
      <c r="I125" s="56"/>
      <c r="J125" s="56"/>
    </row>
    <row r="126" spans="3:10" ht="15.75" hidden="1" customHeight="1" x14ac:dyDescent="0.35">
      <c r="C126" s="36"/>
      <c r="D126" s="36"/>
      <c r="E126" s="36"/>
      <c r="F126" s="36"/>
      <c r="G126" s="36"/>
      <c r="H126" s="56"/>
      <c r="I126" s="56"/>
      <c r="J126" s="56"/>
    </row>
    <row r="127" spans="3:10" ht="15.75" hidden="1" customHeight="1" x14ac:dyDescent="0.35">
      <c r="C127" s="36"/>
      <c r="D127" s="36"/>
      <c r="E127" s="36"/>
      <c r="F127" s="36"/>
      <c r="G127" s="36"/>
      <c r="H127" s="62" t="str">
        <f ca="1">IFERROR(_xludf.IMAGE(VLOOKUP(C114,Listado!A:E,5,FALSE)), "No hay imagen para este vehículo")</f>
        <v>No hay imagen para este vehículo</v>
      </c>
      <c r="I127" s="56"/>
      <c r="J127" s="56"/>
    </row>
    <row r="128" spans="3:10" ht="15.75" hidden="1" customHeight="1" x14ac:dyDescent="0.35">
      <c r="C128" s="36"/>
      <c r="D128" s="36"/>
      <c r="E128" s="36"/>
      <c r="F128" s="36"/>
      <c r="G128" s="36"/>
      <c r="H128" s="56"/>
      <c r="I128" s="56"/>
      <c r="J128" s="56"/>
    </row>
    <row r="129" spans="3:10" ht="15.75" hidden="1" customHeight="1" x14ac:dyDescent="0.35">
      <c r="C129" s="36"/>
      <c r="D129" s="36"/>
      <c r="E129" s="36"/>
      <c r="F129" s="36"/>
      <c r="G129" s="36"/>
      <c r="H129" s="56"/>
      <c r="I129" s="56"/>
      <c r="J129" s="56"/>
    </row>
    <row r="130" spans="3:10" ht="15.75" hidden="1" customHeight="1" x14ac:dyDescent="0.35">
      <c r="C130" s="36"/>
      <c r="D130" s="36"/>
      <c r="E130" s="36"/>
      <c r="F130" s="36"/>
      <c r="G130" s="36"/>
      <c r="H130" s="56"/>
      <c r="I130" s="56"/>
      <c r="J130" s="56"/>
    </row>
    <row r="131" spans="3:10" ht="15.75" hidden="1" customHeight="1" x14ac:dyDescent="0.35">
      <c r="C131" s="36"/>
      <c r="D131" s="36"/>
      <c r="E131" s="36"/>
      <c r="F131" s="36"/>
      <c r="G131" s="36"/>
      <c r="H131" s="56"/>
      <c r="I131" s="56"/>
      <c r="J131" s="56"/>
    </row>
    <row r="132" spans="3:10" ht="15.75" hidden="1" customHeight="1" x14ac:dyDescent="0.35">
      <c r="C132" s="36"/>
      <c r="D132" s="36"/>
      <c r="E132" s="36"/>
      <c r="F132" s="36"/>
      <c r="G132" s="36"/>
      <c r="H132" s="56"/>
      <c r="I132" s="56"/>
      <c r="J132" s="56"/>
    </row>
    <row r="133" spans="3:10" ht="15.75" hidden="1" customHeight="1" x14ac:dyDescent="0.35">
      <c r="C133" s="36"/>
      <c r="D133" s="36"/>
      <c r="E133" s="36"/>
      <c r="F133" s="36"/>
      <c r="G133" s="36"/>
      <c r="H133" s="56"/>
      <c r="I133" s="56"/>
      <c r="J133" s="56"/>
    </row>
    <row r="134" spans="3:10" ht="15.75" hidden="1" customHeight="1" x14ac:dyDescent="0.35">
      <c r="C134" s="36"/>
      <c r="D134" s="36"/>
      <c r="E134" s="36"/>
      <c r="F134" s="36"/>
      <c r="G134" s="36"/>
      <c r="H134" s="56"/>
      <c r="I134" s="56"/>
      <c r="J134" s="56"/>
    </row>
    <row r="135" spans="3:10" ht="15.75" hidden="1" customHeight="1" x14ac:dyDescent="0.35">
      <c r="C135" s="36"/>
      <c r="D135" s="36"/>
      <c r="E135" s="36"/>
      <c r="F135" s="36"/>
      <c r="G135" s="36"/>
      <c r="H135" s="56"/>
      <c r="I135" s="56"/>
      <c r="J135" s="56"/>
    </row>
    <row r="136" spans="3:10" ht="15.75" hidden="1" customHeight="1" x14ac:dyDescent="0.35">
      <c r="C136" s="36"/>
      <c r="D136" s="36"/>
      <c r="E136" s="36"/>
      <c r="F136" s="36"/>
      <c r="G136" s="36"/>
      <c r="H136" s="56"/>
      <c r="I136" s="56"/>
      <c r="J136" s="56"/>
    </row>
    <row r="137" spans="3:10" ht="15.75" hidden="1" customHeight="1" x14ac:dyDescent="0.35">
      <c r="C137" s="36"/>
      <c r="D137" s="36"/>
      <c r="E137" s="36"/>
      <c r="F137" s="36"/>
      <c r="G137" s="36"/>
      <c r="H137" s="56"/>
      <c r="I137" s="56"/>
      <c r="J137" s="56"/>
    </row>
    <row r="138" spans="3:10" ht="15.75" hidden="1" customHeight="1" x14ac:dyDescent="0.35">
      <c r="C138" s="36"/>
      <c r="D138" s="36"/>
      <c r="E138" s="36"/>
      <c r="F138" s="36"/>
      <c r="G138" s="36"/>
      <c r="H138" s="56"/>
      <c r="I138" s="56"/>
      <c r="J138" s="56"/>
    </row>
    <row r="139" spans="3:10" ht="15.75" hidden="1" customHeight="1" x14ac:dyDescent="0.35">
      <c r="C139" s="36"/>
      <c r="D139" s="36"/>
      <c r="E139" s="36"/>
      <c r="F139" s="36"/>
      <c r="G139" s="36"/>
      <c r="H139" s="56"/>
      <c r="I139" s="56"/>
      <c r="J139" s="56"/>
    </row>
    <row r="140" spans="3:10" ht="15.75" hidden="1" customHeight="1" x14ac:dyDescent="0.35">
      <c r="C140" s="36"/>
      <c r="D140" s="36"/>
      <c r="E140" s="36"/>
      <c r="F140" s="36"/>
      <c r="G140" s="36"/>
      <c r="H140" s="56"/>
      <c r="I140" s="56"/>
      <c r="J140" s="56"/>
    </row>
    <row r="141" spans="3:10" ht="15.75" hidden="1" customHeight="1" x14ac:dyDescent="0.35">
      <c r="C141" s="36"/>
      <c r="D141" s="36"/>
      <c r="E141" s="36"/>
      <c r="F141" s="36"/>
      <c r="G141" s="36"/>
      <c r="H141" s="56"/>
      <c r="I141" s="56"/>
      <c r="J141" s="56"/>
    </row>
    <row r="142" spans="3:10" ht="15.75" hidden="1" customHeight="1" x14ac:dyDescent="0.35">
      <c r="C142" s="36"/>
      <c r="D142" s="36"/>
      <c r="E142" s="36"/>
      <c r="F142" s="36"/>
      <c r="G142" s="36"/>
      <c r="H142" s="62" t="str">
        <f ca="1">IFERROR(_xludf.IMAGE(VLOOKUP(C129,Listado!A:E,5,FALSE)), "No hay imagen para este vehículo")</f>
        <v>No hay imagen para este vehículo</v>
      </c>
      <c r="I142" s="56"/>
      <c r="J142" s="56"/>
    </row>
    <row r="143" spans="3:10" ht="15.75" hidden="1" customHeight="1" x14ac:dyDescent="0.35">
      <c r="C143" s="36"/>
      <c r="D143" s="36"/>
      <c r="E143" s="36"/>
      <c r="F143" s="36"/>
      <c r="G143" s="36"/>
      <c r="H143" s="56"/>
      <c r="I143" s="56"/>
      <c r="J143" s="56"/>
    </row>
    <row r="144" spans="3:10" ht="15.75" hidden="1" customHeight="1" x14ac:dyDescent="0.35">
      <c r="C144" s="36"/>
      <c r="D144" s="36"/>
      <c r="E144" s="36"/>
      <c r="F144" s="36"/>
      <c r="G144" s="36"/>
      <c r="H144" s="56"/>
      <c r="I144" s="56"/>
      <c r="J144" s="56"/>
    </row>
    <row r="145" spans="3:10" ht="15.75" hidden="1" customHeight="1" x14ac:dyDescent="0.35">
      <c r="C145" s="36"/>
      <c r="D145" s="36"/>
      <c r="E145" s="36"/>
      <c r="F145" s="36"/>
      <c r="G145" s="36"/>
      <c r="H145" s="56"/>
      <c r="I145" s="56"/>
      <c r="J145" s="56"/>
    </row>
    <row r="146" spans="3:10" ht="15.75" hidden="1" customHeight="1" x14ac:dyDescent="0.35">
      <c r="C146" s="36"/>
      <c r="D146" s="36"/>
      <c r="E146" s="36"/>
      <c r="F146" s="36"/>
      <c r="G146" s="36"/>
      <c r="H146" s="56"/>
      <c r="I146" s="56"/>
      <c r="J146" s="56"/>
    </row>
    <row r="147" spans="3:10" ht="15.75" hidden="1" customHeight="1" x14ac:dyDescent="0.35">
      <c r="C147" s="36"/>
      <c r="D147" s="36"/>
      <c r="E147" s="36"/>
      <c r="F147" s="36"/>
      <c r="G147" s="36"/>
      <c r="H147" s="56"/>
      <c r="I147" s="56"/>
      <c r="J147" s="56"/>
    </row>
    <row r="148" spans="3:10" ht="15.75" hidden="1" customHeight="1" x14ac:dyDescent="0.35">
      <c r="C148" s="36"/>
      <c r="D148" s="36"/>
      <c r="E148" s="36"/>
      <c r="F148" s="36"/>
      <c r="G148" s="36"/>
      <c r="H148" s="56"/>
      <c r="I148" s="56"/>
      <c r="J148" s="56"/>
    </row>
    <row r="149" spans="3:10" ht="15.75" hidden="1" customHeight="1" x14ac:dyDescent="0.35">
      <c r="C149" s="36"/>
      <c r="D149" s="36"/>
      <c r="E149" s="36"/>
      <c r="F149" s="36"/>
      <c r="G149" s="36"/>
      <c r="H149" s="56"/>
      <c r="I149" s="56"/>
      <c r="J149" s="56"/>
    </row>
    <row r="150" spans="3:10" ht="15.75" hidden="1" customHeight="1" x14ac:dyDescent="0.35">
      <c r="C150" s="36"/>
      <c r="D150" s="36"/>
      <c r="E150" s="36"/>
      <c r="F150" s="36"/>
      <c r="G150" s="36"/>
      <c r="H150" s="56"/>
      <c r="I150" s="56"/>
      <c r="J150" s="56"/>
    </row>
    <row r="151" spans="3:10" ht="15.75" hidden="1" customHeight="1" x14ac:dyDescent="0.35">
      <c r="C151" s="36"/>
      <c r="D151" s="36"/>
      <c r="E151" s="36"/>
      <c r="F151" s="36"/>
      <c r="G151" s="36"/>
      <c r="H151" s="56"/>
      <c r="I151" s="56"/>
      <c r="J151" s="56"/>
    </row>
    <row r="152" spans="3:10" ht="15.75" hidden="1" customHeight="1" x14ac:dyDescent="0.35">
      <c r="C152" s="36"/>
      <c r="D152" s="36"/>
      <c r="E152" s="36"/>
      <c r="F152" s="36"/>
      <c r="G152" s="36"/>
      <c r="H152" s="56"/>
      <c r="I152" s="56"/>
      <c r="J152" s="56"/>
    </row>
    <row r="153" spans="3:10" ht="15.75" hidden="1" customHeight="1" x14ac:dyDescent="0.35">
      <c r="C153" s="36"/>
      <c r="D153" s="36"/>
      <c r="E153" s="36"/>
      <c r="F153" s="36"/>
      <c r="G153" s="36"/>
      <c r="H153" s="56"/>
      <c r="I153" s="56"/>
      <c r="J153" s="56"/>
    </row>
    <row r="154" spans="3:10" ht="15.75" hidden="1" customHeight="1" x14ac:dyDescent="0.35">
      <c r="C154" s="36"/>
      <c r="D154" s="36"/>
      <c r="E154" s="36"/>
      <c r="F154" s="36"/>
      <c r="G154" s="36"/>
      <c r="H154" s="56"/>
      <c r="I154" s="56"/>
      <c r="J154" s="56"/>
    </row>
    <row r="155" spans="3:10" ht="15.75" hidden="1" customHeight="1" x14ac:dyDescent="0.35">
      <c r="C155" s="36"/>
      <c r="D155" s="36"/>
      <c r="E155" s="36"/>
      <c r="F155" s="36"/>
      <c r="G155" s="36"/>
      <c r="H155" s="56"/>
      <c r="I155" s="56"/>
      <c r="J155" s="56"/>
    </row>
    <row r="156" spans="3:10" ht="15.75" hidden="1" customHeight="1" x14ac:dyDescent="0.35">
      <c r="C156" s="36"/>
      <c r="D156" s="36"/>
      <c r="E156" s="36"/>
      <c r="F156" s="36"/>
      <c r="G156" s="36"/>
      <c r="H156" s="56"/>
      <c r="I156" s="56"/>
      <c r="J156" s="56"/>
    </row>
    <row r="157" spans="3:10" ht="15.75" hidden="1" customHeight="1" x14ac:dyDescent="0.35">
      <c r="C157" s="36"/>
      <c r="D157" s="36"/>
      <c r="E157" s="36"/>
      <c r="F157" s="36"/>
      <c r="G157" s="36"/>
      <c r="H157" s="62" t="str">
        <f ca="1">IFERROR(_xludf.IMAGE(VLOOKUP(C144,Listado!A:E,5,FALSE)), "No hay imagen para este vehículo")</f>
        <v>No hay imagen para este vehículo</v>
      </c>
      <c r="I157" s="56"/>
      <c r="J157" s="56"/>
    </row>
    <row r="158" spans="3:10" ht="15.75" hidden="1" customHeight="1" x14ac:dyDescent="0.35">
      <c r="C158" s="36"/>
      <c r="D158" s="36"/>
      <c r="E158" s="36"/>
      <c r="F158" s="36"/>
      <c r="G158" s="36"/>
      <c r="H158" s="56"/>
      <c r="I158" s="56"/>
      <c r="J158" s="56"/>
    </row>
    <row r="159" spans="3:10" ht="15.75" hidden="1" customHeight="1" x14ac:dyDescent="0.35">
      <c r="C159" s="36"/>
      <c r="D159" s="36"/>
      <c r="E159" s="36"/>
      <c r="F159" s="36"/>
      <c r="G159" s="36"/>
      <c r="H159" s="56"/>
      <c r="I159" s="56"/>
      <c r="J159" s="56"/>
    </row>
    <row r="160" spans="3:10" ht="15.75" hidden="1" customHeight="1" x14ac:dyDescent="0.35">
      <c r="C160" s="36"/>
      <c r="D160" s="36"/>
      <c r="E160" s="36"/>
      <c r="F160" s="36"/>
      <c r="G160" s="36"/>
      <c r="H160" s="56"/>
      <c r="I160" s="56"/>
      <c r="J160" s="56"/>
    </row>
    <row r="161" spans="3:10" ht="15.75" hidden="1" customHeight="1" x14ac:dyDescent="0.35">
      <c r="C161" s="36"/>
      <c r="D161" s="36"/>
      <c r="E161" s="36"/>
      <c r="F161" s="36"/>
      <c r="G161" s="36"/>
      <c r="H161" s="56"/>
      <c r="I161" s="56"/>
      <c r="J161" s="56"/>
    </row>
    <row r="162" spans="3:10" ht="15.75" hidden="1" customHeight="1" x14ac:dyDescent="0.35">
      <c r="C162" s="36"/>
      <c r="D162" s="36"/>
      <c r="E162" s="36"/>
      <c r="F162" s="36"/>
      <c r="G162" s="36"/>
      <c r="H162" s="56"/>
      <c r="I162" s="56"/>
      <c r="J162" s="56"/>
    </row>
    <row r="163" spans="3:10" ht="15.75" hidden="1" customHeight="1" x14ac:dyDescent="0.35">
      <c r="C163" s="36"/>
      <c r="D163" s="36"/>
      <c r="E163" s="36"/>
      <c r="F163" s="36"/>
      <c r="G163" s="36"/>
      <c r="H163" s="56"/>
      <c r="I163" s="56"/>
      <c r="J163" s="56"/>
    </row>
    <row r="164" spans="3:10" ht="15.75" hidden="1" customHeight="1" x14ac:dyDescent="0.35">
      <c r="C164" s="36"/>
      <c r="D164" s="36"/>
      <c r="E164" s="36"/>
      <c r="F164" s="36"/>
      <c r="G164" s="36"/>
      <c r="H164" s="56"/>
      <c r="I164" s="56"/>
      <c r="J164" s="56"/>
    </row>
    <row r="165" spans="3:10" ht="15.75" hidden="1" customHeight="1" x14ac:dyDescent="0.35">
      <c r="C165" s="36"/>
      <c r="D165" s="36"/>
      <c r="E165" s="36"/>
      <c r="F165" s="36"/>
      <c r="G165" s="36"/>
      <c r="H165" s="56"/>
      <c r="I165" s="56"/>
      <c r="J165" s="56"/>
    </row>
    <row r="166" spans="3:10" ht="15.75" hidden="1" customHeight="1" x14ac:dyDescent="0.35">
      <c r="C166" s="36"/>
      <c r="D166" s="36"/>
      <c r="E166" s="36"/>
      <c r="F166" s="36"/>
      <c r="G166" s="36"/>
      <c r="H166" s="56"/>
      <c r="I166" s="56"/>
      <c r="J166" s="56"/>
    </row>
    <row r="167" spans="3:10" ht="15.75" hidden="1" customHeight="1" x14ac:dyDescent="0.35">
      <c r="C167" s="36"/>
      <c r="D167" s="36"/>
      <c r="E167" s="36"/>
      <c r="F167" s="36"/>
      <c r="G167" s="36"/>
      <c r="H167" s="56"/>
      <c r="I167" s="56"/>
      <c r="J167" s="56"/>
    </row>
    <row r="168" spans="3:10" ht="15.75" hidden="1" customHeight="1" x14ac:dyDescent="0.35">
      <c r="C168" s="36"/>
      <c r="D168" s="36"/>
      <c r="E168" s="36"/>
      <c r="F168" s="36"/>
      <c r="G168" s="36"/>
      <c r="H168" s="56"/>
      <c r="I168" s="56"/>
      <c r="J168" s="56"/>
    </row>
    <row r="169" spans="3:10" ht="15.75" hidden="1" customHeight="1" x14ac:dyDescent="0.35">
      <c r="C169" s="36"/>
      <c r="D169" s="36"/>
      <c r="E169" s="36"/>
      <c r="F169" s="36"/>
      <c r="G169" s="36"/>
      <c r="H169" s="56"/>
      <c r="I169" s="56"/>
      <c r="J169" s="56"/>
    </row>
    <row r="170" spans="3:10" ht="15.75" hidden="1" customHeight="1" x14ac:dyDescent="0.35">
      <c r="C170" s="36"/>
      <c r="D170" s="36"/>
      <c r="E170" s="36"/>
      <c r="F170" s="36"/>
      <c r="G170" s="36"/>
      <c r="H170" s="56"/>
      <c r="I170" s="56"/>
      <c r="J170" s="56"/>
    </row>
    <row r="171" spans="3:10" ht="15.75" hidden="1" customHeight="1" x14ac:dyDescent="0.35">
      <c r="C171" s="36"/>
      <c r="D171" s="36"/>
      <c r="E171" s="36"/>
      <c r="F171" s="36"/>
      <c r="G171" s="36"/>
      <c r="H171" s="56"/>
      <c r="I171" s="56"/>
      <c r="J171" s="56"/>
    </row>
    <row r="172" spans="3:10" ht="15.75" hidden="1" customHeight="1" x14ac:dyDescent="0.35">
      <c r="C172" s="36"/>
      <c r="D172" s="36"/>
      <c r="E172" s="36"/>
      <c r="F172" s="36"/>
      <c r="G172" s="36"/>
      <c r="H172" s="62" t="str">
        <f ca="1">IFERROR(_xludf.IMAGE(VLOOKUP(C159,Listado!A:E,5,FALSE)), "No hay imagen para este vehículo")</f>
        <v>No hay imagen para este vehículo</v>
      </c>
      <c r="I172" s="56"/>
      <c r="J172" s="56"/>
    </row>
    <row r="173" spans="3:10" ht="15.75" hidden="1" customHeight="1" x14ac:dyDescent="0.35">
      <c r="C173" s="36"/>
      <c r="D173" s="36"/>
      <c r="E173" s="36"/>
      <c r="F173" s="36"/>
      <c r="G173" s="36"/>
      <c r="H173" s="56"/>
      <c r="I173" s="56"/>
      <c r="J173" s="56"/>
    </row>
    <row r="174" spans="3:10" ht="15.75" hidden="1" customHeight="1" x14ac:dyDescent="0.35">
      <c r="C174" s="36"/>
      <c r="D174" s="36"/>
      <c r="E174" s="36"/>
      <c r="F174" s="36"/>
      <c r="G174" s="36"/>
      <c r="H174" s="56"/>
      <c r="I174" s="56"/>
      <c r="J174" s="56"/>
    </row>
    <row r="175" spans="3:10" ht="15.75" hidden="1" customHeight="1" x14ac:dyDescent="0.35">
      <c r="C175" s="36"/>
      <c r="D175" s="36"/>
      <c r="E175" s="36"/>
      <c r="F175" s="36"/>
      <c r="G175" s="36"/>
      <c r="H175" s="56"/>
      <c r="I175" s="56"/>
      <c r="J175" s="56"/>
    </row>
    <row r="176" spans="3:10" ht="15.75" hidden="1" customHeight="1" x14ac:dyDescent="0.35">
      <c r="C176" s="36"/>
      <c r="D176" s="36"/>
      <c r="E176" s="36"/>
      <c r="F176" s="36"/>
      <c r="G176" s="36"/>
      <c r="H176" s="56"/>
      <c r="I176" s="56"/>
      <c r="J176" s="56"/>
    </row>
    <row r="177" spans="3:10" ht="15.75" hidden="1" customHeight="1" x14ac:dyDescent="0.35">
      <c r="C177" s="36"/>
      <c r="D177" s="36"/>
      <c r="E177" s="36"/>
      <c r="F177" s="36"/>
      <c r="G177" s="36"/>
      <c r="H177" s="56"/>
      <c r="I177" s="56"/>
      <c r="J177" s="56"/>
    </row>
    <row r="178" spans="3:10" ht="15.75" hidden="1" customHeight="1" x14ac:dyDescent="0.35">
      <c r="C178" s="36"/>
      <c r="D178" s="36"/>
      <c r="E178" s="36"/>
      <c r="F178" s="36"/>
      <c r="G178" s="36"/>
      <c r="H178" s="56"/>
      <c r="I178" s="56"/>
      <c r="J178" s="56"/>
    </row>
    <row r="179" spans="3:10" ht="15.75" hidden="1" customHeight="1" x14ac:dyDescent="0.35">
      <c r="C179" s="36"/>
      <c r="D179" s="36"/>
      <c r="E179" s="36"/>
      <c r="F179" s="36"/>
      <c r="G179" s="36"/>
      <c r="H179" s="56"/>
      <c r="I179" s="56"/>
      <c r="J179" s="56"/>
    </row>
    <row r="180" spans="3:10" ht="15.75" hidden="1" customHeight="1" x14ac:dyDescent="0.35">
      <c r="C180" s="36"/>
      <c r="D180" s="36"/>
      <c r="E180" s="36"/>
      <c r="F180" s="36"/>
      <c r="G180" s="36"/>
      <c r="H180" s="56"/>
      <c r="I180" s="56"/>
      <c r="J180" s="56"/>
    </row>
    <row r="181" spans="3:10" ht="15.75" hidden="1" customHeight="1" x14ac:dyDescent="0.35">
      <c r="C181" s="36"/>
      <c r="D181" s="36"/>
      <c r="E181" s="36"/>
      <c r="F181" s="36"/>
      <c r="G181" s="36"/>
      <c r="H181" s="56"/>
      <c r="I181" s="56"/>
      <c r="J181" s="56"/>
    </row>
    <row r="182" spans="3:10" ht="15.75" hidden="1" customHeight="1" x14ac:dyDescent="0.35">
      <c r="C182" s="36"/>
      <c r="D182" s="36"/>
      <c r="E182" s="36"/>
      <c r="F182" s="36"/>
      <c r="G182" s="36"/>
      <c r="H182" s="56"/>
      <c r="I182" s="56"/>
      <c r="J182" s="56"/>
    </row>
    <row r="183" spans="3:10" ht="15.75" hidden="1" customHeight="1" x14ac:dyDescent="0.35">
      <c r="C183" s="36"/>
      <c r="D183" s="36"/>
      <c r="E183" s="36"/>
      <c r="F183" s="36"/>
      <c r="G183" s="36"/>
      <c r="H183" s="56"/>
      <c r="I183" s="56"/>
      <c r="J183" s="56"/>
    </row>
    <row r="184" spans="3:10" ht="15.75" hidden="1" customHeight="1" x14ac:dyDescent="0.35">
      <c r="C184" s="36"/>
      <c r="D184" s="36"/>
      <c r="E184" s="36"/>
      <c r="F184" s="36"/>
      <c r="G184" s="36"/>
      <c r="H184" s="56"/>
      <c r="I184" s="56"/>
      <c r="J184" s="56"/>
    </row>
    <row r="185" spans="3:10" ht="15.75" hidden="1" customHeight="1" x14ac:dyDescent="0.35">
      <c r="C185" s="36"/>
      <c r="D185" s="36"/>
      <c r="E185" s="36"/>
      <c r="F185" s="36"/>
      <c r="G185" s="36"/>
      <c r="H185" s="56"/>
      <c r="I185" s="56"/>
      <c r="J185" s="56"/>
    </row>
    <row r="186" spans="3:10" ht="15.75" hidden="1" customHeight="1" x14ac:dyDescent="0.35">
      <c r="C186" s="36"/>
      <c r="D186" s="36"/>
      <c r="E186" s="36"/>
      <c r="F186" s="36"/>
      <c r="G186" s="36"/>
      <c r="H186" s="56"/>
      <c r="I186" s="56"/>
      <c r="J186" s="56"/>
    </row>
    <row r="187" spans="3:10" ht="15.75" hidden="1" customHeight="1" x14ac:dyDescent="0.35">
      <c r="C187" s="36"/>
      <c r="D187" s="36"/>
      <c r="E187" s="36"/>
      <c r="F187" s="36"/>
      <c r="G187" s="36"/>
      <c r="H187" s="62" t="str">
        <f ca="1">IFERROR(_xludf.IMAGE(VLOOKUP(C174,Listado!A:E,5,FALSE)), "No hay imagen para este vehículo")</f>
        <v>No hay imagen para este vehículo</v>
      </c>
      <c r="I187" s="56"/>
      <c r="J187" s="56"/>
    </row>
    <row r="188" spans="3:10" ht="15.75" hidden="1" customHeight="1" x14ac:dyDescent="0.35">
      <c r="C188" s="36"/>
      <c r="D188" s="36"/>
      <c r="E188" s="36"/>
      <c r="F188" s="36"/>
      <c r="G188" s="36"/>
      <c r="H188" s="56"/>
      <c r="I188" s="56"/>
      <c r="J188" s="56"/>
    </row>
    <row r="189" spans="3:10" ht="15.75" hidden="1" customHeight="1" x14ac:dyDescent="0.35">
      <c r="C189" s="36"/>
      <c r="D189" s="36"/>
      <c r="E189" s="36"/>
      <c r="F189" s="36"/>
      <c r="G189" s="36"/>
      <c r="H189" s="56"/>
      <c r="I189" s="56"/>
      <c r="J189" s="56"/>
    </row>
    <row r="190" spans="3:10" ht="15.75" hidden="1" customHeight="1" x14ac:dyDescent="0.35">
      <c r="C190" s="36"/>
      <c r="D190" s="36"/>
      <c r="E190" s="36"/>
      <c r="F190" s="36"/>
      <c r="G190" s="36"/>
      <c r="H190" s="56"/>
      <c r="I190" s="56"/>
      <c r="J190" s="56"/>
    </row>
    <row r="191" spans="3:10" ht="15.75" hidden="1" customHeight="1" x14ac:dyDescent="0.35">
      <c r="C191" s="36"/>
      <c r="D191" s="36"/>
      <c r="E191" s="36"/>
      <c r="F191" s="36"/>
      <c r="G191" s="36"/>
      <c r="H191" s="56"/>
      <c r="I191" s="56"/>
      <c r="J191" s="56"/>
    </row>
    <row r="192" spans="3:10" ht="15.75" hidden="1" customHeight="1" x14ac:dyDescent="0.35">
      <c r="C192" s="36"/>
      <c r="D192" s="36"/>
      <c r="E192" s="36"/>
      <c r="F192" s="36"/>
      <c r="G192" s="36"/>
      <c r="H192" s="56"/>
      <c r="I192" s="56"/>
      <c r="J192" s="56"/>
    </row>
    <row r="193" spans="3:10" ht="15.75" hidden="1" customHeight="1" x14ac:dyDescent="0.35">
      <c r="C193" s="36"/>
      <c r="D193" s="36"/>
      <c r="E193" s="36"/>
      <c r="F193" s="36"/>
      <c r="G193" s="36"/>
      <c r="H193" s="56"/>
      <c r="I193" s="56"/>
      <c r="J193" s="56"/>
    </row>
    <row r="194" spans="3:10" ht="15.75" hidden="1" customHeight="1" x14ac:dyDescent="0.35">
      <c r="C194" s="36"/>
      <c r="D194" s="36"/>
      <c r="E194" s="36"/>
      <c r="F194" s="36"/>
      <c r="G194" s="36"/>
      <c r="H194" s="56"/>
      <c r="I194" s="56"/>
      <c r="J194" s="56"/>
    </row>
    <row r="195" spans="3:10" ht="15.75" hidden="1" customHeight="1" x14ac:dyDescent="0.35">
      <c r="C195" s="36"/>
      <c r="D195" s="36"/>
      <c r="E195" s="36"/>
      <c r="F195" s="36"/>
      <c r="G195" s="36"/>
      <c r="H195" s="56"/>
      <c r="I195" s="56"/>
      <c r="J195" s="56"/>
    </row>
    <row r="196" spans="3:10" ht="15.75" hidden="1" customHeight="1" x14ac:dyDescent="0.35">
      <c r="C196" s="36"/>
      <c r="D196" s="36"/>
      <c r="E196" s="36"/>
      <c r="F196" s="36"/>
      <c r="G196" s="36"/>
      <c r="H196" s="56"/>
      <c r="I196" s="56"/>
      <c r="J196" s="56"/>
    </row>
    <row r="197" spans="3:10" ht="15.75" hidden="1" customHeight="1" x14ac:dyDescent="0.35">
      <c r="C197" s="36"/>
      <c r="D197" s="36"/>
      <c r="E197" s="36"/>
      <c r="F197" s="36"/>
      <c r="G197" s="36"/>
      <c r="H197" s="56"/>
      <c r="I197" s="56"/>
      <c r="J197" s="56"/>
    </row>
    <row r="198" spans="3:10" ht="15.75" hidden="1" customHeight="1" x14ac:dyDescent="0.35">
      <c r="C198" s="36"/>
      <c r="D198" s="36"/>
      <c r="E198" s="36"/>
      <c r="F198" s="36"/>
      <c r="G198" s="36"/>
      <c r="H198" s="56"/>
      <c r="I198" s="56"/>
      <c r="J198" s="56"/>
    </row>
    <row r="199" spans="3:10" ht="15.75" hidden="1" customHeight="1" x14ac:dyDescent="0.35">
      <c r="C199" s="36"/>
      <c r="D199" s="36"/>
      <c r="E199" s="36"/>
      <c r="F199" s="36"/>
      <c r="G199" s="36"/>
      <c r="H199" s="56"/>
      <c r="I199" s="56"/>
      <c r="J199" s="56"/>
    </row>
    <row r="200" spans="3:10" ht="15.75" hidden="1" customHeight="1" x14ac:dyDescent="0.35">
      <c r="C200" s="36"/>
      <c r="D200" s="36"/>
      <c r="E200" s="36"/>
      <c r="F200" s="36"/>
      <c r="G200" s="36"/>
      <c r="H200" s="56"/>
      <c r="I200" s="56"/>
      <c r="J200" s="56"/>
    </row>
    <row r="201" spans="3:10" ht="15.75" hidden="1" customHeight="1" x14ac:dyDescent="0.35">
      <c r="C201" s="36"/>
      <c r="D201" s="36"/>
      <c r="E201" s="36"/>
      <c r="F201" s="36"/>
      <c r="G201" s="36"/>
      <c r="H201" s="56"/>
      <c r="I201" s="56"/>
      <c r="J201" s="56"/>
    </row>
    <row r="202" spans="3:10" ht="15.75" hidden="1" customHeight="1" x14ac:dyDescent="0.35">
      <c r="C202" s="36"/>
      <c r="D202" s="36"/>
      <c r="E202" s="36"/>
      <c r="F202" s="36"/>
      <c r="G202" s="36"/>
      <c r="H202" s="62" t="str">
        <f ca="1">IFERROR(_xludf.IMAGE(VLOOKUP(C189,Listado!A:E,5,FALSE)), "No hay imagen para este vehículo")</f>
        <v>No hay imagen para este vehículo</v>
      </c>
      <c r="I202" s="56"/>
      <c r="J202" s="56"/>
    </row>
    <row r="203" spans="3:10" ht="15.75" hidden="1" customHeight="1" x14ac:dyDescent="0.35">
      <c r="C203" s="36"/>
      <c r="D203" s="36"/>
      <c r="E203" s="36"/>
      <c r="F203" s="36"/>
      <c r="G203" s="36"/>
      <c r="H203" s="56"/>
      <c r="I203" s="56"/>
      <c r="J203" s="56"/>
    </row>
    <row r="204" spans="3:10" ht="15.75" hidden="1" customHeight="1" x14ac:dyDescent="0.35">
      <c r="C204" s="36"/>
      <c r="D204" s="36"/>
      <c r="E204" s="36"/>
      <c r="F204" s="36"/>
      <c r="G204" s="36"/>
      <c r="H204" s="56"/>
      <c r="I204" s="56"/>
      <c r="J204" s="56"/>
    </row>
    <row r="205" spans="3:10" ht="15.75" hidden="1" customHeight="1" x14ac:dyDescent="0.35">
      <c r="C205" s="36"/>
      <c r="D205" s="36"/>
      <c r="E205" s="36"/>
      <c r="F205" s="36"/>
      <c r="G205" s="36"/>
      <c r="H205" s="56"/>
      <c r="I205" s="56"/>
      <c r="J205" s="56"/>
    </row>
    <row r="206" spans="3:10" ht="15.75" hidden="1" customHeight="1" x14ac:dyDescent="0.35">
      <c r="C206" s="36"/>
      <c r="D206" s="36"/>
      <c r="E206" s="36"/>
      <c r="F206" s="36"/>
      <c r="G206" s="36"/>
      <c r="H206" s="56"/>
      <c r="I206" s="56"/>
      <c r="J206" s="56"/>
    </row>
    <row r="207" spans="3:10" ht="15.75" hidden="1" customHeight="1" x14ac:dyDescent="0.35">
      <c r="C207" s="36"/>
      <c r="D207" s="36"/>
      <c r="E207" s="36"/>
      <c r="F207" s="36"/>
      <c r="G207" s="36"/>
      <c r="H207" s="56"/>
      <c r="I207" s="56"/>
      <c r="J207" s="56"/>
    </row>
    <row r="208" spans="3:10" ht="15.75" hidden="1" customHeight="1" x14ac:dyDescent="0.35">
      <c r="C208" s="36"/>
      <c r="D208" s="36"/>
      <c r="E208" s="36"/>
      <c r="F208" s="36"/>
      <c r="G208" s="36"/>
      <c r="H208" s="56"/>
      <c r="I208" s="56"/>
      <c r="J208" s="56"/>
    </row>
    <row r="209" spans="3:10" ht="15.75" hidden="1" customHeight="1" x14ac:dyDescent="0.35">
      <c r="C209" s="36"/>
      <c r="D209" s="36"/>
      <c r="E209" s="36"/>
      <c r="F209" s="36"/>
      <c r="G209" s="36"/>
      <c r="H209" s="56"/>
      <c r="I209" s="56"/>
      <c r="J209" s="56"/>
    </row>
    <row r="210" spans="3:10" ht="15.75" hidden="1" customHeight="1" x14ac:dyDescent="0.35">
      <c r="C210" s="36"/>
      <c r="D210" s="36"/>
      <c r="E210" s="36"/>
      <c r="F210" s="36"/>
      <c r="G210" s="36"/>
      <c r="H210" s="56"/>
      <c r="I210" s="56"/>
      <c r="J210" s="56"/>
    </row>
    <row r="211" spans="3:10" ht="15.75" hidden="1" customHeight="1" x14ac:dyDescent="0.35">
      <c r="C211" s="36"/>
      <c r="D211" s="36"/>
      <c r="E211" s="36"/>
      <c r="F211" s="36"/>
      <c r="G211" s="36"/>
      <c r="H211" s="56"/>
      <c r="I211" s="56"/>
      <c r="J211" s="56"/>
    </row>
    <row r="212" spans="3:10" ht="15.75" hidden="1" customHeight="1" x14ac:dyDescent="0.35">
      <c r="C212" s="36"/>
      <c r="D212" s="36"/>
      <c r="E212" s="36"/>
      <c r="F212" s="36"/>
      <c r="G212" s="36"/>
      <c r="H212" s="56"/>
      <c r="I212" s="56"/>
      <c r="J212" s="56"/>
    </row>
    <row r="213" spans="3:10" ht="15.75" hidden="1" customHeight="1" x14ac:dyDescent="0.35">
      <c r="C213" s="36"/>
      <c r="D213" s="36"/>
      <c r="E213" s="36"/>
      <c r="F213" s="36"/>
      <c r="G213" s="36"/>
      <c r="H213" s="56"/>
      <c r="I213" s="56"/>
      <c r="J213" s="56"/>
    </row>
    <row r="214" spans="3:10" ht="15.75" hidden="1" customHeight="1" x14ac:dyDescent="0.35">
      <c r="C214" s="36"/>
      <c r="D214" s="36"/>
      <c r="E214" s="36"/>
      <c r="F214" s="36"/>
      <c r="G214" s="36"/>
      <c r="H214" s="56"/>
      <c r="I214" s="56"/>
      <c r="J214" s="56"/>
    </row>
    <row r="215" spans="3:10" ht="15.75" hidden="1" customHeight="1" x14ac:dyDescent="0.35">
      <c r="C215" s="36"/>
      <c r="D215" s="36"/>
      <c r="E215" s="36"/>
      <c r="F215" s="36"/>
      <c r="G215" s="36"/>
      <c r="H215" s="56"/>
      <c r="I215" s="56"/>
      <c r="J215" s="56"/>
    </row>
    <row r="216" spans="3:10" ht="15.75" hidden="1" customHeight="1" x14ac:dyDescent="0.35">
      <c r="C216" s="36"/>
      <c r="D216" s="36"/>
      <c r="E216" s="36"/>
      <c r="F216" s="36"/>
      <c r="G216" s="36"/>
      <c r="H216" s="56"/>
      <c r="I216" s="56"/>
      <c r="J216" s="56"/>
    </row>
    <row r="217" spans="3:10" ht="15.75" hidden="1" customHeight="1" x14ac:dyDescent="0.35">
      <c r="C217" s="36"/>
      <c r="D217" s="36"/>
      <c r="E217" s="36"/>
      <c r="F217" s="36"/>
      <c r="G217" s="36"/>
      <c r="H217" s="62" t="str">
        <f ca="1">IFERROR(_xludf.IMAGE(VLOOKUP(C204,Listado!A:E,5,FALSE)), "No hay imagen para este vehículo")</f>
        <v>No hay imagen para este vehículo</v>
      </c>
      <c r="I217" s="56"/>
      <c r="J217" s="56"/>
    </row>
    <row r="218" spans="3:10" ht="15.75" hidden="1" customHeight="1" x14ac:dyDescent="0.35">
      <c r="C218" s="36"/>
      <c r="D218" s="36"/>
      <c r="E218" s="36"/>
      <c r="F218" s="36"/>
      <c r="G218" s="36"/>
      <c r="H218" s="56"/>
      <c r="I218" s="56"/>
      <c r="J218" s="56"/>
    </row>
    <row r="219" spans="3:10" ht="15.75" hidden="1" customHeight="1" x14ac:dyDescent="0.35">
      <c r="C219" s="36"/>
      <c r="D219" s="36"/>
      <c r="E219" s="36"/>
      <c r="F219" s="36"/>
      <c r="G219" s="36"/>
      <c r="H219" s="56"/>
      <c r="I219" s="56"/>
      <c r="J219" s="56"/>
    </row>
    <row r="220" spans="3:10" ht="15.75" hidden="1" customHeight="1" x14ac:dyDescent="0.35">
      <c r="C220" s="36"/>
      <c r="D220" s="36"/>
      <c r="E220" s="36"/>
      <c r="F220" s="36"/>
      <c r="G220" s="36"/>
      <c r="H220" s="56"/>
      <c r="I220" s="56"/>
      <c r="J220" s="56"/>
    </row>
    <row r="221" spans="3:10" ht="15.75" hidden="1" customHeight="1" x14ac:dyDescent="0.35">
      <c r="C221" s="36"/>
      <c r="D221" s="36"/>
      <c r="E221" s="36"/>
      <c r="F221" s="36"/>
      <c r="G221" s="36"/>
      <c r="H221" s="56"/>
      <c r="I221" s="56"/>
      <c r="J221" s="56"/>
    </row>
    <row r="222" spans="3:10" ht="15.75" hidden="1" customHeight="1" x14ac:dyDescent="0.35">
      <c r="C222" s="36"/>
      <c r="D222" s="36"/>
      <c r="E222" s="36"/>
      <c r="F222" s="36"/>
      <c r="G222" s="36"/>
      <c r="H222" s="56"/>
      <c r="I222" s="56"/>
      <c r="J222" s="56"/>
    </row>
    <row r="223" spans="3:10" ht="15.75" hidden="1" customHeight="1" x14ac:dyDescent="0.35">
      <c r="C223" s="36"/>
      <c r="D223" s="36"/>
      <c r="E223" s="36"/>
      <c r="F223" s="36"/>
      <c r="G223" s="36"/>
      <c r="H223" s="56"/>
      <c r="I223" s="56"/>
      <c r="J223" s="56"/>
    </row>
    <row r="224" spans="3:10" ht="15.75" hidden="1" customHeight="1" x14ac:dyDescent="0.35">
      <c r="C224" s="36"/>
      <c r="D224" s="36"/>
      <c r="E224" s="36"/>
      <c r="F224" s="36"/>
      <c r="G224" s="36"/>
      <c r="H224" s="56"/>
      <c r="I224" s="56"/>
      <c r="J224" s="56"/>
    </row>
    <row r="225" spans="3:10" ht="15.75" hidden="1" customHeight="1" x14ac:dyDescent="0.35">
      <c r="C225" s="36"/>
      <c r="D225" s="36"/>
      <c r="E225" s="36"/>
      <c r="F225" s="36"/>
      <c r="G225" s="36"/>
      <c r="H225" s="56"/>
      <c r="I225" s="56"/>
      <c r="J225" s="56"/>
    </row>
    <row r="226" spans="3:10" ht="15.75" hidden="1" customHeight="1" x14ac:dyDescent="0.35">
      <c r="C226" s="36"/>
      <c r="D226" s="36"/>
      <c r="E226" s="36"/>
      <c r="F226" s="36"/>
      <c r="G226" s="36"/>
      <c r="H226" s="56"/>
      <c r="I226" s="56"/>
      <c r="J226" s="56"/>
    </row>
    <row r="227" spans="3:10" ht="15.75" hidden="1" customHeight="1" x14ac:dyDescent="0.35">
      <c r="C227" s="36"/>
      <c r="D227" s="36"/>
      <c r="E227" s="36"/>
      <c r="F227" s="36"/>
      <c r="G227" s="36"/>
      <c r="H227" s="56"/>
      <c r="I227" s="56"/>
      <c r="J227" s="56"/>
    </row>
    <row r="228" spans="3:10" ht="15.75" hidden="1" customHeight="1" x14ac:dyDescent="0.35">
      <c r="C228" s="36"/>
      <c r="D228" s="36"/>
      <c r="E228" s="36"/>
      <c r="F228" s="36"/>
      <c r="G228" s="36"/>
      <c r="H228" s="56"/>
      <c r="I228" s="56"/>
      <c r="J228" s="56"/>
    </row>
    <row r="229" spans="3:10" ht="15.75" hidden="1" customHeight="1" x14ac:dyDescent="0.35">
      <c r="G229" s="36"/>
      <c r="H229" s="56"/>
      <c r="I229" s="56"/>
      <c r="J229" s="56"/>
    </row>
    <row r="230" spans="3:10" ht="15.75" customHeight="1" x14ac:dyDescent="0.35">
      <c r="G230" s="36"/>
      <c r="H230" s="56"/>
      <c r="I230" s="56"/>
      <c r="J230" s="56"/>
    </row>
    <row r="231" spans="3:10" ht="15.75" customHeight="1" x14ac:dyDescent="0.35">
      <c r="H231" s="56"/>
      <c r="I231" s="56"/>
      <c r="J231" s="56"/>
    </row>
    <row r="232" spans="3:10" ht="15.75" customHeight="1" x14ac:dyDescent="0.35"/>
    <row r="233" spans="3:10" ht="15.75" customHeight="1" x14ac:dyDescent="0.35"/>
    <row r="234" spans="3:10" ht="15.75" customHeight="1" x14ac:dyDescent="0.35"/>
    <row r="235" spans="3:10" ht="15.75" customHeight="1" x14ac:dyDescent="0.35"/>
    <row r="236" spans="3:10" ht="15.75" customHeight="1" x14ac:dyDescent="0.35"/>
    <row r="237" spans="3:10" ht="15.75" customHeight="1" x14ac:dyDescent="0.35"/>
    <row r="238" spans="3:10" ht="15.75" customHeight="1" x14ac:dyDescent="0.35"/>
    <row r="239" spans="3:10" ht="15.75" customHeight="1" x14ac:dyDescent="0.35"/>
    <row r="240" spans="3:1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3">
    <mergeCell ref="H202:J216"/>
    <mergeCell ref="H217:J231"/>
    <mergeCell ref="H22:J36"/>
    <mergeCell ref="H37:J51"/>
    <mergeCell ref="H52:J66"/>
    <mergeCell ref="H67:J81"/>
    <mergeCell ref="H82:J96"/>
    <mergeCell ref="H97:J111"/>
    <mergeCell ref="H112:J126"/>
    <mergeCell ref="H127:J141"/>
    <mergeCell ref="H142:J156"/>
    <mergeCell ref="H157:J171"/>
    <mergeCell ref="H172:J186"/>
    <mergeCell ref="H187:J201"/>
    <mergeCell ref="L11:N11"/>
    <mergeCell ref="H12:J12"/>
    <mergeCell ref="I13:J13"/>
    <mergeCell ref="H15:J15"/>
    <mergeCell ref="I16:J16"/>
    <mergeCell ref="C16:D16"/>
    <mergeCell ref="C26:F26"/>
    <mergeCell ref="C27:F27"/>
    <mergeCell ref="C29:F29"/>
    <mergeCell ref="C30:F30"/>
    <mergeCell ref="E5:F5"/>
    <mergeCell ref="H5:I5"/>
    <mergeCell ref="C10:D10"/>
    <mergeCell ref="C12:D12"/>
    <mergeCell ref="C14:D14"/>
    <mergeCell ref="C5:D5"/>
    <mergeCell ref="C6:D6"/>
    <mergeCell ref="E6:F6"/>
    <mergeCell ref="H6:I6"/>
    <mergeCell ref="E7:F7"/>
    <mergeCell ref="H7:I7"/>
    <mergeCell ref="E9:F9"/>
    <mergeCell ref="H8:I8"/>
    <mergeCell ref="H9:I9"/>
    <mergeCell ref="C2:J2"/>
    <mergeCell ref="L2:N2"/>
    <mergeCell ref="C4:D4"/>
    <mergeCell ref="E4:F4"/>
    <mergeCell ref="H4:J4"/>
  </mergeCells>
  <dataValidations count="5">
    <dataValidation type="list" allowBlank="1" showErrorMessage="1" sqref="D15" xr:uid="{00000000-0002-0000-0000-000000000000}">
      <formula1>"0,1,2,3"</formula1>
    </dataValidation>
    <dataValidation type="list" allowBlank="1" showErrorMessage="1" sqref="D17 D21:D23" xr:uid="{00000000-0002-0000-0000-000001000000}">
      <formula1>"0,1,2,3,4,5,6,7,8,9,10,11,12,13,14,15,16,17,18,19,20"</formula1>
    </dataValidation>
    <dataValidation type="list" allowBlank="1" showErrorMessage="1" sqref="D13" xr:uid="{00000000-0002-0000-0000-000002000000}">
      <formula1>"0,1,2,3,4,5,6"</formula1>
    </dataValidation>
    <dataValidation type="list" allowBlank="1" showErrorMessage="1" sqref="I16" xr:uid="{00000000-0002-0000-0000-000003000000}">
      <formula1>"N/A,Weedland,El cafe rojo de madera,Ls Airlanes,Pawn Shop,Sandy Mall,Taxis,El Astillero,Vanilla Unicorn,Burger Shot,Skyline Vibes,Yellow Jack,Bennys,Los Santos Customs,Helmuts,LSPD,SAMS,Las Primas"</formula1>
    </dataValidation>
    <dataValidation type="list" allowBlank="1" showErrorMessage="1" sqref="I13" xr:uid="{00000000-0002-0000-0000-000004000000}">
      <formula1>"0,5,10,15,20"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5000000}">
          <x14:formula1>
            <xm:f>Listado!$A2:$A758</xm:f>
          </x14:formula1>
          <xm:sqref>C5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tabSelected="1" workbookViewId="0">
      <selection activeCell="H9" sqref="H9"/>
    </sheetView>
  </sheetViews>
  <sheetFormatPr baseColWidth="10" defaultColWidth="12.59765625" defaultRowHeight="15" customHeight="1" x14ac:dyDescent="0.35"/>
  <cols>
    <col min="1" max="1" width="17.3984375" customWidth="1"/>
    <col min="2" max="2" width="28.3984375" customWidth="1"/>
    <col min="3" max="3" width="18.265625" customWidth="1"/>
    <col min="4" max="4" width="22.1328125" customWidth="1"/>
    <col min="5" max="5" width="53.3984375" customWidth="1"/>
    <col min="6" max="6" width="12.59765625" customWidth="1"/>
  </cols>
  <sheetData>
    <row r="1" spans="1:5" ht="15.75" customHeight="1" x14ac:dyDescent="0.35">
      <c r="A1" s="37" t="s">
        <v>28</v>
      </c>
      <c r="B1" s="37" t="s">
        <v>29</v>
      </c>
      <c r="C1" s="37" t="s">
        <v>30</v>
      </c>
      <c r="D1" s="37" t="s">
        <v>31</v>
      </c>
      <c r="E1" s="37" t="s">
        <v>32</v>
      </c>
    </row>
    <row r="2" spans="1:5" ht="15.75" customHeight="1" x14ac:dyDescent="0.4">
      <c r="A2" s="38" t="str">
        <f ca="1">IFERROR(__xludf.DUMMYFUNCTION("IMPORTRANGE(""https://docs.google.com/spreadsheets/d/1mjNNDGrvmUts6VjAqwo43L28lC7JMK2L6g8bGEhk9BI/edit?gid=1084388773#gid=1084388773"", ""A2:E990"")"),"bmx")</f>
        <v>bmx</v>
      </c>
      <c r="B2" s="38" t="str">
        <f ca="1">IFERROR(__xludf.DUMMYFUNCTION("""COMPUTED_VALUE"""),"BMX")</f>
        <v>BMX</v>
      </c>
      <c r="C2" s="39">
        <f ca="1">IFERROR(__xludf.DUMMYFUNCTION("""COMPUTED_VALUE"""),1500)</f>
        <v>1500</v>
      </c>
      <c r="D2" s="39" t="str">
        <f ca="1">IFERROR(__xludf.DUMMYFUNCTION("""COMPUTED_VALUE"""),"Bicicletas")</f>
        <v>Bicicletas</v>
      </c>
      <c r="E2" s="40" t="str">
        <f ca="1">IFERROR(__xludf.DUMMYFUNCTION("""COMPUTED_VALUE"""),"https://docs.fivem.net/vehicles/bmx.webp")</f>
        <v>https://docs.fivem.net/vehicles/bmx.webp</v>
      </c>
    </row>
    <row r="3" spans="1:5" ht="15.75" customHeight="1" x14ac:dyDescent="0.4">
      <c r="A3" s="38" t="str">
        <f ca="1">IFERROR(__xludf.DUMMYFUNCTION("""COMPUTED_VALUE"""),"cruiser")</f>
        <v>cruiser</v>
      </c>
      <c r="B3" s="38" t="str">
        <f ca="1">IFERROR(__xludf.DUMMYFUNCTION("""COMPUTED_VALUE"""),"Cruiser")</f>
        <v>Cruiser</v>
      </c>
      <c r="C3" s="39">
        <f ca="1">IFERROR(__xludf.DUMMYFUNCTION("""COMPUTED_VALUE"""),1000)</f>
        <v>1000</v>
      </c>
      <c r="D3" s="39" t="str">
        <f ca="1">IFERROR(__xludf.DUMMYFUNCTION("""COMPUTED_VALUE"""),"Bicicletas")</f>
        <v>Bicicletas</v>
      </c>
      <c r="E3" s="40" t="str">
        <f ca="1">IFERROR(__xludf.DUMMYFUNCTION("""COMPUTED_VALUE"""),"https://docs.fivem.net/vehicles/cruiser.webp")</f>
        <v>https://docs.fivem.net/vehicles/cruiser.webp</v>
      </c>
    </row>
    <row r="4" spans="1:5" ht="15.75" customHeight="1" x14ac:dyDescent="0.4">
      <c r="A4" s="38" t="str">
        <f ca="1">IFERROR(__xludf.DUMMYFUNCTION("""COMPUTED_VALUE"""),"fixter")</f>
        <v>fixter</v>
      </c>
      <c r="B4" s="38" t="str">
        <f ca="1">IFERROR(__xludf.DUMMYFUNCTION("""COMPUTED_VALUE"""),"Fixter")</f>
        <v>Fixter</v>
      </c>
      <c r="C4" s="39">
        <f ca="1">IFERROR(__xludf.DUMMYFUNCTION("""COMPUTED_VALUE"""),1200)</f>
        <v>1200</v>
      </c>
      <c r="D4" s="39" t="str">
        <f ca="1">IFERROR(__xludf.DUMMYFUNCTION("""COMPUTED_VALUE"""),"Bicicletas")</f>
        <v>Bicicletas</v>
      </c>
      <c r="E4" s="40" t="str">
        <f ca="1">IFERROR(__xludf.DUMMYFUNCTION("""COMPUTED_VALUE"""),"https://docs.fivem.net/vehicles/fixter.webp")</f>
        <v>https://docs.fivem.net/vehicles/fixter.webp</v>
      </c>
    </row>
    <row r="5" spans="1:5" ht="15.75" customHeight="1" x14ac:dyDescent="0.4">
      <c r="A5" s="38" t="str">
        <f ca="1">IFERROR(__xludf.DUMMYFUNCTION("""COMPUTED_VALUE"""),"inductor")</f>
        <v>inductor</v>
      </c>
      <c r="B5" s="38" t="str">
        <f ca="1">IFERROR(__xludf.DUMMYFUNCTION("""COMPUTED_VALUE"""),"Inductor")</f>
        <v>Inductor</v>
      </c>
      <c r="C5" s="39">
        <f ca="1">IFERROR(__xludf.DUMMYFUNCTION("""COMPUTED_VALUE"""),7500)</f>
        <v>7500</v>
      </c>
      <c r="D5" s="39" t="str">
        <f ca="1">IFERROR(__xludf.DUMMYFUNCTION("""COMPUTED_VALUE"""),"Bicicletas")</f>
        <v>Bicicletas</v>
      </c>
      <c r="E5" s="40" t="str">
        <f ca="1">IFERROR(__xludf.DUMMYFUNCTION("""COMPUTED_VALUE"""),"https://docs.fivem.net/vehicles/inductor.webp")</f>
        <v>https://docs.fivem.net/vehicles/inductor.webp</v>
      </c>
    </row>
    <row r="6" spans="1:5" ht="15.75" customHeight="1" x14ac:dyDescent="0.4">
      <c r="A6" s="38" t="str">
        <f ca="1">IFERROR(__xludf.DUMMYFUNCTION("""COMPUTED_VALUE"""),"inductor2")</f>
        <v>inductor2</v>
      </c>
      <c r="B6" s="38" t="str">
        <f ca="1">IFERROR(__xludf.DUMMYFUNCTION("""COMPUTED_VALUE"""),"Junk Energy Inductor")</f>
        <v>Junk Energy Inductor</v>
      </c>
      <c r="C6" s="39">
        <f ca="1">IFERROR(__xludf.DUMMYFUNCTION("""COMPUTED_VALUE"""),8200)</f>
        <v>8200</v>
      </c>
      <c r="D6" s="39" t="str">
        <f ca="1">IFERROR(__xludf.DUMMYFUNCTION("""COMPUTED_VALUE"""),"Bicicletas")</f>
        <v>Bicicletas</v>
      </c>
      <c r="E6" s="40" t="str">
        <f ca="1">IFERROR(__xludf.DUMMYFUNCTION("""COMPUTED_VALUE"""),"https://docs.fivem.net/vehicles/inductor2.webp")</f>
        <v>https://docs.fivem.net/vehicles/inductor2.webp</v>
      </c>
    </row>
    <row r="7" spans="1:5" ht="15.75" customHeight="1" x14ac:dyDescent="0.4">
      <c r="A7" s="38" t="str">
        <f ca="1">IFERROR(__xludf.DUMMYFUNCTION("""COMPUTED_VALUE"""),"scorcher")</f>
        <v>scorcher</v>
      </c>
      <c r="B7" s="38" t="str">
        <f ca="1">IFERROR(__xludf.DUMMYFUNCTION("""COMPUTED_VALUE"""),"Scorcher")</f>
        <v>Scorcher</v>
      </c>
      <c r="C7" s="39">
        <f ca="1">IFERROR(__xludf.DUMMYFUNCTION("""COMPUTED_VALUE"""),2000)</f>
        <v>2000</v>
      </c>
      <c r="D7" s="39" t="str">
        <f ca="1">IFERROR(__xludf.DUMMYFUNCTION("""COMPUTED_VALUE"""),"Bicicletas")</f>
        <v>Bicicletas</v>
      </c>
      <c r="E7" s="40" t="str">
        <f ca="1">IFERROR(__xludf.DUMMYFUNCTION("""COMPUTED_VALUE"""),"https://docs.fivem.net/vehicles/scorcher.webp")</f>
        <v>https://docs.fivem.net/vehicles/scorcher.webp</v>
      </c>
    </row>
    <row r="8" spans="1:5" ht="15.75" customHeight="1" x14ac:dyDescent="0.4">
      <c r="A8" s="38" t="str">
        <f ca="1">IFERROR(__xludf.DUMMYFUNCTION("""COMPUTED_VALUE"""),"tribike")</f>
        <v>tribike</v>
      </c>
      <c r="B8" s="38" t="str">
        <f ca="1">IFERROR(__xludf.DUMMYFUNCTION("""COMPUTED_VALUE"""),"Whippet Race Bike")</f>
        <v>Whippet Race Bike</v>
      </c>
      <c r="C8" s="39">
        <f ca="1">IFERROR(__xludf.DUMMYFUNCTION("""COMPUTED_VALUE"""),1700)</f>
        <v>1700</v>
      </c>
      <c r="D8" s="39" t="str">
        <f ca="1">IFERROR(__xludf.DUMMYFUNCTION("""COMPUTED_VALUE"""),"Bicicletas")</f>
        <v>Bicicletas</v>
      </c>
      <c r="E8" s="40" t="str">
        <f ca="1">IFERROR(__xludf.DUMMYFUNCTION("""COMPUTED_VALUE"""),"https://docs.fivem.net/vehicles/tribike.webp")</f>
        <v>https://docs.fivem.net/vehicles/tribike.webp</v>
      </c>
    </row>
    <row r="9" spans="1:5" ht="15.75" customHeight="1" x14ac:dyDescent="0.4">
      <c r="A9" s="38" t="str">
        <f ca="1">IFERROR(__xludf.DUMMYFUNCTION("""COMPUTED_VALUE"""),"tribike2")</f>
        <v>tribike2</v>
      </c>
      <c r="B9" s="38" t="str">
        <f ca="1">IFERROR(__xludf.DUMMYFUNCTION("""COMPUTED_VALUE"""),"Endurex Race Bike")</f>
        <v>Endurex Race Bike</v>
      </c>
      <c r="C9" s="39">
        <f ca="1">IFERROR(__xludf.DUMMYFUNCTION("""COMPUTED_VALUE"""),1700)</f>
        <v>1700</v>
      </c>
      <c r="D9" s="39" t="str">
        <f ca="1">IFERROR(__xludf.DUMMYFUNCTION("""COMPUTED_VALUE"""),"Bicicletas")</f>
        <v>Bicicletas</v>
      </c>
      <c r="E9" s="40" t="str">
        <f ca="1">IFERROR(__xludf.DUMMYFUNCTION("""COMPUTED_VALUE"""),"https://docs.fivem.net/vehicles/tribike2.webp")</f>
        <v>https://docs.fivem.net/vehicles/tribike2.webp</v>
      </c>
    </row>
    <row r="10" spans="1:5" ht="15.75" customHeight="1" x14ac:dyDescent="0.4">
      <c r="A10" s="38" t="str">
        <f ca="1">IFERROR(__xludf.DUMMYFUNCTION("""COMPUTED_VALUE"""),"tribike3")</f>
        <v>tribike3</v>
      </c>
      <c r="B10" s="38" t="str">
        <f ca="1">IFERROR(__xludf.DUMMYFUNCTION("""COMPUTED_VALUE"""),"Tri-cycle Race Bike")</f>
        <v>Tri-cycle Race Bike</v>
      </c>
      <c r="C10" s="39">
        <f ca="1">IFERROR(__xludf.DUMMYFUNCTION("""COMPUTED_VALUE"""),1800)</f>
        <v>1800</v>
      </c>
      <c r="D10" s="39" t="str">
        <f ca="1">IFERROR(__xludf.DUMMYFUNCTION("""COMPUTED_VALUE"""),"Bicicletas")</f>
        <v>Bicicletas</v>
      </c>
      <c r="E10" s="40" t="str">
        <f ca="1">IFERROR(__xludf.DUMMYFUNCTION("""COMPUTED_VALUE"""),"https://docs.fivem.net/vehicles/tribike3.webp")</f>
        <v>https://docs.fivem.net/vehicles/tribike3.webp</v>
      </c>
    </row>
    <row r="11" spans="1:5" ht="15.75" customHeight="1" x14ac:dyDescent="0.4">
      <c r="A11" s="38" t="str">
        <f ca="1">IFERROR(__xludf.DUMMYFUNCTION("""COMPUTED_VALUE"""),"formula")</f>
        <v>formula</v>
      </c>
      <c r="B11" s="38" t="str">
        <f ca="1">IFERROR(__xludf.DUMMYFUNCTION("""COMPUTED_VALUE"""),"PR4")</f>
        <v>PR4</v>
      </c>
      <c r="C11" s="39">
        <f ca="1">IFERROR(__xludf.DUMMYFUNCTION("""COMPUTED_VALUE"""),1000000)</f>
        <v>1000000</v>
      </c>
      <c r="D11" s="39" t="str">
        <f ca="1">IFERROR(__xludf.DUMMYFUNCTION("""COMPUTED_VALUE"""),"Circuitos")</f>
        <v>Circuitos</v>
      </c>
      <c r="E11" s="40" t="str">
        <f ca="1">IFERROR(__xludf.DUMMYFUNCTION("""COMPUTED_VALUE"""),"https://docs.fivem.net/vehicles/formula.webp")</f>
        <v>https://docs.fivem.net/vehicles/formula.webp</v>
      </c>
    </row>
    <row r="12" spans="1:5" ht="15.75" customHeight="1" x14ac:dyDescent="0.4">
      <c r="A12" s="38" t="str">
        <f ca="1">IFERROR(__xludf.DUMMYFUNCTION("""COMPUTED_VALUE"""),"formula2")</f>
        <v>formula2</v>
      </c>
      <c r="B12" s="38" t="str">
        <f ca="1">IFERROR(__xludf.DUMMYFUNCTION("""COMPUTED_VALUE"""),"R88")</f>
        <v>R88</v>
      </c>
      <c r="C12" s="39">
        <f ca="1">IFERROR(__xludf.DUMMYFUNCTION("""COMPUTED_VALUE"""),1000000)</f>
        <v>1000000</v>
      </c>
      <c r="D12" s="39" t="str">
        <f ca="1">IFERROR(__xludf.DUMMYFUNCTION("""COMPUTED_VALUE"""),"Circuitos")</f>
        <v>Circuitos</v>
      </c>
      <c r="E12" s="40" t="str">
        <f ca="1">IFERROR(__xludf.DUMMYFUNCTION("""COMPUTED_VALUE"""),"https://docs.fivem.net/vehicles/formula2.webp")</f>
        <v>https://docs.fivem.net/vehicles/formula2.webp</v>
      </c>
    </row>
    <row r="13" spans="1:5" ht="15.75" customHeight="1" x14ac:dyDescent="0.4">
      <c r="A13" s="38" t="str">
        <f ca="1">IFERROR(__xludf.DUMMYFUNCTION("""COMPUTED_VALUE"""),"openwheel1")</f>
        <v>openwheel1</v>
      </c>
      <c r="B13" s="38" t="str">
        <f ca="1">IFERROR(__xludf.DUMMYFUNCTION("""COMPUTED_VALUE"""),"BR8")</f>
        <v>BR8</v>
      </c>
      <c r="C13" s="39">
        <f ca="1">IFERROR(__xludf.DUMMYFUNCTION("""COMPUTED_VALUE"""),2000000)</f>
        <v>2000000</v>
      </c>
      <c r="D13" s="39" t="str">
        <f ca="1">IFERROR(__xludf.DUMMYFUNCTION("""COMPUTED_VALUE"""),"Circuitos")</f>
        <v>Circuitos</v>
      </c>
      <c r="E13" s="40" t="str">
        <f ca="1">IFERROR(__xludf.DUMMYFUNCTION("""COMPUTED_VALUE"""),"https://docs.fivem.net/vehicles/openwheel1.webp")</f>
        <v>https://docs.fivem.net/vehicles/openwheel1.webp</v>
      </c>
    </row>
    <row r="14" spans="1:5" ht="15.75" customHeight="1" x14ac:dyDescent="0.4">
      <c r="A14" s="38" t="str">
        <f ca="1">IFERROR(__xludf.DUMMYFUNCTION("""COMPUTED_VALUE"""),"openwheel2")</f>
        <v>openwheel2</v>
      </c>
      <c r="B14" s="38" t="str">
        <f ca="1">IFERROR(__xludf.DUMMYFUNCTION("""COMPUTED_VALUE"""),"DR1")</f>
        <v>DR1</v>
      </c>
      <c r="C14" s="39">
        <f ca="1">IFERROR(__xludf.DUMMYFUNCTION("""COMPUTED_VALUE"""),1500000)</f>
        <v>1500000</v>
      </c>
      <c r="D14" s="39" t="str">
        <f ca="1">IFERROR(__xludf.DUMMYFUNCTION("""COMPUTED_VALUE"""),"Circuitos")</f>
        <v>Circuitos</v>
      </c>
      <c r="E14" s="40" t="str">
        <f ca="1">IFERROR(__xludf.DUMMYFUNCTION("""COMPUTED_VALUE"""),"https://docs.fivem.net/vehicles/openwheel2.webp")</f>
        <v>https://docs.fivem.net/vehicles/openwheel2.webp</v>
      </c>
    </row>
    <row r="15" spans="1:5" ht="15.75" customHeight="1" x14ac:dyDescent="0.4">
      <c r="A15" s="38" t="str">
        <f ca="1">IFERROR(__xludf.DUMMYFUNCTION("""COMPUTED_VALUE"""),"asbo")</f>
        <v>asbo</v>
      </c>
      <c r="B15" s="38" t="str">
        <f ca="1">IFERROR(__xludf.DUMMYFUNCTION("""COMPUTED_VALUE"""),"Asbo")</f>
        <v>Asbo</v>
      </c>
      <c r="C15" s="39">
        <f ca="1">IFERROR(__xludf.DUMMYFUNCTION("""COMPUTED_VALUE"""),2500)</f>
        <v>2500</v>
      </c>
      <c r="D15" s="39" t="str">
        <f ca="1">IFERROR(__xludf.DUMMYFUNCTION("""COMPUTED_VALUE"""),"Compactos")</f>
        <v>Compactos</v>
      </c>
      <c r="E15" s="40" t="str">
        <f ca="1">IFERROR(__xludf.DUMMYFUNCTION("""COMPUTED_VALUE"""),"https://docs.fivem.net/vehicles/asbo.webp")</f>
        <v>https://docs.fivem.net/vehicles/asbo.webp</v>
      </c>
    </row>
    <row r="16" spans="1:5" ht="15.75" customHeight="1" x14ac:dyDescent="0.4">
      <c r="A16" s="38" t="str">
        <f ca="1">IFERROR(__xludf.DUMMYFUNCTION("""COMPUTED_VALUE"""),"blista")</f>
        <v>blista</v>
      </c>
      <c r="B16" s="38" t="str">
        <f ca="1">IFERROR(__xludf.DUMMYFUNCTION("""COMPUTED_VALUE"""),"Blista")</f>
        <v>Blista</v>
      </c>
      <c r="C16" s="39">
        <f ca="1">IFERROR(__xludf.DUMMYFUNCTION("""COMPUTED_VALUE"""),4000)</f>
        <v>4000</v>
      </c>
      <c r="D16" s="39" t="str">
        <f ca="1">IFERROR(__xludf.DUMMYFUNCTION("""COMPUTED_VALUE"""),"Compactos")</f>
        <v>Compactos</v>
      </c>
      <c r="E16" s="40" t="str">
        <f ca="1">IFERROR(__xludf.DUMMYFUNCTION("""COMPUTED_VALUE"""),"https://docs.fivem.net/vehicles/blista.webp")</f>
        <v>https://docs.fivem.net/vehicles/blista.webp</v>
      </c>
    </row>
    <row r="17" spans="1:5" ht="15.75" customHeight="1" x14ac:dyDescent="0.4">
      <c r="A17" s="38" t="str">
        <f ca="1">IFERROR(__xludf.DUMMYFUNCTION("""COMPUTED_VALUE"""),"blista2")</f>
        <v>blista2</v>
      </c>
      <c r="B17" s="38" t="str">
        <f ca="1">IFERROR(__xludf.DUMMYFUNCTION("""COMPUTED_VALUE"""),"Blista Compact")</f>
        <v>Blista Compact</v>
      </c>
      <c r="C17" s="39">
        <f ca="1">IFERROR(__xludf.DUMMYFUNCTION("""COMPUTED_VALUE"""),15000)</f>
        <v>15000</v>
      </c>
      <c r="D17" s="39" t="str">
        <f ca="1">IFERROR(__xludf.DUMMYFUNCTION("""COMPUTED_VALUE"""),"Compactos")</f>
        <v>Compactos</v>
      </c>
      <c r="E17" s="40" t="str">
        <f ca="1">IFERROR(__xludf.DUMMYFUNCTION("""COMPUTED_VALUE"""),"https://docs.fivem.net/vehicles/blista2.webp")</f>
        <v>https://docs.fivem.net/vehicles/blista2.webp</v>
      </c>
    </row>
    <row r="18" spans="1:5" ht="15.75" customHeight="1" x14ac:dyDescent="0.4">
      <c r="A18" s="38" t="str">
        <f ca="1">IFERROR(__xludf.DUMMYFUNCTION("""COMPUTED_VALUE"""),"blista3")</f>
        <v>blista3</v>
      </c>
      <c r="B18" s="38" t="str">
        <f ca="1">IFERROR(__xludf.DUMMYFUNCTION("""COMPUTED_VALUE"""),"Blista Go Go Monkey")</f>
        <v>Blista Go Go Monkey</v>
      </c>
      <c r="C18" s="39">
        <f ca="1">IFERROR(__xludf.DUMMYFUNCTION("""COMPUTED_VALUE"""),15000)</f>
        <v>15000</v>
      </c>
      <c r="D18" s="39" t="str">
        <f ca="1">IFERROR(__xludf.DUMMYFUNCTION("""COMPUTED_VALUE"""),"Compactos")</f>
        <v>Compactos</v>
      </c>
      <c r="E18" s="40" t="str">
        <f ca="1">IFERROR(__xludf.DUMMYFUNCTION("""COMPUTED_VALUE"""),"https://docs.fivem.net/vehicles/blista3.webp")</f>
        <v>https://docs.fivem.net/vehicles/blista3.webp</v>
      </c>
    </row>
    <row r="19" spans="1:5" ht="15.75" customHeight="1" x14ac:dyDescent="0.4">
      <c r="A19" s="38" t="str">
        <f ca="1">IFERROR(__xludf.DUMMYFUNCTION("""COMPUTED_VALUE"""),"boor")</f>
        <v>boor</v>
      </c>
      <c r="B19" s="38" t="str">
        <f ca="1">IFERROR(__xludf.DUMMYFUNCTION("""COMPUTED_VALUE"""),"Boor")</f>
        <v>Boor</v>
      </c>
      <c r="C19" s="39">
        <f ca="1">IFERROR(__xludf.DUMMYFUNCTION("""COMPUTED_VALUE"""),13500)</f>
        <v>13500</v>
      </c>
      <c r="D19" s="39" t="str">
        <f ca="1">IFERROR(__xludf.DUMMYFUNCTION("""COMPUTED_VALUE"""),"Compactos")</f>
        <v>Compactos</v>
      </c>
      <c r="E19" s="40" t="str">
        <f ca="1">IFERROR(__xludf.DUMMYFUNCTION("""COMPUTED_VALUE"""),"https://docs.fivem.net/vehicles/boor.webp")</f>
        <v>https://docs.fivem.net/vehicles/boor.webp</v>
      </c>
    </row>
    <row r="20" spans="1:5" ht="15.75" customHeight="1" x14ac:dyDescent="0.4">
      <c r="A20" s="38" t="str">
        <f ca="1">IFERROR(__xludf.DUMMYFUNCTION("""COMPUTED_VALUE"""),"brioso")</f>
        <v>brioso</v>
      </c>
      <c r="B20" s="38" t="str">
        <f ca="1">IFERROR(__xludf.DUMMYFUNCTION("""COMPUTED_VALUE"""),"Brioso R/A")</f>
        <v>Brioso R/A</v>
      </c>
      <c r="C20" s="39">
        <f ca="1">IFERROR(__xludf.DUMMYFUNCTION("""COMPUTED_VALUE"""),13500)</f>
        <v>13500</v>
      </c>
      <c r="D20" s="39" t="str">
        <f ca="1">IFERROR(__xludf.DUMMYFUNCTION("""COMPUTED_VALUE"""),"Compactos")</f>
        <v>Compactos</v>
      </c>
      <c r="E20" s="40" t="str">
        <f ca="1">IFERROR(__xludf.DUMMYFUNCTION("""COMPUTED_VALUE"""),"https://docs.fivem.net/vehicles/lectro.webp")</f>
        <v>https://docs.fivem.net/vehicles/lectro.webp</v>
      </c>
    </row>
    <row r="21" spans="1:5" ht="15.75" customHeight="1" x14ac:dyDescent="0.4">
      <c r="A21" s="38" t="str">
        <f ca="1">IFERROR(__xludf.DUMMYFUNCTION("""COMPUTED_VALUE"""),"brioso2")</f>
        <v>brioso2</v>
      </c>
      <c r="B21" s="38" t="str">
        <f ca="1">IFERROR(__xludf.DUMMYFUNCTION("""COMPUTED_VALUE"""),"Brioso 300")</f>
        <v>Brioso 300</v>
      </c>
      <c r="C21" s="39">
        <f ca="1">IFERROR(__xludf.DUMMYFUNCTION("""COMPUTED_VALUE"""),4500)</f>
        <v>4500</v>
      </c>
      <c r="D21" s="39" t="str">
        <f ca="1">IFERROR(__xludf.DUMMYFUNCTION("""COMPUTED_VALUE"""),"Compactos")</f>
        <v>Compactos</v>
      </c>
      <c r="E21" s="40" t="str">
        <f ca="1">IFERROR(__xludf.DUMMYFUNCTION("""COMPUTED_VALUE"""),"https://docs.fivem.net/vehicles/brioso2.webp")</f>
        <v>https://docs.fivem.net/vehicles/brioso2.webp</v>
      </c>
    </row>
    <row r="22" spans="1:5" ht="15.75" customHeight="1" x14ac:dyDescent="0.4">
      <c r="A22" s="38" t="str">
        <f ca="1">IFERROR(__xludf.DUMMYFUNCTION("""COMPUTED_VALUE"""),"club")</f>
        <v>club</v>
      </c>
      <c r="B22" s="38" t="str">
        <f ca="1">IFERROR(__xludf.DUMMYFUNCTION("""COMPUTED_VALUE"""),"Club")</f>
        <v>Club</v>
      </c>
      <c r="C22" s="39">
        <f ca="1">IFERROR(__xludf.DUMMYFUNCTION("""COMPUTED_VALUE"""),12500)</f>
        <v>12500</v>
      </c>
      <c r="D22" s="39" t="str">
        <f ca="1">IFERROR(__xludf.DUMMYFUNCTION("""COMPUTED_VALUE"""),"Compactos")</f>
        <v>Compactos</v>
      </c>
      <c r="E22" s="40" t="str">
        <f ca="1">IFERROR(__xludf.DUMMYFUNCTION("""COMPUTED_VALUE"""),"https://docs.fivem.net/vehicles/club.webp")</f>
        <v>https://docs.fivem.net/vehicles/club.webp</v>
      </c>
    </row>
    <row r="23" spans="1:5" ht="15.75" customHeight="1" x14ac:dyDescent="0.4">
      <c r="A23" s="38" t="str">
        <f ca="1">IFERROR(__xludf.DUMMYFUNCTION("""COMPUTED_VALUE"""),"dilettante")</f>
        <v>dilettante</v>
      </c>
      <c r="B23" s="38" t="str">
        <f ca="1">IFERROR(__xludf.DUMMYFUNCTION("""COMPUTED_VALUE"""),"Dilettante")</f>
        <v>Dilettante</v>
      </c>
      <c r="C23" s="39">
        <f ca="1">IFERROR(__xludf.DUMMYFUNCTION("""COMPUTED_VALUE"""),9000)</f>
        <v>9000</v>
      </c>
      <c r="D23" s="39" t="str">
        <f ca="1">IFERROR(__xludf.DUMMYFUNCTION("""COMPUTED_VALUE"""),"Compactos")</f>
        <v>Compactos</v>
      </c>
      <c r="E23" s="40" t="str">
        <f ca="1">IFERROR(__xludf.DUMMYFUNCTION("""COMPUTED_VALUE"""),"https://docs.fivem.net/vehicles/dilettante.webp")</f>
        <v>https://docs.fivem.net/vehicles/dilettante.webp</v>
      </c>
    </row>
    <row r="24" spans="1:5" ht="15.75" customHeight="1" x14ac:dyDescent="0.4">
      <c r="A24" s="38" t="str">
        <f ca="1">IFERROR(__xludf.DUMMYFUNCTION("""COMPUTED_VALUE"""),"issi2")</f>
        <v>issi2</v>
      </c>
      <c r="B24" s="38" t="str">
        <f ca="1">IFERROR(__xludf.DUMMYFUNCTION("""COMPUTED_VALUE"""),"Issi")</f>
        <v>Issi</v>
      </c>
      <c r="C24" s="39">
        <f ca="1">IFERROR(__xludf.DUMMYFUNCTION("""COMPUTED_VALUE"""),7000)</f>
        <v>7000</v>
      </c>
      <c r="D24" s="39" t="str">
        <f ca="1">IFERROR(__xludf.DUMMYFUNCTION("""COMPUTED_VALUE"""),"Compactos")</f>
        <v>Compactos</v>
      </c>
      <c r="E24" s="40" t="str">
        <f ca="1">IFERROR(__xludf.DUMMYFUNCTION("""COMPUTED_VALUE"""),"https://docs.fivem.net/vehicles/issi2.webp")</f>
        <v>https://docs.fivem.net/vehicles/issi2.webp</v>
      </c>
    </row>
    <row r="25" spans="1:5" ht="15.75" customHeight="1" x14ac:dyDescent="0.4">
      <c r="A25" s="38" t="str">
        <f ca="1">IFERROR(__xludf.DUMMYFUNCTION("""COMPUTED_VALUE"""),"issi3")</f>
        <v>issi3</v>
      </c>
      <c r="B25" s="38" t="str">
        <f ca="1">IFERROR(__xludf.DUMMYFUNCTION("""COMPUTED_VALUE"""),"Issi Classic")</f>
        <v>Issi Classic</v>
      </c>
      <c r="C25" s="39">
        <f ca="1">IFERROR(__xludf.DUMMYFUNCTION("""COMPUTED_VALUE"""),3900)</f>
        <v>3900</v>
      </c>
      <c r="D25" s="39" t="str">
        <f ca="1">IFERROR(__xludf.DUMMYFUNCTION("""COMPUTED_VALUE"""),"Compactos")</f>
        <v>Compactos</v>
      </c>
      <c r="E25" s="40" t="str">
        <f ca="1">IFERROR(__xludf.DUMMYFUNCTION("""COMPUTED_VALUE"""),"https://docs.fivem.net/vehicles/issi3.webp")</f>
        <v>https://docs.fivem.net/vehicles/issi3.webp</v>
      </c>
    </row>
    <row r="26" spans="1:5" ht="15.75" customHeight="1" x14ac:dyDescent="0.4">
      <c r="A26" s="38" t="str">
        <f ca="1">IFERROR(__xludf.DUMMYFUNCTION("""COMPUTED_VALUE"""),"issi4")</f>
        <v>issi4</v>
      </c>
      <c r="B26" s="38" t="str">
        <f ca="1">IFERROR(__xludf.DUMMYFUNCTION("""COMPUTED_VALUE"""),"Issi Arena")</f>
        <v>Issi Arena</v>
      </c>
      <c r="C26" s="39">
        <f ca="1">IFERROR(__xludf.DUMMYFUNCTION("""COMPUTED_VALUE"""),61000)</f>
        <v>61000</v>
      </c>
      <c r="D26" s="39" t="str">
        <f ca="1">IFERROR(__xludf.DUMMYFUNCTION("""COMPUTED_VALUE"""),"Compactos")</f>
        <v>Compactos</v>
      </c>
      <c r="E26" s="40" t="str">
        <f ca="1">IFERROR(__xludf.DUMMYFUNCTION("""COMPUTED_VALUE"""),"https://docs.fivem.net/vehicles/issi4.webp")</f>
        <v>https://docs.fivem.net/vehicles/issi4.webp</v>
      </c>
    </row>
    <row r="27" spans="1:5" ht="15.75" customHeight="1" x14ac:dyDescent="0.4">
      <c r="A27" s="38" t="str">
        <f ca="1">IFERROR(__xludf.DUMMYFUNCTION("""COMPUTED_VALUE"""),"issi5")</f>
        <v>issi5</v>
      </c>
      <c r="B27" s="38" t="str">
        <f ca="1">IFERROR(__xludf.DUMMYFUNCTION("""COMPUTED_VALUE"""),"Issi Future Shock")</f>
        <v>Issi Future Shock</v>
      </c>
      <c r="C27" s="39">
        <f ca="1">IFERROR(__xludf.DUMMYFUNCTION("""COMPUTED_VALUE"""),68500)</f>
        <v>68500</v>
      </c>
      <c r="D27" s="39" t="str">
        <f ca="1">IFERROR(__xludf.DUMMYFUNCTION("""COMPUTED_VALUE"""),"Compactos")</f>
        <v>Compactos</v>
      </c>
      <c r="E27" s="40" t="str">
        <f ca="1">IFERROR(__xludf.DUMMYFUNCTION("""COMPUTED_VALUE"""),"https://docs.fivem.net/vehicles/issi5.webp")</f>
        <v>https://docs.fivem.net/vehicles/issi5.webp</v>
      </c>
    </row>
    <row r="28" spans="1:5" ht="15.75" customHeight="1" x14ac:dyDescent="0.4">
      <c r="A28" s="38" t="str">
        <f ca="1">IFERROR(__xludf.DUMMYFUNCTION("""COMPUTED_VALUE"""),"issi6")</f>
        <v>issi6</v>
      </c>
      <c r="B28" s="38" t="str">
        <f ca="1">IFERROR(__xludf.DUMMYFUNCTION("""COMPUTED_VALUE"""),"Issi Nightmare")</f>
        <v>Issi Nightmare</v>
      </c>
      <c r="C28" s="39">
        <f ca="1">IFERROR(__xludf.DUMMYFUNCTION("""COMPUTED_VALUE"""),70000)</f>
        <v>70000</v>
      </c>
      <c r="D28" s="39" t="str">
        <f ca="1">IFERROR(__xludf.DUMMYFUNCTION("""COMPUTED_VALUE"""),"Compactos")</f>
        <v>Compactos</v>
      </c>
      <c r="E28" s="40" t="str">
        <f ca="1">IFERROR(__xludf.DUMMYFUNCTION("""COMPUTED_VALUE"""),"https://docs.fivem.net/vehicles/issi6.webp")</f>
        <v>https://docs.fivem.net/vehicles/issi6.webp</v>
      </c>
    </row>
    <row r="29" spans="1:5" ht="15.75" customHeight="1" x14ac:dyDescent="0.4">
      <c r="A29" s="38" t="str">
        <f ca="1">IFERROR(__xludf.DUMMYFUNCTION("""COMPUTED_VALUE"""),"issi7")</f>
        <v>issi7</v>
      </c>
      <c r="B29" s="38" t="str">
        <f ca="1">IFERROR(__xludf.DUMMYFUNCTION("""COMPUTED_VALUE"""),"Issi Sport")</f>
        <v>Issi Sport</v>
      </c>
      <c r="C29" s="39">
        <f ca="1">IFERROR(__xludf.DUMMYFUNCTION("""COMPUTED_VALUE"""),150000)</f>
        <v>150000</v>
      </c>
      <c r="D29" s="39" t="str">
        <f ca="1">IFERROR(__xludf.DUMMYFUNCTION("""COMPUTED_VALUE"""),"Compactos")</f>
        <v>Compactos</v>
      </c>
      <c r="E29" s="40" t="str">
        <f ca="1">IFERROR(__xludf.DUMMYFUNCTION("""COMPUTED_VALUE"""),"https://docs.fivem.net/vehicles/issi7.webp")</f>
        <v>https://docs.fivem.net/vehicles/issi7.webp</v>
      </c>
    </row>
    <row r="30" spans="1:5" ht="15.75" customHeight="1" x14ac:dyDescent="0.4">
      <c r="A30" s="38" t="str">
        <f ca="1">IFERROR(__xludf.DUMMYFUNCTION("""COMPUTED_VALUE"""),"issi8")</f>
        <v>issi8</v>
      </c>
      <c r="B30" s="38" t="str">
        <f ca="1">IFERROR(__xludf.DUMMYFUNCTION("""COMPUTED_VALUE"""),"Issi Rally")</f>
        <v>Issi Rally</v>
      </c>
      <c r="C30" s="39">
        <f ca="1">IFERROR(__xludf.DUMMYFUNCTION("""COMPUTED_VALUE"""),140000)</f>
        <v>140000</v>
      </c>
      <c r="D30" s="39" t="str">
        <f ca="1">IFERROR(__xludf.DUMMYFUNCTION("""COMPUTED_VALUE"""),"Compactos")</f>
        <v>Compactos</v>
      </c>
      <c r="E30" s="40" t="str">
        <f ca="1">IFERROR(__xludf.DUMMYFUNCTION("""COMPUTED_VALUE"""),"https://docs.fivem.net/vehicles/issi8.webp")</f>
        <v>https://docs.fivem.net/vehicles/issi8.webp</v>
      </c>
    </row>
    <row r="31" spans="1:5" ht="15.75" customHeight="1" x14ac:dyDescent="0.4">
      <c r="A31" s="38" t="str">
        <f ca="1">IFERROR(__xludf.DUMMYFUNCTION("""COMPUTED_VALUE"""),"kanjo")</f>
        <v>kanjo</v>
      </c>
      <c r="B31" s="38" t="str">
        <f ca="1">IFERROR(__xludf.DUMMYFUNCTION("""COMPUTED_VALUE"""),"Blista Kanjo")</f>
        <v>Blista Kanjo</v>
      </c>
      <c r="C31" s="39">
        <f ca="1">IFERROR(__xludf.DUMMYFUNCTION("""COMPUTED_VALUE"""),12000)</f>
        <v>12000</v>
      </c>
      <c r="D31" s="39" t="str">
        <f ca="1">IFERROR(__xludf.DUMMYFUNCTION("""COMPUTED_VALUE"""),"Compactos")</f>
        <v>Compactos</v>
      </c>
      <c r="E31" s="40" t="str">
        <f ca="1">IFERROR(__xludf.DUMMYFUNCTION("""COMPUTED_VALUE"""),"https://docs.fivem.net/vehicles/kanjo.webp")</f>
        <v>https://docs.fivem.net/vehicles/kanjo.webp</v>
      </c>
    </row>
    <row r="32" spans="1:5" ht="15.75" customHeight="1" x14ac:dyDescent="0.4">
      <c r="A32" s="38" t="str">
        <f ca="1">IFERROR(__xludf.DUMMYFUNCTION("""COMPUTED_VALUE"""),"panto")</f>
        <v>panto</v>
      </c>
      <c r="B32" s="38" t="str">
        <f ca="1">IFERROR(__xludf.DUMMYFUNCTION("""COMPUTED_VALUE"""),"Panto")</f>
        <v>Panto</v>
      </c>
      <c r="C32" s="39">
        <f ca="1">IFERROR(__xludf.DUMMYFUNCTION("""COMPUTED_VALUE"""),9000)</f>
        <v>9000</v>
      </c>
      <c r="D32" s="39" t="str">
        <f ca="1">IFERROR(__xludf.DUMMYFUNCTION("""COMPUTED_VALUE"""),"Compactos")</f>
        <v>Compactos</v>
      </c>
      <c r="E32" s="40" t="str">
        <f ca="1">IFERROR(__xludf.DUMMYFUNCTION("""COMPUTED_VALUE"""),"https://docs.fivem.net/vehicles/panto.webp")</f>
        <v>https://docs.fivem.net/vehicles/panto.webp</v>
      </c>
    </row>
    <row r="33" spans="1:5" ht="15.75" customHeight="1" x14ac:dyDescent="0.4">
      <c r="A33" s="38" t="str">
        <f ca="1">IFERROR(__xludf.DUMMYFUNCTION("""COMPUTED_VALUE"""),"prairie")</f>
        <v>prairie</v>
      </c>
      <c r="B33" s="38" t="str">
        <f ca="1">IFERROR(__xludf.DUMMYFUNCTION("""COMPUTED_VALUE"""),"Prairie")</f>
        <v>Prairie</v>
      </c>
      <c r="C33" s="39">
        <f ca="1">IFERROR(__xludf.DUMMYFUNCTION("""COMPUTED_VALUE"""),8500)</f>
        <v>8500</v>
      </c>
      <c r="D33" s="39" t="str">
        <f ca="1">IFERROR(__xludf.DUMMYFUNCTION("""COMPUTED_VALUE"""),"Compactos")</f>
        <v>Compactos</v>
      </c>
      <c r="E33" s="40" t="str">
        <f ca="1">IFERROR(__xludf.DUMMYFUNCTION("""COMPUTED_VALUE"""),"https://docs.fivem.net/vehicles/prairie.webp")</f>
        <v>https://docs.fivem.net/vehicles/prairie.webp</v>
      </c>
    </row>
    <row r="34" spans="1:5" ht="15.75" customHeight="1" x14ac:dyDescent="0.4">
      <c r="A34" s="38" t="str">
        <f ca="1">IFERROR(__xludf.DUMMYFUNCTION("""COMPUTED_VALUE"""),"rhapsody")</f>
        <v>rhapsody</v>
      </c>
      <c r="B34" s="38" t="str">
        <f ca="1">IFERROR(__xludf.DUMMYFUNCTION("""COMPUTED_VALUE"""),"Rhapsody")</f>
        <v>Rhapsody</v>
      </c>
      <c r="C34" s="39">
        <f ca="1">IFERROR(__xludf.DUMMYFUNCTION("""COMPUTED_VALUE"""),12500)</f>
        <v>12500</v>
      </c>
      <c r="D34" s="39" t="str">
        <f ca="1">IFERROR(__xludf.DUMMYFUNCTION("""COMPUTED_VALUE"""),"Compactos")</f>
        <v>Compactos</v>
      </c>
      <c r="E34" s="40" t="str">
        <f ca="1">IFERROR(__xludf.DUMMYFUNCTION("""COMPUTED_VALUE"""),"https://docs.fivem.net/vehicles/rhapsody.webp")</f>
        <v>https://docs.fivem.net/vehicles/rhapsody.webp</v>
      </c>
    </row>
    <row r="35" spans="1:5" ht="15.75" customHeight="1" x14ac:dyDescent="0.4">
      <c r="A35" s="38" t="str">
        <f ca="1">IFERROR(__xludf.DUMMYFUNCTION("""COMPUTED_VALUE"""),"weevil")</f>
        <v>weevil</v>
      </c>
      <c r="B35" s="38" t="str">
        <f ca="1">IFERROR(__xludf.DUMMYFUNCTION("""COMPUTED_VALUE"""),"Weevil")</f>
        <v>Weevil</v>
      </c>
      <c r="C35" s="39">
        <f ca="1">IFERROR(__xludf.DUMMYFUNCTION("""COMPUTED_VALUE"""),4500)</f>
        <v>4500</v>
      </c>
      <c r="D35" s="39" t="str">
        <f ca="1">IFERROR(__xludf.DUMMYFUNCTION("""COMPUTED_VALUE"""),"Compactos")</f>
        <v>Compactos</v>
      </c>
      <c r="E35" s="40" t="str">
        <f ca="1">IFERROR(__xludf.DUMMYFUNCTION("""COMPUTED_VALUE"""),"https://docs.fivem.net/vehicles/weevil.webp")</f>
        <v>https://docs.fivem.net/vehicles/weevil.webp</v>
      </c>
    </row>
    <row r="36" spans="1:5" ht="15.75" customHeight="1" x14ac:dyDescent="0.4">
      <c r="A36" s="38" t="str">
        <f ca="1">IFERROR(__xludf.DUMMYFUNCTION("""COMPUTED_VALUE"""),"broadway")</f>
        <v>broadway</v>
      </c>
      <c r="B36" s="38" t="str">
        <f ca="1">IFERROR(__xludf.DUMMYFUNCTION("""COMPUTED_VALUE"""),"Broadway")</f>
        <v>Broadway</v>
      </c>
      <c r="C36" s="39">
        <f ca="1">IFERROR(__xludf.DUMMYFUNCTION("""COMPUTED_VALUE"""),29000)</f>
        <v>29000</v>
      </c>
      <c r="D36" s="39" t="str">
        <f ca="1">IFERROR(__xludf.DUMMYFUNCTION("""COMPUTED_VALUE"""),"Coupes")</f>
        <v>Coupes</v>
      </c>
      <c r="E36" s="40" t="str">
        <f ca="1">IFERROR(__xludf.DUMMYFUNCTION("""COMPUTED_VALUE"""),"https://docs.fivem.net/vehicles/broadway.webp")</f>
        <v>https://docs.fivem.net/vehicles/broadway.webp</v>
      </c>
    </row>
    <row r="37" spans="1:5" ht="15.75" customHeight="1" x14ac:dyDescent="0.4">
      <c r="A37" s="38" t="str">
        <f ca="1">IFERROR(__xludf.DUMMYFUNCTION("""COMPUTED_VALUE"""),"champion")</f>
        <v>champion</v>
      </c>
      <c r="B37" s="38" t="str">
        <f ca="1">IFERROR(__xludf.DUMMYFUNCTION("""COMPUTED_VALUE"""),"Champion")</f>
        <v>Champion</v>
      </c>
      <c r="C37" s="39">
        <f ca="1">IFERROR(__xludf.DUMMYFUNCTION("""COMPUTED_VALUE"""),125000)</f>
        <v>125000</v>
      </c>
      <c r="D37" s="39" t="str">
        <f ca="1">IFERROR(__xludf.DUMMYFUNCTION("""COMPUTED_VALUE"""),"Coupes")</f>
        <v>Coupes</v>
      </c>
      <c r="E37" s="40" t="str">
        <f ca="1">IFERROR(__xludf.DUMMYFUNCTION("""COMPUTED_VALUE"""),"https://docs.fivem.net/vehicles/champion.webp")</f>
        <v>https://docs.fivem.net/vehicles/champion.webp</v>
      </c>
    </row>
    <row r="38" spans="1:5" ht="15.75" customHeight="1" x14ac:dyDescent="0.4">
      <c r="A38" s="38" t="str">
        <f ca="1">IFERROR(__xludf.DUMMYFUNCTION("""COMPUTED_VALUE"""),"cogcabrio")</f>
        <v>cogcabrio</v>
      </c>
      <c r="B38" s="38" t="str">
        <f ca="1">IFERROR(__xludf.DUMMYFUNCTION("""COMPUTED_VALUE"""),"Cognoscenti Cabrio")</f>
        <v>Cognoscenti Cabrio</v>
      </c>
      <c r="C38" s="39">
        <f ca="1">IFERROR(__xludf.DUMMYFUNCTION("""COMPUTED_VALUE"""),14000)</f>
        <v>14000</v>
      </c>
      <c r="D38" s="39" t="str">
        <f ca="1">IFERROR(__xludf.DUMMYFUNCTION("""COMPUTED_VALUE"""),"Coupes")</f>
        <v>Coupes</v>
      </c>
      <c r="E38" s="40" t="str">
        <f ca="1">IFERROR(__xludf.DUMMYFUNCTION("""COMPUTED_VALUE"""),"https://docs.fivem.net/vehicles/cogcabrio.webp")</f>
        <v>https://docs.fivem.net/vehicles/cogcabrio.webp</v>
      </c>
    </row>
    <row r="39" spans="1:5" ht="15.75" customHeight="1" x14ac:dyDescent="0.4">
      <c r="A39" s="38" t="str">
        <f ca="1">IFERROR(__xludf.DUMMYFUNCTION("""COMPUTED_VALUE"""),"cognoscenti")</f>
        <v>cognoscenti</v>
      </c>
      <c r="B39" s="38" t="str">
        <f ca="1">IFERROR(__xludf.DUMMYFUNCTION("""COMPUTED_VALUE"""),"Cognoscenti")</f>
        <v>Cognoscenti</v>
      </c>
      <c r="C39" s="39">
        <f ca="1">IFERROR(__xludf.DUMMYFUNCTION("""COMPUTED_VALUE"""),12000)</f>
        <v>12000</v>
      </c>
      <c r="D39" s="39" t="str">
        <f ca="1">IFERROR(__xludf.DUMMYFUNCTION("""COMPUTED_VALUE"""),"Coupes")</f>
        <v>Coupes</v>
      </c>
      <c r="E39" s="40" t="str">
        <f ca="1">IFERROR(__xludf.DUMMYFUNCTION("""COMPUTED_VALUE"""),"https://docs.fivem.net/vehicles/cognoscenti.webp")</f>
        <v>https://docs.fivem.net/vehicles/cognoscenti.webp</v>
      </c>
    </row>
    <row r="40" spans="1:5" ht="15.75" customHeight="1" x14ac:dyDescent="0.4">
      <c r="A40" s="38" t="str">
        <f ca="1">IFERROR(__xludf.DUMMYFUNCTION("""COMPUTED_VALUE"""),"exemplar")</f>
        <v>exemplar</v>
      </c>
      <c r="B40" s="38" t="str">
        <f ca="1">IFERROR(__xludf.DUMMYFUNCTION("""COMPUTED_VALUE"""),"Exemplar")</f>
        <v>Exemplar</v>
      </c>
      <c r="C40" s="39">
        <f ca="1">IFERROR(__xludf.DUMMYFUNCTION("""COMPUTED_VALUE"""),40000)</f>
        <v>40000</v>
      </c>
      <c r="D40" s="39" t="str">
        <f ca="1">IFERROR(__xludf.DUMMYFUNCTION("""COMPUTED_VALUE"""),"Coupes")</f>
        <v>Coupes</v>
      </c>
      <c r="E40" s="40" t="str">
        <f ca="1">IFERROR(__xludf.DUMMYFUNCTION("""COMPUTED_VALUE"""),"https://docs.fivem.net/vehicles/exemplar.webp")</f>
        <v>https://docs.fivem.net/vehicles/exemplar.webp</v>
      </c>
    </row>
    <row r="41" spans="1:5" ht="15.75" customHeight="1" x14ac:dyDescent="0.4">
      <c r="A41" s="38" t="str">
        <f ca="1">IFERROR(__xludf.DUMMYFUNCTION("""COMPUTED_VALUE"""),"f620")</f>
        <v>f620</v>
      </c>
      <c r="B41" s="38" t="str">
        <f ca="1">IFERROR(__xludf.DUMMYFUNCTION("""COMPUTED_VALUE"""),"F620")</f>
        <v>F620</v>
      </c>
      <c r="C41" s="39">
        <f ca="1">IFERROR(__xludf.DUMMYFUNCTION("""COMPUTED_VALUE"""),52000)</f>
        <v>52000</v>
      </c>
      <c r="D41" s="39" t="str">
        <f ca="1">IFERROR(__xludf.DUMMYFUNCTION("""COMPUTED_VALUE"""),"Coupes")</f>
        <v>Coupes</v>
      </c>
      <c r="E41" s="40" t="str">
        <f ca="1">IFERROR(__xludf.DUMMYFUNCTION("""COMPUTED_VALUE"""),"https://docs.fivem.net/vehicles/f620.webp")</f>
        <v>https://docs.fivem.net/vehicles/f620.webp</v>
      </c>
    </row>
    <row r="42" spans="1:5" ht="15.75" customHeight="1" x14ac:dyDescent="0.4">
      <c r="A42" s="38" t="str">
        <f ca="1">IFERROR(__xludf.DUMMYFUNCTION("""COMPUTED_VALUE"""),"felon")</f>
        <v>felon</v>
      </c>
      <c r="B42" s="38" t="str">
        <f ca="1">IFERROR(__xludf.DUMMYFUNCTION("""COMPUTED_VALUE"""),"Felon")</f>
        <v>Felon</v>
      </c>
      <c r="C42" s="39">
        <f ca="1">IFERROR(__xludf.DUMMYFUNCTION("""COMPUTED_VALUE"""),52000)</f>
        <v>52000</v>
      </c>
      <c r="D42" s="39" t="str">
        <f ca="1">IFERROR(__xludf.DUMMYFUNCTION("""COMPUTED_VALUE"""),"Coupes")</f>
        <v>Coupes</v>
      </c>
      <c r="E42" s="40" t="str">
        <f ca="1">IFERROR(__xludf.DUMMYFUNCTION("""COMPUTED_VALUE"""),"https://docs.fivem.net/vehicles/felon.webp")</f>
        <v>https://docs.fivem.net/vehicles/felon.webp</v>
      </c>
    </row>
    <row r="43" spans="1:5" ht="15.75" customHeight="1" x14ac:dyDescent="0.4">
      <c r="A43" s="38" t="str">
        <f ca="1">IFERROR(__xludf.DUMMYFUNCTION("""COMPUTED_VALUE"""),"felon2")</f>
        <v>felon2</v>
      </c>
      <c r="B43" s="38" t="str">
        <f ca="1">IFERROR(__xludf.DUMMYFUNCTION("""COMPUTED_VALUE"""),"Felon GT")</f>
        <v>Felon GT</v>
      </c>
      <c r="C43" s="39">
        <f ca="1">IFERROR(__xludf.DUMMYFUNCTION("""COMPUTED_VALUE"""),54000)</f>
        <v>54000</v>
      </c>
      <c r="D43" s="39" t="str">
        <f ca="1">IFERROR(__xludf.DUMMYFUNCTION("""COMPUTED_VALUE"""),"Coupes")</f>
        <v>Coupes</v>
      </c>
      <c r="E43" s="40" t="str">
        <f ca="1">IFERROR(__xludf.DUMMYFUNCTION("""COMPUTED_VALUE"""),"https://docs.fivem.net/vehicles/felon2.webp")</f>
        <v>https://docs.fivem.net/vehicles/felon2.webp</v>
      </c>
    </row>
    <row r="44" spans="1:5" ht="15.75" customHeight="1" x14ac:dyDescent="0.4">
      <c r="A44" s="38" t="str">
        <f ca="1">IFERROR(__xludf.DUMMYFUNCTION("""COMPUTED_VALUE"""),"fr36")</f>
        <v>fr36</v>
      </c>
      <c r="B44" s="38" t="str">
        <f ca="1">IFERROR(__xludf.DUMMYFUNCTION("""COMPUTED_VALUE"""),"FR36")</f>
        <v>FR36</v>
      </c>
      <c r="C44" s="39">
        <f ca="1">IFERROR(__xludf.DUMMYFUNCTION("""COMPUTED_VALUE"""),63000)</f>
        <v>63000</v>
      </c>
      <c r="D44" s="39" t="str">
        <f ca="1">IFERROR(__xludf.DUMMYFUNCTION("""COMPUTED_VALUE"""),"Coupes")</f>
        <v>Coupes</v>
      </c>
      <c r="E44" s="40" t="str">
        <f ca="1">IFERROR(__xludf.DUMMYFUNCTION("""COMPUTED_VALUE"""),"https://docs.fivem.net/vehicles/fr36.webp")</f>
        <v>https://docs.fivem.net/vehicles/fr36.webp</v>
      </c>
    </row>
    <row r="45" spans="1:5" ht="15.75" customHeight="1" x14ac:dyDescent="0.4">
      <c r="A45" s="38" t="str">
        <f ca="1">IFERROR(__xludf.DUMMYFUNCTION("""COMPUTED_VALUE"""),"futo")</f>
        <v>futo</v>
      </c>
      <c r="B45" s="38" t="str">
        <f ca="1">IFERROR(__xludf.DUMMYFUNCTION("""COMPUTED_VALUE"""),"Futo")</f>
        <v>Futo</v>
      </c>
      <c r="C45" s="39">
        <f ca="1">IFERROR(__xludf.DUMMYFUNCTION("""COMPUTED_VALUE"""),25000)</f>
        <v>25000</v>
      </c>
      <c r="D45" s="39" t="str">
        <f ca="1">IFERROR(__xludf.DUMMYFUNCTION("""COMPUTED_VALUE"""),"Coupes")</f>
        <v>Coupes</v>
      </c>
      <c r="E45" s="40" t="str">
        <f ca="1">IFERROR(__xludf.DUMMYFUNCTION("""COMPUTED_VALUE"""),"https://docs.fivem.net/vehicles/futo.webp")</f>
        <v>https://docs.fivem.net/vehicles/futo.webp</v>
      </c>
    </row>
    <row r="46" spans="1:5" ht="15.75" customHeight="1" x14ac:dyDescent="0.4">
      <c r="A46" s="38" t="str">
        <f ca="1">IFERROR(__xludf.DUMMYFUNCTION("""COMPUTED_VALUE"""),"jackal")</f>
        <v>jackal</v>
      </c>
      <c r="B46" s="38" t="str">
        <f ca="1">IFERROR(__xludf.DUMMYFUNCTION("""COMPUTED_VALUE"""),"Jackal")</f>
        <v>Jackal</v>
      </c>
      <c r="C46" s="39">
        <f ca="1">IFERROR(__xludf.DUMMYFUNCTION("""COMPUTED_VALUE"""),51500)</f>
        <v>51500</v>
      </c>
      <c r="D46" s="39" t="str">
        <f ca="1">IFERROR(__xludf.DUMMYFUNCTION("""COMPUTED_VALUE"""),"Coupes")</f>
        <v>Coupes</v>
      </c>
      <c r="E46" s="40" t="str">
        <f ca="1">IFERROR(__xludf.DUMMYFUNCTION("""COMPUTED_VALUE"""),"https://docs.fivem.net/vehicles/jackal.webp")</f>
        <v>https://docs.fivem.net/vehicles/jackal.webp</v>
      </c>
    </row>
    <row r="47" spans="1:5" ht="15.75" customHeight="1" x14ac:dyDescent="0.4">
      <c r="A47" s="38" t="str">
        <f ca="1">IFERROR(__xludf.DUMMYFUNCTION("""COMPUTED_VALUE"""),"kanjosj")</f>
        <v>kanjosj</v>
      </c>
      <c r="B47" s="38" t="str">
        <f ca="1">IFERROR(__xludf.DUMMYFUNCTION("""COMPUTED_VALUE"""),"Kanjo SJ")</f>
        <v>Kanjo SJ</v>
      </c>
      <c r="C47" s="39">
        <f ca="1">IFERROR(__xludf.DUMMYFUNCTION("""COMPUTED_VALUE"""),14500)</f>
        <v>14500</v>
      </c>
      <c r="D47" s="39" t="str">
        <f ca="1">IFERROR(__xludf.DUMMYFUNCTION("""COMPUTED_VALUE"""),"Coupes")</f>
        <v>Coupes</v>
      </c>
      <c r="E47" s="40" t="str">
        <f ca="1">IFERROR(__xludf.DUMMYFUNCTION("""COMPUTED_VALUE"""),"https://docs.fivem.net/vehicles/kanjosj.webp")</f>
        <v>https://docs.fivem.net/vehicles/kanjosj.webp</v>
      </c>
    </row>
    <row r="48" spans="1:5" ht="15.75" customHeight="1" x14ac:dyDescent="0.4">
      <c r="A48" s="38" t="str">
        <f ca="1">IFERROR(__xludf.DUMMYFUNCTION("""COMPUTED_VALUE"""),"oracle2")</f>
        <v>oracle2</v>
      </c>
      <c r="B48" s="38" t="str">
        <f ca="1">IFERROR(__xludf.DUMMYFUNCTION("""COMPUTED_VALUE"""),"Oracle XS")</f>
        <v>Oracle XS</v>
      </c>
      <c r="C48" s="39">
        <f ca="1">IFERROR(__xludf.DUMMYFUNCTION("""COMPUTED_VALUE"""),39500)</f>
        <v>39500</v>
      </c>
      <c r="D48" s="39" t="str">
        <f ca="1">IFERROR(__xludf.DUMMYFUNCTION("""COMPUTED_VALUE"""),"Coupes")</f>
        <v>Coupes</v>
      </c>
      <c r="E48" s="40" t="str">
        <f ca="1">IFERROR(__xludf.DUMMYFUNCTION("""COMPUTED_VALUE"""),"https://docs.fivem.net/vehicles/oracle2.webp")</f>
        <v>https://docs.fivem.net/vehicles/oracle2.webp</v>
      </c>
    </row>
    <row r="49" spans="1:5" ht="15.75" customHeight="1" x14ac:dyDescent="0.4">
      <c r="A49" s="38" t="str">
        <f ca="1">IFERROR(__xludf.DUMMYFUNCTION("""COMPUTED_VALUE"""),"postlude")</f>
        <v>postlude</v>
      </c>
      <c r="B49" s="38" t="str">
        <f ca="1">IFERROR(__xludf.DUMMYFUNCTION("""COMPUTED_VALUE"""),"Postlude")</f>
        <v>Postlude</v>
      </c>
      <c r="C49" s="39">
        <f ca="1">IFERROR(__xludf.DUMMYFUNCTION("""COMPUTED_VALUE"""),27500)</f>
        <v>27500</v>
      </c>
      <c r="D49" s="39" t="str">
        <f ca="1">IFERROR(__xludf.DUMMYFUNCTION("""COMPUTED_VALUE"""),"Coupes")</f>
        <v>Coupes</v>
      </c>
      <c r="E49" s="40" t="str">
        <f ca="1">IFERROR(__xludf.DUMMYFUNCTION("""COMPUTED_VALUE"""),"https://docs.fivem.net/vehicles/postlude.webp")</f>
        <v>https://docs.fivem.net/vehicles/postlude.webp</v>
      </c>
    </row>
    <row r="50" spans="1:5" ht="15.75" customHeight="1" x14ac:dyDescent="0.4">
      <c r="A50" s="38" t="str">
        <f ca="1">IFERROR(__xludf.DUMMYFUNCTION("""COMPUTED_VALUE"""),"previon")</f>
        <v>previon</v>
      </c>
      <c r="B50" s="38" t="str">
        <f ca="1">IFERROR(__xludf.DUMMYFUNCTION("""COMPUTED_VALUE"""),"Previon")</f>
        <v>Previon</v>
      </c>
      <c r="C50" s="39">
        <f ca="1">IFERROR(__xludf.DUMMYFUNCTION("""COMPUTED_VALUE"""),15000)</f>
        <v>15000</v>
      </c>
      <c r="D50" s="39" t="str">
        <f ca="1">IFERROR(__xludf.DUMMYFUNCTION("""COMPUTED_VALUE"""),"Coupes")</f>
        <v>Coupes</v>
      </c>
      <c r="E50" s="40" t="str">
        <f ca="1">IFERROR(__xludf.DUMMYFUNCTION("""COMPUTED_VALUE"""),"https://docs.fivem.net/vehicles/previon.webp")</f>
        <v>https://docs.fivem.net/vehicles/previon.webp</v>
      </c>
    </row>
    <row r="51" spans="1:5" ht="15.75" customHeight="1" x14ac:dyDescent="0.4">
      <c r="A51" s="38" t="str">
        <f ca="1">IFERROR(__xludf.DUMMYFUNCTION("""COMPUTED_VALUE"""),"sentinel")</f>
        <v>sentinel</v>
      </c>
      <c r="B51" s="38" t="str">
        <f ca="1">IFERROR(__xludf.DUMMYFUNCTION("""COMPUTED_VALUE"""),"Sentinel")</f>
        <v>Sentinel</v>
      </c>
      <c r="C51" s="39">
        <f ca="1">IFERROR(__xludf.DUMMYFUNCTION("""COMPUTED_VALUE"""),35000)</f>
        <v>35000</v>
      </c>
      <c r="D51" s="39" t="str">
        <f ca="1">IFERROR(__xludf.DUMMYFUNCTION("""COMPUTED_VALUE"""),"Coupes")</f>
        <v>Coupes</v>
      </c>
      <c r="E51" s="40" t="str">
        <f ca="1">IFERROR(__xludf.DUMMYFUNCTION("""COMPUTED_VALUE"""),"https://docs.fivem.net/vehicles/sentinel.webp")</f>
        <v>https://docs.fivem.net/vehicles/sentinel.webp</v>
      </c>
    </row>
    <row r="52" spans="1:5" ht="15.75" customHeight="1" x14ac:dyDescent="0.4">
      <c r="A52" s="38" t="str">
        <f ca="1">IFERROR(__xludf.DUMMYFUNCTION("""COMPUTED_VALUE"""),"sentinel2")</f>
        <v>sentinel2</v>
      </c>
      <c r="B52" s="38" t="str">
        <f ca="1">IFERROR(__xludf.DUMMYFUNCTION("""COMPUTED_VALUE"""),"Sentinel XS")</f>
        <v>Sentinel XS</v>
      </c>
      <c r="C52" s="39">
        <f ca="1">IFERROR(__xludf.DUMMYFUNCTION("""COMPUTED_VALUE"""),37000)</f>
        <v>37000</v>
      </c>
      <c r="D52" s="39" t="str">
        <f ca="1">IFERROR(__xludf.DUMMYFUNCTION("""COMPUTED_VALUE"""),"Coupes")</f>
        <v>Coupes</v>
      </c>
      <c r="E52" s="40" t="str">
        <f ca="1">IFERROR(__xludf.DUMMYFUNCTION("""COMPUTED_VALUE"""),"https://docs.fivem.net/vehicles/sentinel2.webp")</f>
        <v>https://docs.fivem.net/vehicles/sentinel2.webp</v>
      </c>
    </row>
    <row r="53" spans="1:5" ht="15.75" customHeight="1" x14ac:dyDescent="0.4">
      <c r="A53" s="38" t="str">
        <f ca="1">IFERROR(__xludf.DUMMYFUNCTION("""COMPUTED_VALUE"""),"sentinel3")</f>
        <v>sentinel3</v>
      </c>
      <c r="B53" s="38" t="str">
        <f ca="1">IFERROR(__xludf.DUMMYFUNCTION("""COMPUTED_VALUE"""),"Sentinel Classic")</f>
        <v>Sentinel Classic</v>
      </c>
      <c r="C53" s="39">
        <f ca="1">IFERROR(__xludf.DUMMYFUNCTION("""COMPUTED_VALUE"""),70000)</f>
        <v>70000</v>
      </c>
      <c r="D53" s="39" t="str">
        <f ca="1">IFERROR(__xludf.DUMMYFUNCTION("""COMPUTED_VALUE"""),"Coupes")</f>
        <v>Coupes</v>
      </c>
      <c r="E53" s="40" t="str">
        <f ca="1">IFERROR(__xludf.DUMMYFUNCTION("""COMPUTED_VALUE"""),"https://docs.fivem.net/vehicles/sentinel3.webp")</f>
        <v>https://docs.fivem.net/vehicles/sentinel3.webp</v>
      </c>
    </row>
    <row r="54" spans="1:5" ht="15.75" customHeight="1" x14ac:dyDescent="0.4">
      <c r="A54" s="38" t="str">
        <f ca="1">IFERROR(__xludf.DUMMYFUNCTION("""COMPUTED_VALUE"""),"tahoma")</f>
        <v>tahoma</v>
      </c>
      <c r="B54" s="38" t="str">
        <f ca="1">IFERROR(__xludf.DUMMYFUNCTION("""COMPUTED_VALUE"""),"Tahoma Coupe")</f>
        <v>Tahoma Coupe</v>
      </c>
      <c r="C54" s="39">
        <f ca="1">IFERROR(__xludf.DUMMYFUNCTION("""COMPUTED_VALUE"""),24000)</f>
        <v>24000</v>
      </c>
      <c r="D54" s="39" t="str">
        <f ca="1">IFERROR(__xludf.DUMMYFUNCTION("""COMPUTED_VALUE"""),"Coupes")</f>
        <v>Coupes</v>
      </c>
      <c r="E54" s="40" t="str">
        <f ca="1">IFERROR(__xludf.DUMMYFUNCTION("""COMPUTED_VALUE"""),"https://docs.fivem.net/vehicles/tahoma.webp")</f>
        <v>https://docs.fivem.net/vehicles/tahoma.webp</v>
      </c>
    </row>
    <row r="55" spans="1:5" ht="15.75" customHeight="1" x14ac:dyDescent="0.4">
      <c r="A55" s="38" t="str">
        <f ca="1">IFERROR(__xludf.DUMMYFUNCTION("""COMPUTED_VALUE"""),"windsor")</f>
        <v>windsor</v>
      </c>
      <c r="B55" s="38" t="str">
        <f ca="1">IFERROR(__xludf.DUMMYFUNCTION("""COMPUTED_VALUE"""),"Windsor")</f>
        <v>Windsor</v>
      </c>
      <c r="C55" s="39">
        <f ca="1">IFERROR(__xludf.DUMMYFUNCTION("""COMPUTED_VALUE"""),69000)</f>
        <v>69000</v>
      </c>
      <c r="D55" s="39" t="str">
        <f ca="1">IFERROR(__xludf.DUMMYFUNCTION("""COMPUTED_VALUE"""),"Coupes")</f>
        <v>Coupes</v>
      </c>
      <c r="E55" s="40" t="str">
        <f ca="1">IFERROR(__xludf.DUMMYFUNCTION("""COMPUTED_VALUE"""),"https://docs.fivem.net/vehicles/windsor.webp")</f>
        <v>https://docs.fivem.net/vehicles/windsor.webp</v>
      </c>
    </row>
    <row r="56" spans="1:5" ht="15.75" customHeight="1" x14ac:dyDescent="0.4">
      <c r="A56" s="38" t="str">
        <f ca="1">IFERROR(__xludf.DUMMYFUNCTION("""COMPUTED_VALUE"""),"windsor2")</f>
        <v>windsor2</v>
      </c>
      <c r="B56" s="38" t="str">
        <f ca="1">IFERROR(__xludf.DUMMYFUNCTION("""COMPUTED_VALUE"""),"Windsor Drop")</f>
        <v>Windsor Drop</v>
      </c>
      <c r="C56" s="39">
        <f ca="1">IFERROR(__xludf.DUMMYFUNCTION("""COMPUTED_VALUE"""),73000)</f>
        <v>73000</v>
      </c>
      <c r="D56" s="39" t="str">
        <f ca="1">IFERROR(__xludf.DUMMYFUNCTION("""COMPUTED_VALUE"""),"Coupes")</f>
        <v>Coupes</v>
      </c>
      <c r="E56" s="40" t="str">
        <f ca="1">IFERROR(__xludf.DUMMYFUNCTION("""COMPUTED_VALUE"""),"https://docs.fivem.net/vehicles/windsor2.webp")</f>
        <v>https://docs.fivem.net/vehicles/windsor2.webp</v>
      </c>
    </row>
    <row r="57" spans="1:5" ht="15.75" customHeight="1" x14ac:dyDescent="0.4">
      <c r="A57" s="38" t="str">
        <f ca="1">IFERROR(__xludf.DUMMYFUNCTION("""COMPUTED_VALUE"""),"zion")</f>
        <v>zion</v>
      </c>
      <c r="B57" s="38" t="str">
        <f ca="1">IFERROR(__xludf.DUMMYFUNCTION("""COMPUTED_VALUE"""),"Zion")</f>
        <v>Zion</v>
      </c>
      <c r="C57" s="39">
        <f ca="1">IFERROR(__xludf.DUMMYFUNCTION("""COMPUTED_VALUE"""),44000)</f>
        <v>44000</v>
      </c>
      <c r="D57" s="39" t="str">
        <f ca="1">IFERROR(__xludf.DUMMYFUNCTION("""COMPUTED_VALUE"""),"Coupes")</f>
        <v>Coupes</v>
      </c>
      <c r="E57" s="40" t="str">
        <f ca="1">IFERROR(__xludf.DUMMYFUNCTION("""COMPUTED_VALUE"""),"https://docs.fivem.net/vehicles/zion.webp")</f>
        <v>https://docs.fivem.net/vehicles/zion.webp</v>
      </c>
    </row>
    <row r="58" spans="1:5" ht="15.75" customHeight="1" x14ac:dyDescent="0.4">
      <c r="A58" s="38" t="str">
        <f ca="1">IFERROR(__xludf.DUMMYFUNCTION("""COMPUTED_VALUE"""),"zion2")</f>
        <v>zion2</v>
      </c>
      <c r="B58" s="38" t="str">
        <f ca="1">IFERROR(__xludf.DUMMYFUNCTION("""COMPUTED_VALUE"""),"Zion Cabrio")</f>
        <v>Zion Cabrio</v>
      </c>
      <c r="C58" s="39">
        <f ca="1">IFERROR(__xludf.DUMMYFUNCTION("""COMPUTED_VALUE"""),46000)</f>
        <v>46000</v>
      </c>
      <c r="D58" s="39" t="str">
        <f ca="1">IFERROR(__xludf.DUMMYFUNCTION("""COMPUTED_VALUE"""),"Coupes")</f>
        <v>Coupes</v>
      </c>
      <c r="E58" s="40" t="str">
        <f ca="1">IFERROR(__xludf.DUMMYFUNCTION("""COMPUTED_VALUE"""),"https://docs.fivem.net/vehicles/zion2.webp")</f>
        <v>https://docs.fivem.net/vehicles/zion2.webp</v>
      </c>
    </row>
    <row r="59" spans="1:5" ht="15.75" customHeight="1" x14ac:dyDescent="0.4">
      <c r="A59" s="38" t="str">
        <f ca="1">IFERROR(__xludf.DUMMYFUNCTION("""COMPUTED_VALUE"""),"alpha")</f>
        <v>alpha</v>
      </c>
      <c r="B59" s="38" t="str">
        <f ca="1">IFERROR(__xludf.DUMMYFUNCTION("""COMPUTED_VALUE"""),"Alpha")</f>
        <v>Alpha</v>
      </c>
      <c r="C59" s="39">
        <f ca="1">IFERROR(__xludf.DUMMYFUNCTION("""COMPUTED_VALUE"""),59000)</f>
        <v>59000</v>
      </c>
      <c r="D59" s="39" t="str">
        <f ca="1">IFERROR(__xludf.DUMMYFUNCTION("""COMPUTED_VALUE"""),"Deportivo")</f>
        <v>Deportivo</v>
      </c>
      <c r="E59" s="40" t="str">
        <f ca="1">IFERROR(__xludf.DUMMYFUNCTION("""COMPUTED_VALUE"""),"https://docs.fivem.net/vehicles/alpha.webp")</f>
        <v>https://docs.fivem.net/vehicles/alpha.webp</v>
      </c>
    </row>
    <row r="60" spans="1:5" ht="15.75" customHeight="1" x14ac:dyDescent="0.4">
      <c r="A60" s="38" t="str">
        <f ca="1">IFERROR(__xludf.DUMMYFUNCTION("""COMPUTED_VALUE"""),"banshee")</f>
        <v>banshee</v>
      </c>
      <c r="B60" s="38" t="str">
        <f ca="1">IFERROR(__xludf.DUMMYFUNCTION("""COMPUTED_VALUE"""),"Banshee")</f>
        <v>Banshee</v>
      </c>
      <c r="C60" s="39">
        <f ca="1">IFERROR(__xludf.DUMMYFUNCTION("""COMPUTED_VALUE"""),80000)</f>
        <v>80000</v>
      </c>
      <c r="D60" s="39" t="str">
        <f ca="1">IFERROR(__xludf.DUMMYFUNCTION("""COMPUTED_VALUE"""),"Deportivo")</f>
        <v>Deportivo</v>
      </c>
      <c r="E60" s="40" t="str">
        <f ca="1">IFERROR(__xludf.DUMMYFUNCTION("""COMPUTED_VALUE"""),"https://docs.fivem.net/vehicles/banshee.webp")</f>
        <v>https://docs.fivem.net/vehicles/banshee.webp</v>
      </c>
    </row>
    <row r="61" spans="1:5" ht="15.75" customHeight="1" x14ac:dyDescent="0.4">
      <c r="A61" s="38" t="str">
        <f ca="1">IFERROR(__xludf.DUMMYFUNCTION("""COMPUTED_VALUE"""),"bestiagts")</f>
        <v>bestiagts</v>
      </c>
      <c r="B61" s="38" t="str">
        <f ca="1">IFERROR(__xludf.DUMMYFUNCTION("""COMPUTED_VALUE"""),"Bestia GTS")</f>
        <v>Bestia GTS</v>
      </c>
      <c r="C61" s="39">
        <f ca="1">IFERROR(__xludf.DUMMYFUNCTION("""COMPUTED_VALUE"""),88000)</f>
        <v>88000</v>
      </c>
      <c r="D61" s="39" t="str">
        <f ca="1">IFERROR(__xludf.DUMMYFUNCTION("""COMPUTED_VALUE"""),"Deportivo")</f>
        <v>Deportivo</v>
      </c>
      <c r="E61" s="40" t="str">
        <f ca="1">IFERROR(__xludf.DUMMYFUNCTION("""COMPUTED_VALUE"""),"https://docs.fivem.net/vehicles/bestiagts.webp")</f>
        <v>https://docs.fivem.net/vehicles/bestiagts.webp</v>
      </c>
    </row>
    <row r="62" spans="1:5" ht="15.75" customHeight="1" x14ac:dyDescent="0.4">
      <c r="A62" s="38" t="str">
        <f ca="1">IFERROR(__xludf.DUMMYFUNCTION("""COMPUTED_VALUE"""),"calico")</f>
        <v>calico</v>
      </c>
      <c r="B62" s="38" t="str">
        <f ca="1">IFERROR(__xludf.DUMMYFUNCTION("""COMPUTED_VALUE"""),"Calico GTF")</f>
        <v>Calico GTF</v>
      </c>
      <c r="C62" s="39">
        <f ca="1">IFERROR(__xludf.DUMMYFUNCTION("""COMPUTED_VALUE"""),115000)</f>
        <v>115000</v>
      </c>
      <c r="D62" s="39" t="str">
        <f ca="1">IFERROR(__xludf.DUMMYFUNCTION("""COMPUTED_VALUE"""),"Deportivo")</f>
        <v>Deportivo</v>
      </c>
      <c r="E62" s="40" t="str">
        <f ca="1">IFERROR(__xludf.DUMMYFUNCTION("""COMPUTED_VALUE"""),"https://docs.fivem.net/vehicles/calico.webp")</f>
        <v>https://docs.fivem.net/vehicles/calico.webp</v>
      </c>
    </row>
    <row r="63" spans="1:5" ht="15.75" customHeight="1" x14ac:dyDescent="0.4">
      <c r="A63" s="38" t="str">
        <f ca="1">IFERROR(__xludf.DUMMYFUNCTION("""COMPUTED_VALUE"""),"carbonizzare")</f>
        <v>carbonizzare</v>
      </c>
      <c r="B63" s="38" t="str">
        <f ca="1">IFERROR(__xludf.DUMMYFUNCTION("""COMPUTED_VALUE"""),"Carbonizzare")</f>
        <v>Carbonizzare</v>
      </c>
      <c r="C63" s="39">
        <f ca="1">IFERROR(__xludf.DUMMYFUNCTION("""COMPUTED_VALUE"""),109000)</f>
        <v>109000</v>
      </c>
      <c r="D63" s="39" t="str">
        <f ca="1">IFERROR(__xludf.DUMMYFUNCTION("""COMPUTED_VALUE"""),"Deportivo")</f>
        <v>Deportivo</v>
      </c>
      <c r="E63" s="40" t="str">
        <f ca="1">IFERROR(__xludf.DUMMYFUNCTION("""COMPUTED_VALUE"""),"https://docs.fivem.net/vehicles/carbonizzare.webp")</f>
        <v>https://docs.fivem.net/vehicles/carbonizzare.webp</v>
      </c>
    </row>
    <row r="64" spans="1:5" ht="15.75" customHeight="1" x14ac:dyDescent="0.4">
      <c r="A64" s="38" t="str">
        <f ca="1">IFERROR(__xludf.DUMMYFUNCTION("""COMPUTED_VALUE"""),"cheetah2")</f>
        <v>cheetah2</v>
      </c>
      <c r="B64" s="38" t="str">
        <f ca="1">IFERROR(__xludf.DUMMYFUNCTION("""COMPUTED_VALUE"""),"Cheetah Classic")</f>
        <v>Cheetah Classic</v>
      </c>
      <c r="C64" s="39">
        <f ca="1">IFERROR(__xludf.DUMMYFUNCTION("""COMPUTED_VALUE"""),195000)</f>
        <v>195000</v>
      </c>
      <c r="D64" s="39" t="str">
        <f ca="1">IFERROR(__xludf.DUMMYFUNCTION("""COMPUTED_VALUE"""),"Deportivo")</f>
        <v>Deportivo</v>
      </c>
      <c r="E64" s="40" t="str">
        <f ca="1">IFERROR(__xludf.DUMMYFUNCTION("""COMPUTED_VALUE"""),"https://docs.fivem.net/vehicles/cheetah2.webp")</f>
        <v>https://docs.fivem.net/vehicles/cheetah2.webp</v>
      </c>
    </row>
    <row r="65" spans="1:5" ht="15.75" customHeight="1" x14ac:dyDescent="0.4">
      <c r="A65" s="38" t="str">
        <f ca="1">IFERROR(__xludf.DUMMYFUNCTION("""COMPUTED_VALUE"""),"comet2")</f>
        <v>comet2</v>
      </c>
      <c r="B65" s="38" t="str">
        <f ca="1">IFERROR(__xludf.DUMMYFUNCTION("""COMPUTED_VALUE"""),"Comet")</f>
        <v>Comet</v>
      </c>
      <c r="C65" s="39">
        <f ca="1">IFERROR(__xludf.DUMMYFUNCTION("""COMPUTED_VALUE"""),98500)</f>
        <v>98500</v>
      </c>
      <c r="D65" s="39" t="str">
        <f ca="1">IFERROR(__xludf.DUMMYFUNCTION("""COMPUTED_VALUE"""),"Deportivo")</f>
        <v>Deportivo</v>
      </c>
      <c r="E65" s="40" t="str">
        <f ca="1">IFERROR(__xludf.DUMMYFUNCTION("""COMPUTED_VALUE"""),"https://docs.fivem.net/vehicles/comet2.webp")</f>
        <v>https://docs.fivem.net/vehicles/comet2.webp</v>
      </c>
    </row>
    <row r="66" spans="1:5" ht="15.75" customHeight="1" x14ac:dyDescent="0.4">
      <c r="A66" s="38" t="str">
        <f ca="1">IFERROR(__xludf.DUMMYFUNCTION("""COMPUTED_VALUE"""),"comet3")</f>
        <v>comet3</v>
      </c>
      <c r="B66" s="38" t="str">
        <f ca="1">IFERROR(__xludf.DUMMYFUNCTION("""COMPUTED_VALUE"""),"Comet Retro Custom")</f>
        <v>Comet Retro Custom</v>
      </c>
      <c r="C66" s="39">
        <f ca="1">IFERROR(__xludf.DUMMYFUNCTION("""COMPUTED_VALUE"""),115000)</f>
        <v>115000</v>
      </c>
      <c r="D66" s="39" t="str">
        <f ca="1">IFERROR(__xludf.DUMMYFUNCTION("""COMPUTED_VALUE"""),"Deportivo")</f>
        <v>Deportivo</v>
      </c>
      <c r="E66" s="40" t="str">
        <f ca="1">IFERROR(__xludf.DUMMYFUNCTION("""COMPUTED_VALUE"""),"https://docs.fivem.net/vehicles/comet3.webp")</f>
        <v>https://docs.fivem.net/vehicles/comet3.webp</v>
      </c>
    </row>
    <row r="67" spans="1:5" ht="15.75" customHeight="1" x14ac:dyDescent="0.4">
      <c r="A67" s="38" t="str">
        <f ca="1">IFERROR(__xludf.DUMMYFUNCTION("""COMPUTED_VALUE"""),"comet4")</f>
        <v>comet4</v>
      </c>
      <c r="B67" s="38" t="str">
        <f ca="1">IFERROR(__xludf.DUMMYFUNCTION("""COMPUTED_VALUE"""),"Comet Safari")</f>
        <v>Comet Safari</v>
      </c>
      <c r="C67" s="39">
        <f ca="1">IFERROR(__xludf.DUMMYFUNCTION("""COMPUTED_VALUE"""),69500)</f>
        <v>69500</v>
      </c>
      <c r="D67" s="39" t="str">
        <f ca="1">IFERROR(__xludf.DUMMYFUNCTION("""COMPUTED_VALUE"""),"Deportivo")</f>
        <v>Deportivo</v>
      </c>
      <c r="E67" s="40" t="str">
        <f ca="1">IFERROR(__xludf.DUMMYFUNCTION("""COMPUTED_VALUE"""),"https://docs.fivem.net/vehicles/comet4.webp")</f>
        <v>https://docs.fivem.net/vehicles/comet4.webp</v>
      </c>
    </row>
    <row r="68" spans="1:5" ht="15.75" customHeight="1" x14ac:dyDescent="0.4">
      <c r="A68" s="38" t="str">
        <f ca="1">IFERROR(__xludf.DUMMYFUNCTION("""COMPUTED_VALUE"""),"comet5")</f>
        <v>comet5</v>
      </c>
      <c r="B68" s="38" t="str">
        <f ca="1">IFERROR(__xludf.DUMMYFUNCTION("""COMPUTED_VALUE"""),"Comet SR")</f>
        <v>Comet SR</v>
      </c>
      <c r="C68" s="39">
        <f ca="1">IFERROR(__xludf.DUMMYFUNCTION("""COMPUTED_VALUE"""),125000)</f>
        <v>125000</v>
      </c>
      <c r="D68" s="39" t="str">
        <f ca="1">IFERROR(__xludf.DUMMYFUNCTION("""COMPUTED_VALUE"""),"Deportivo")</f>
        <v>Deportivo</v>
      </c>
      <c r="E68" s="40" t="str">
        <f ca="1">IFERROR(__xludf.DUMMYFUNCTION("""COMPUTED_VALUE"""),"https://docs.fivem.net/vehicles/comet5.webp")</f>
        <v>https://docs.fivem.net/vehicles/comet5.webp</v>
      </c>
    </row>
    <row r="69" spans="1:5" ht="15.75" customHeight="1" x14ac:dyDescent="0.4">
      <c r="A69" s="38" t="str">
        <f ca="1">IFERROR(__xludf.DUMMYFUNCTION("""COMPUTED_VALUE"""),"comet6")</f>
        <v>comet6</v>
      </c>
      <c r="B69" s="38" t="str">
        <f ca="1">IFERROR(__xludf.DUMMYFUNCTION("""COMPUTED_VALUE"""),"Comet S2")</f>
        <v>Comet S2</v>
      </c>
      <c r="C69" s="39">
        <f ca="1">IFERROR(__xludf.DUMMYFUNCTION("""COMPUTED_VALUE"""),165000)</f>
        <v>165000</v>
      </c>
      <c r="D69" s="39" t="str">
        <f ca="1">IFERROR(__xludf.DUMMYFUNCTION("""COMPUTED_VALUE"""),"Deportivo")</f>
        <v>Deportivo</v>
      </c>
      <c r="E69" s="40" t="str">
        <f ca="1">IFERROR(__xludf.DUMMYFUNCTION("""COMPUTED_VALUE"""),"https://docs.fivem.net/vehicles/comet6.webp")</f>
        <v>https://docs.fivem.net/vehicles/comet6.webp</v>
      </c>
    </row>
    <row r="70" spans="1:5" ht="15.75" customHeight="1" x14ac:dyDescent="0.4">
      <c r="A70" s="38" t="str">
        <f ca="1">IFERROR(__xludf.DUMMYFUNCTION("""COMPUTED_VALUE"""),"comet7")</f>
        <v>comet7</v>
      </c>
      <c r="B70" s="38" t="str">
        <f ca="1">IFERROR(__xludf.DUMMYFUNCTION("""COMPUTED_VALUE"""),"Comet")</f>
        <v>Comet</v>
      </c>
      <c r="C70" s="39">
        <f ca="1">IFERROR(__xludf.DUMMYFUNCTION("""COMPUTED_VALUE"""),178000)</f>
        <v>178000</v>
      </c>
      <c r="D70" s="39" t="str">
        <f ca="1">IFERROR(__xludf.DUMMYFUNCTION("""COMPUTED_VALUE"""),"Deportivo")</f>
        <v>Deportivo</v>
      </c>
      <c r="E70" s="40" t="str">
        <f ca="1">IFERROR(__xludf.DUMMYFUNCTION("""COMPUTED_VALUE"""),"https://docs.fivem.net/vehicles/comet7.webp")</f>
        <v>https://docs.fivem.net/vehicles/comet7.webp</v>
      </c>
    </row>
    <row r="71" spans="1:5" ht="15.75" customHeight="1" x14ac:dyDescent="0.4">
      <c r="A71" s="38" t="str">
        <f ca="1">IFERROR(__xludf.DUMMYFUNCTION("""COMPUTED_VALUE"""),"coquette")</f>
        <v>coquette</v>
      </c>
      <c r="B71" s="38" t="str">
        <f ca="1">IFERROR(__xludf.DUMMYFUNCTION("""COMPUTED_VALUE"""),"Coquette")</f>
        <v>Coquette</v>
      </c>
      <c r="C71" s="39">
        <f ca="1">IFERROR(__xludf.DUMMYFUNCTION("""COMPUTED_VALUE"""),85000)</f>
        <v>85000</v>
      </c>
      <c r="D71" s="39" t="str">
        <f ca="1">IFERROR(__xludf.DUMMYFUNCTION("""COMPUTED_VALUE"""),"Deportivo")</f>
        <v>Deportivo</v>
      </c>
      <c r="E71" s="40" t="str">
        <f ca="1">IFERROR(__xludf.DUMMYFUNCTION("""COMPUTED_VALUE"""),"https://docs.fivem.net/vehicles/coquette.webp")</f>
        <v>https://docs.fivem.net/vehicles/coquette.webp</v>
      </c>
    </row>
    <row r="72" spans="1:5" ht="15.75" customHeight="1" x14ac:dyDescent="0.4">
      <c r="A72" s="38" t="str">
        <f ca="1">IFERROR(__xludf.DUMMYFUNCTION("""COMPUTED_VALUE"""),"coquette4")</f>
        <v>coquette4</v>
      </c>
      <c r="B72" s="38" t="str">
        <f ca="1">IFERROR(__xludf.DUMMYFUNCTION("""COMPUTED_VALUE"""),"Coquette D10")</f>
        <v>Coquette D10</v>
      </c>
      <c r="C72" s="39">
        <f ca="1">IFERROR(__xludf.DUMMYFUNCTION("""COMPUTED_VALUE"""),190000)</f>
        <v>190000</v>
      </c>
      <c r="D72" s="39" t="str">
        <f ca="1">IFERROR(__xludf.DUMMYFUNCTION("""COMPUTED_VALUE"""),"Deportivo")</f>
        <v>Deportivo</v>
      </c>
      <c r="E72" s="40" t="str">
        <f ca="1">IFERROR(__xludf.DUMMYFUNCTION("""COMPUTED_VALUE"""),"https://docs.fivem.net/vehicles/coquette4.webp")</f>
        <v>https://docs.fivem.net/vehicles/coquette4.webp</v>
      </c>
    </row>
    <row r="73" spans="1:5" ht="15.75" customHeight="1" x14ac:dyDescent="0.4">
      <c r="A73" s="38" t="str">
        <f ca="1">IFERROR(__xludf.DUMMYFUNCTION("""COMPUTED_VALUE"""),"coquette5")</f>
        <v>coquette5</v>
      </c>
      <c r="B73" s="38" t="str">
        <f ca="1">IFERROR(__xludf.DUMMYFUNCTION("""COMPUTED_VALUE"""),"Coquette D1")</f>
        <v>Coquette D1</v>
      </c>
      <c r="C73" s="39">
        <f ca="1">IFERROR(__xludf.DUMMYFUNCTION("""COMPUTED_VALUE"""),165000)</f>
        <v>165000</v>
      </c>
      <c r="D73" s="39" t="str">
        <f ca="1">IFERROR(__xludf.DUMMYFUNCTION("""COMPUTED_VALUE"""),"Deportivo")</f>
        <v>Deportivo</v>
      </c>
      <c r="E73" s="40" t="str">
        <f ca="1">IFERROR(__xludf.DUMMYFUNCTION("""COMPUTED_VALUE"""),"https://docs.fivem.net/vehicles/coquette5.webp")</f>
        <v>https://docs.fivem.net/vehicles/coquette5.webp</v>
      </c>
    </row>
    <row r="74" spans="1:5" ht="15.75" customHeight="1" x14ac:dyDescent="0.4">
      <c r="A74" s="38" t="str">
        <f ca="1">IFERROR(__xludf.DUMMYFUNCTION("""COMPUTED_VALUE"""),"corsita")</f>
        <v>corsita</v>
      </c>
      <c r="B74" s="38" t="str">
        <f ca="1">IFERROR(__xludf.DUMMYFUNCTION("""COMPUTED_VALUE"""),"Corsita")</f>
        <v>Corsita</v>
      </c>
      <c r="C74" s="39">
        <f ca="1">IFERROR(__xludf.DUMMYFUNCTION("""COMPUTED_VALUE"""),188000)</f>
        <v>188000</v>
      </c>
      <c r="D74" s="39" t="str">
        <f ca="1">IFERROR(__xludf.DUMMYFUNCTION("""COMPUTED_VALUE"""),"Deportivo")</f>
        <v>Deportivo</v>
      </c>
      <c r="E74" s="40" t="str">
        <f ca="1">IFERROR(__xludf.DUMMYFUNCTION("""COMPUTED_VALUE"""),"https://docs.fivem.net/vehicles/corsita.webp")</f>
        <v>https://docs.fivem.net/vehicles/corsita.webp</v>
      </c>
    </row>
    <row r="75" spans="1:5" ht="15.75" customHeight="1" x14ac:dyDescent="0.4">
      <c r="A75" s="38" t="str">
        <f ca="1">IFERROR(__xludf.DUMMYFUNCTION("""COMPUTED_VALUE"""),"coureur")</f>
        <v>coureur</v>
      </c>
      <c r="B75" s="38" t="str">
        <f ca="1">IFERROR(__xludf.DUMMYFUNCTION("""COMPUTED_VALUE"""),"La Coureuse")</f>
        <v>La Coureuse</v>
      </c>
      <c r="C75" s="39">
        <f ca="1">IFERROR(__xludf.DUMMYFUNCTION("""COMPUTED_VALUE"""),85000)</f>
        <v>85000</v>
      </c>
      <c r="D75" s="39" t="str">
        <f ca="1">IFERROR(__xludf.DUMMYFUNCTION("""COMPUTED_VALUE"""),"Deportivo")</f>
        <v>Deportivo</v>
      </c>
      <c r="E75" s="40" t="str">
        <f ca="1">IFERROR(__xludf.DUMMYFUNCTION("""COMPUTED_VALUE"""),"https://docs.fivem.net/vehicles/coureur.webp")</f>
        <v>https://docs.fivem.net/vehicles/coureur.webp</v>
      </c>
    </row>
    <row r="76" spans="1:5" ht="15.75" customHeight="1" x14ac:dyDescent="0.4">
      <c r="A76" s="38" t="str">
        <f ca="1">IFERROR(__xludf.DUMMYFUNCTION("""COMPUTED_VALUE"""),"cypher")</f>
        <v>cypher</v>
      </c>
      <c r="B76" s="38" t="str">
        <f ca="1">IFERROR(__xludf.DUMMYFUNCTION("""COMPUTED_VALUE"""),"Cypher")</f>
        <v>Cypher</v>
      </c>
      <c r="C76" s="39">
        <f ca="1">IFERROR(__xludf.DUMMYFUNCTION("""COMPUTED_VALUE"""),78000)</f>
        <v>78000</v>
      </c>
      <c r="D76" s="39" t="str">
        <f ca="1">IFERROR(__xludf.DUMMYFUNCTION("""COMPUTED_VALUE"""),"Deportivo")</f>
        <v>Deportivo</v>
      </c>
      <c r="E76" s="40" t="str">
        <f ca="1">IFERROR(__xludf.DUMMYFUNCTION("""COMPUTED_VALUE"""),"https://docs.fivem.net/vehicles/cypher.webp")</f>
        <v>https://docs.fivem.net/vehicles/cypher.webp</v>
      </c>
    </row>
    <row r="77" spans="1:5" ht="15.75" customHeight="1" x14ac:dyDescent="0.4">
      <c r="A77" s="38" t="str">
        <f ca="1">IFERROR(__xludf.DUMMYFUNCTION("""COMPUTED_VALUE"""),"drafter")</f>
        <v>drafter</v>
      </c>
      <c r="B77" s="38" t="str">
        <f ca="1">IFERROR(__xludf.DUMMYFUNCTION("""COMPUTED_VALUE"""),"8F Drafter")</f>
        <v>8F Drafter</v>
      </c>
      <c r="C77" s="39">
        <f ca="1">IFERROR(__xludf.DUMMYFUNCTION("""COMPUTED_VALUE"""),85000)</f>
        <v>85000</v>
      </c>
      <c r="D77" s="39" t="str">
        <f ca="1">IFERROR(__xludf.DUMMYFUNCTION("""COMPUTED_VALUE"""),"Deportivo")</f>
        <v>Deportivo</v>
      </c>
      <c r="E77" s="40" t="str">
        <f ca="1">IFERROR(__xludf.DUMMYFUNCTION("""COMPUTED_VALUE"""),"https://docs.fivem.net/vehicles/drafter.webp")</f>
        <v>https://docs.fivem.net/vehicles/drafter.webp</v>
      </c>
    </row>
    <row r="78" spans="1:5" ht="15.75" customHeight="1" x14ac:dyDescent="0.4">
      <c r="A78" s="38" t="str">
        <f ca="1">IFERROR(__xludf.DUMMYFUNCTION("""COMPUTED_VALUE"""),"driftcypher")</f>
        <v>driftcypher</v>
      </c>
      <c r="B78" s="38" t="str">
        <f ca="1">IFERROR(__xludf.DUMMYFUNCTION("""COMPUTED_VALUE"""),"Drift Cypher")</f>
        <v>Drift Cypher</v>
      </c>
      <c r="C78" s="39">
        <f ca="1">IFERROR(__xludf.DUMMYFUNCTION("""COMPUTED_VALUE"""),83000)</f>
        <v>83000</v>
      </c>
      <c r="D78" s="39" t="str">
        <f ca="1">IFERROR(__xludf.DUMMYFUNCTION("""COMPUTED_VALUE"""),"Deportivo")</f>
        <v>Deportivo</v>
      </c>
      <c r="E78" s="40" t="str">
        <f ca="1">IFERROR(__xludf.DUMMYFUNCTION("""COMPUTED_VALUE"""),"https://docs.fivem.net/vehicles/driftcypher.webp")</f>
        <v>https://docs.fivem.net/vehicles/driftcypher.webp</v>
      </c>
    </row>
    <row r="79" spans="1:5" ht="15.75" customHeight="1" x14ac:dyDescent="0.4">
      <c r="A79" s="38" t="str">
        <f ca="1">IFERROR(__xludf.DUMMYFUNCTION("""COMPUTED_VALUE"""),"driftsentinel")</f>
        <v>driftsentinel</v>
      </c>
      <c r="B79" s="38" t="str">
        <f ca="1">IFERROR(__xludf.DUMMYFUNCTION("""COMPUTED_VALUE"""),"Drift Sentinel Classic")</f>
        <v>Drift Sentinel Classic</v>
      </c>
      <c r="C79" s="39">
        <f ca="1">IFERROR(__xludf.DUMMYFUNCTION("""COMPUTED_VALUE"""),75000)</f>
        <v>75000</v>
      </c>
      <c r="D79" s="39" t="str">
        <f ca="1">IFERROR(__xludf.DUMMYFUNCTION("""COMPUTED_VALUE"""),"Deportivo")</f>
        <v>Deportivo</v>
      </c>
      <c r="E79" s="40" t="str">
        <f ca="1">IFERROR(__xludf.DUMMYFUNCTION("""COMPUTED_VALUE"""),"https://docs.fivem.net/vehicles/driftsentinel.webp")</f>
        <v>https://docs.fivem.net/vehicles/driftsentinel.webp</v>
      </c>
    </row>
    <row r="80" spans="1:5" ht="15.75" customHeight="1" x14ac:dyDescent="0.4">
      <c r="A80" s="38" t="str">
        <f ca="1">IFERROR(__xludf.DUMMYFUNCTION("""COMPUTED_VALUE"""),"driftvorschlag")</f>
        <v>driftvorschlag</v>
      </c>
      <c r="B80" s="38" t="str">
        <f ca="1">IFERROR(__xludf.DUMMYFUNCTION("""COMPUTED_VALUE"""),"Vorschlaghammer Drift")</f>
        <v>Vorschlaghammer Drift</v>
      </c>
      <c r="C80" s="39">
        <f ca="1">IFERROR(__xludf.DUMMYFUNCTION("""COMPUTED_VALUE"""),70000)</f>
        <v>70000</v>
      </c>
      <c r="D80" s="39" t="str">
        <f ca="1">IFERROR(__xludf.DUMMYFUNCTION("""COMPUTED_VALUE"""),"Deportivo")</f>
        <v>Deportivo</v>
      </c>
      <c r="E80" s="40" t="str">
        <f ca="1">IFERROR(__xludf.DUMMYFUNCTION("""COMPUTED_VALUE"""),"https://docs.fivem.net/vehicles/driftvorschlag.webp")</f>
        <v>https://docs.fivem.net/vehicles/driftvorschlag.webp</v>
      </c>
    </row>
    <row r="81" spans="1:5" ht="15.75" customHeight="1" x14ac:dyDescent="0.4">
      <c r="A81" s="38" t="str">
        <f ca="1">IFERROR(__xludf.DUMMYFUNCTION("""COMPUTED_VALUE"""),"elegy")</f>
        <v>elegy</v>
      </c>
      <c r="B81" s="38" t="str">
        <f ca="1">IFERROR(__xludf.DUMMYFUNCTION("""COMPUTED_VALUE"""),"Elegy Retro Custom")</f>
        <v>Elegy Retro Custom</v>
      </c>
      <c r="C81" s="39">
        <f ca="1">IFERROR(__xludf.DUMMYFUNCTION("""COMPUTED_VALUE"""),74000)</f>
        <v>74000</v>
      </c>
      <c r="D81" s="39" t="str">
        <f ca="1">IFERROR(__xludf.DUMMYFUNCTION("""COMPUTED_VALUE"""),"Deportivo")</f>
        <v>Deportivo</v>
      </c>
      <c r="E81" s="40" t="str">
        <f ca="1">IFERROR(__xludf.DUMMYFUNCTION("""COMPUTED_VALUE"""),"https://docs.fivem.net/vehicles/elegy.webp")</f>
        <v>https://docs.fivem.net/vehicles/elegy.webp</v>
      </c>
    </row>
    <row r="82" spans="1:5" ht="15.75" customHeight="1" x14ac:dyDescent="0.4">
      <c r="A82" s="38" t="str">
        <f ca="1">IFERROR(__xludf.DUMMYFUNCTION("""COMPUTED_VALUE"""),"elegy2")</f>
        <v>elegy2</v>
      </c>
      <c r="B82" s="38" t="str">
        <f ca="1">IFERROR(__xludf.DUMMYFUNCTION("""COMPUTED_VALUE"""),"Elegy RH8")</f>
        <v>Elegy RH8</v>
      </c>
      <c r="C82" s="39">
        <f ca="1">IFERROR(__xludf.DUMMYFUNCTION("""COMPUTED_VALUE"""),78000)</f>
        <v>78000</v>
      </c>
      <c r="D82" s="39" t="str">
        <f ca="1">IFERROR(__xludf.DUMMYFUNCTION("""COMPUTED_VALUE"""),"Deportivo")</f>
        <v>Deportivo</v>
      </c>
      <c r="E82" s="40" t="str">
        <f ca="1">IFERROR(__xludf.DUMMYFUNCTION("""COMPUTED_VALUE"""),"https://docs.fivem.net/vehicles/elegy2.webp")</f>
        <v>https://docs.fivem.net/vehicles/elegy2.webp</v>
      </c>
    </row>
    <row r="83" spans="1:5" ht="15.75" customHeight="1" x14ac:dyDescent="0.4">
      <c r="A83" s="38" t="str">
        <f ca="1">IFERROR(__xludf.DUMMYFUNCTION("""COMPUTED_VALUE"""),"euros")</f>
        <v>euros</v>
      </c>
      <c r="B83" s="38" t="str">
        <f ca="1">IFERROR(__xludf.DUMMYFUNCTION("""COMPUTED_VALUE"""),"Euros")</f>
        <v>Euros</v>
      </c>
      <c r="C83" s="39">
        <f ca="1">IFERROR(__xludf.DUMMYFUNCTION("""COMPUTED_VALUE"""),80000)</f>
        <v>80000</v>
      </c>
      <c r="D83" s="39" t="str">
        <f ca="1">IFERROR(__xludf.DUMMYFUNCTION("""COMPUTED_VALUE"""),"Deportivo")</f>
        <v>Deportivo</v>
      </c>
      <c r="E83" s="40" t="str">
        <f ca="1">IFERROR(__xludf.DUMMYFUNCTION("""COMPUTED_VALUE"""),"https://docs.fivem.net/vehicles/euros.webp")</f>
        <v>https://docs.fivem.net/vehicles/euros.webp</v>
      </c>
    </row>
    <row r="84" spans="1:5" ht="15.75" customHeight="1" x14ac:dyDescent="0.4">
      <c r="A84" s="38" t="str">
        <f ca="1">IFERROR(__xludf.DUMMYFUNCTION("""COMPUTED_VALUE"""),"eurosX32")</f>
        <v>eurosX32</v>
      </c>
      <c r="B84" s="38" t="str">
        <f ca="1">IFERROR(__xludf.DUMMYFUNCTION("""COMPUTED_VALUE"""),"Euros X32")</f>
        <v>Euros X32</v>
      </c>
      <c r="C84" s="39">
        <f ca="1">IFERROR(__xludf.DUMMYFUNCTION("""COMPUTED_VALUE"""),90000)</f>
        <v>90000</v>
      </c>
      <c r="D84" s="39" t="str">
        <f ca="1">IFERROR(__xludf.DUMMYFUNCTION("""COMPUTED_VALUE"""),"Deportivo")</f>
        <v>Deportivo</v>
      </c>
      <c r="E84" s="40" t="str">
        <f ca="1">IFERROR(__xludf.DUMMYFUNCTION("""COMPUTED_VALUE"""),"https://docs.fivem.net/vehicles/eurosx32.webp")</f>
        <v>https://docs.fivem.net/vehicles/eurosx32.webp</v>
      </c>
    </row>
    <row r="85" spans="1:5" ht="15.75" customHeight="1" x14ac:dyDescent="0.4">
      <c r="A85" s="38" t="str">
        <f ca="1">IFERROR(__xludf.DUMMYFUNCTION("""COMPUTED_VALUE"""),"everon2")</f>
        <v>everon2</v>
      </c>
      <c r="B85" s="38" t="str">
        <f ca="1">IFERROR(__xludf.DUMMYFUNCTION("""COMPUTED_VALUE"""),"Everon Hotring")</f>
        <v>Everon Hotring</v>
      </c>
      <c r="C85" s="39">
        <f ca="1">IFERROR(__xludf.DUMMYFUNCTION("""COMPUTED_VALUE"""),85000)</f>
        <v>85000</v>
      </c>
      <c r="D85" s="39" t="str">
        <f ca="1">IFERROR(__xludf.DUMMYFUNCTION("""COMPUTED_VALUE"""),"Deportivo")</f>
        <v>Deportivo</v>
      </c>
      <c r="E85" s="40" t="str">
        <f ca="1">IFERROR(__xludf.DUMMYFUNCTION("""COMPUTED_VALUE"""),"https://docs.fivem.net/vehicles/everon2.webp")</f>
        <v>https://docs.fivem.net/vehicles/everon2.webp</v>
      </c>
    </row>
    <row r="86" spans="1:5" ht="15.75" customHeight="1" x14ac:dyDescent="0.4">
      <c r="A86" s="38" t="str">
        <f ca="1">IFERROR(__xludf.DUMMYFUNCTION("""COMPUTED_VALUE"""),"feltzer2")</f>
        <v>feltzer2</v>
      </c>
      <c r="B86" s="38" t="str">
        <f ca="1">IFERROR(__xludf.DUMMYFUNCTION("""COMPUTED_VALUE"""),"Feltzer")</f>
        <v>Feltzer</v>
      </c>
      <c r="C86" s="39">
        <f ca="1">IFERROR(__xludf.DUMMYFUNCTION("""COMPUTED_VALUE"""),82000)</f>
        <v>82000</v>
      </c>
      <c r="D86" s="39" t="str">
        <f ca="1">IFERROR(__xludf.DUMMYFUNCTION("""COMPUTED_VALUE"""),"Deportivo")</f>
        <v>Deportivo</v>
      </c>
      <c r="E86" s="40" t="str">
        <f ca="1">IFERROR(__xludf.DUMMYFUNCTION("""COMPUTED_VALUE"""),"https://docs.fivem.net/vehicles/feltzer2.webp")</f>
        <v>https://docs.fivem.net/vehicles/feltzer2.webp</v>
      </c>
    </row>
    <row r="87" spans="1:5" ht="15.75" customHeight="1" x14ac:dyDescent="0.4">
      <c r="A87" s="38" t="str">
        <f ca="1">IFERROR(__xludf.DUMMYFUNCTION("""COMPUTED_VALUE"""),"flashgt")</f>
        <v>flashgt</v>
      </c>
      <c r="B87" s="38" t="str">
        <f ca="1">IFERROR(__xludf.DUMMYFUNCTION("""COMPUTED_VALUE"""),"Flash GT")</f>
        <v>Flash GT</v>
      </c>
      <c r="C87" s="39">
        <f ca="1">IFERROR(__xludf.DUMMYFUNCTION("""COMPUTED_VALUE"""),105000)</f>
        <v>105000</v>
      </c>
      <c r="D87" s="39" t="str">
        <f ca="1">IFERROR(__xludf.DUMMYFUNCTION("""COMPUTED_VALUE"""),"Deportivo")</f>
        <v>Deportivo</v>
      </c>
      <c r="E87" s="40" t="str">
        <f ca="1">IFERROR(__xludf.DUMMYFUNCTION("""COMPUTED_VALUE"""),"https://docs.fivem.net/vehicles/flashgt.webp")</f>
        <v>https://docs.fivem.net/vehicles/flashgt.webp</v>
      </c>
    </row>
    <row r="88" spans="1:5" ht="15.75" customHeight="1" x14ac:dyDescent="0.4">
      <c r="A88" s="38" t="str">
        <f ca="1">IFERROR(__xludf.DUMMYFUNCTION("""COMPUTED_VALUE"""),"furoregt")</f>
        <v>furoregt</v>
      </c>
      <c r="B88" s="38" t="str">
        <f ca="1">IFERROR(__xludf.DUMMYFUNCTION("""COMPUTED_VALUE"""),"Furore GT")</f>
        <v>Furore GT</v>
      </c>
      <c r="C88" s="39">
        <f ca="1">IFERROR(__xludf.DUMMYFUNCTION("""COMPUTED_VALUE"""),87500)</f>
        <v>87500</v>
      </c>
      <c r="D88" s="39" t="str">
        <f ca="1">IFERROR(__xludf.DUMMYFUNCTION("""COMPUTED_VALUE"""),"Deportivo")</f>
        <v>Deportivo</v>
      </c>
      <c r="E88" s="40" t="str">
        <f ca="1">IFERROR(__xludf.DUMMYFUNCTION("""COMPUTED_VALUE"""),"https://docs.fivem.net/vehicles/furoregt.webp")</f>
        <v>https://docs.fivem.net/vehicles/furoregt.webp</v>
      </c>
    </row>
    <row r="89" spans="1:5" ht="15.75" customHeight="1" x14ac:dyDescent="0.4">
      <c r="A89" s="38" t="str">
        <f ca="1">IFERROR(__xludf.DUMMYFUNCTION("""COMPUTED_VALUE"""),"futo2")</f>
        <v>futo2</v>
      </c>
      <c r="B89" s="38" t="str">
        <f ca="1">IFERROR(__xludf.DUMMYFUNCTION("""COMPUTED_VALUE"""),"Futo GTX")</f>
        <v>Futo GTX</v>
      </c>
      <c r="C89" s="39">
        <f ca="1">IFERROR(__xludf.DUMMYFUNCTION("""COMPUTED_VALUE"""),39000)</f>
        <v>39000</v>
      </c>
      <c r="D89" s="39" t="str">
        <f ca="1">IFERROR(__xludf.DUMMYFUNCTION("""COMPUTED_VALUE"""),"Deportivo")</f>
        <v>Deportivo</v>
      </c>
      <c r="E89" s="40" t="str">
        <f ca="1">IFERROR(__xludf.DUMMYFUNCTION("""COMPUTED_VALUE"""),"https://docs.fivem.net/vehicles/futo2.webp")</f>
        <v>https://docs.fivem.net/vehicles/futo2.webp</v>
      </c>
    </row>
    <row r="90" spans="1:5" ht="15.75" customHeight="1" x14ac:dyDescent="0.4">
      <c r="A90" s="38" t="str">
        <f ca="1">IFERROR(__xludf.DUMMYFUNCTION("""COMPUTED_VALUE"""),"gauntlet6")</f>
        <v>gauntlet6</v>
      </c>
      <c r="B90" s="38" t="str">
        <f ca="1">IFERROR(__xludf.DUMMYFUNCTION("""COMPUTED_VALUE"""),"Hotring Hellfire")</f>
        <v>Hotring Hellfire</v>
      </c>
      <c r="C90" s="39">
        <f ca="1">IFERROR(__xludf.DUMMYFUNCTION("""COMPUTED_VALUE"""),90000)</f>
        <v>90000</v>
      </c>
      <c r="D90" s="39" t="str">
        <f ca="1">IFERROR(__xludf.DUMMYFUNCTION("""COMPUTED_VALUE"""),"Deportivo")</f>
        <v>Deportivo</v>
      </c>
      <c r="E90" s="40" t="str">
        <f ca="1">IFERROR(__xludf.DUMMYFUNCTION("""COMPUTED_VALUE"""),"https://docs.fivem.net/vehicles/gauntlet6.webp")</f>
        <v>https://docs.fivem.net/vehicles/gauntlet6.webp</v>
      </c>
    </row>
    <row r="91" spans="1:5" ht="15.75" customHeight="1" x14ac:dyDescent="0.4">
      <c r="A91" s="38" t="str">
        <f ca="1">IFERROR(__xludf.DUMMYFUNCTION("""COMPUTED_VALUE"""),"gb200")</f>
        <v>gb200</v>
      </c>
      <c r="B91" s="38" t="str">
        <f ca="1">IFERROR(__xludf.DUMMYFUNCTION("""COMPUTED_VALUE"""),"GB 200")</f>
        <v>GB 200</v>
      </c>
      <c r="C91" s="39">
        <f ca="1">IFERROR(__xludf.DUMMYFUNCTION("""COMPUTED_VALUE"""),74000)</f>
        <v>74000</v>
      </c>
      <c r="D91" s="39" t="str">
        <f ca="1">IFERROR(__xludf.DUMMYFUNCTION("""COMPUTED_VALUE"""),"Deportivo")</f>
        <v>Deportivo</v>
      </c>
      <c r="E91" s="40" t="str">
        <f ca="1">IFERROR(__xludf.DUMMYFUNCTION("""COMPUTED_VALUE"""),"https://docs.fivem.net/vehicles/gb200.webp")</f>
        <v>https://docs.fivem.net/vehicles/gb200.webp</v>
      </c>
    </row>
    <row r="92" spans="1:5" ht="15.75" customHeight="1" x14ac:dyDescent="0.4">
      <c r="A92" s="38" t="str">
        <f ca="1">IFERROR(__xludf.DUMMYFUNCTION("""COMPUTED_VALUE"""),"growler")</f>
        <v>growler</v>
      </c>
      <c r="B92" s="38" t="str">
        <f ca="1">IFERROR(__xludf.DUMMYFUNCTION("""COMPUTED_VALUE"""),"Growler")</f>
        <v>Growler</v>
      </c>
      <c r="C92" s="39">
        <f ca="1">IFERROR(__xludf.DUMMYFUNCTION("""COMPUTED_VALUE"""),115000)</f>
        <v>115000</v>
      </c>
      <c r="D92" s="39" t="str">
        <f ca="1">IFERROR(__xludf.DUMMYFUNCTION("""COMPUTED_VALUE"""),"Deportivo")</f>
        <v>Deportivo</v>
      </c>
      <c r="E92" s="40" t="str">
        <f ca="1">IFERROR(__xludf.DUMMYFUNCTION("""COMPUTED_VALUE"""),"https://docs.fivem.net/vehicles/growler.webp")</f>
        <v>https://docs.fivem.net/vehicles/growler.webp</v>
      </c>
    </row>
    <row r="93" spans="1:5" ht="15.75" customHeight="1" x14ac:dyDescent="0.4">
      <c r="A93" s="38" t="str">
        <f ca="1">IFERROR(__xludf.DUMMYFUNCTION("""COMPUTED_VALUE"""),"imorgon")</f>
        <v>imorgon</v>
      </c>
      <c r="B93" s="38" t="str">
        <f ca="1">IFERROR(__xludf.DUMMYFUNCTION("""COMPUTED_VALUE"""),"Imorgon")</f>
        <v>Imorgon</v>
      </c>
      <c r="C93" s="39">
        <f ca="1">IFERROR(__xludf.DUMMYFUNCTION("""COMPUTED_VALUE"""),89000)</f>
        <v>89000</v>
      </c>
      <c r="D93" s="39" t="str">
        <f ca="1">IFERROR(__xludf.DUMMYFUNCTION("""COMPUTED_VALUE"""),"Deportivo")</f>
        <v>Deportivo</v>
      </c>
      <c r="E93" s="40" t="str">
        <f ca="1">IFERROR(__xludf.DUMMYFUNCTION("""COMPUTED_VALUE"""),"https://docs.fivem.net/vehicles/imorgon.webp")</f>
        <v>https://docs.fivem.net/vehicles/imorgon.webp</v>
      </c>
    </row>
    <row r="94" spans="1:5" ht="15.75" customHeight="1" x14ac:dyDescent="0.4">
      <c r="A94" s="38" t="str">
        <f ca="1">IFERROR(__xludf.DUMMYFUNCTION("""COMPUTED_VALUE"""),"italigto")</f>
        <v>italigto</v>
      </c>
      <c r="B94" s="38" t="str">
        <f ca="1">IFERROR(__xludf.DUMMYFUNCTION("""COMPUTED_VALUE"""),"Itali GTO")</f>
        <v>Itali GTO</v>
      </c>
      <c r="C94" s="39">
        <f ca="1">IFERROR(__xludf.DUMMYFUNCTION("""COMPUTED_VALUE"""),215000)</f>
        <v>215000</v>
      </c>
      <c r="D94" s="39" t="str">
        <f ca="1">IFERROR(__xludf.DUMMYFUNCTION("""COMPUTED_VALUE"""),"Deportivo")</f>
        <v>Deportivo</v>
      </c>
      <c r="E94" s="40" t="str">
        <f ca="1">IFERROR(__xludf.DUMMYFUNCTION("""COMPUTED_VALUE"""),"https://docs.fivem.net/vehicles/italigto.webp")</f>
        <v>https://docs.fivem.net/vehicles/italigto.webp</v>
      </c>
    </row>
    <row r="95" spans="1:5" ht="15.75" customHeight="1" x14ac:dyDescent="0.4">
      <c r="A95" s="38" t="str">
        <f ca="1">IFERROR(__xludf.DUMMYFUNCTION("""COMPUTED_VALUE"""),"jester")</f>
        <v>jester</v>
      </c>
      <c r="B95" s="38" t="str">
        <f ca="1">IFERROR(__xludf.DUMMYFUNCTION("""COMPUTED_VALUE"""),"Jester")</f>
        <v>Jester</v>
      </c>
      <c r="C95" s="39">
        <f ca="1">IFERROR(__xludf.DUMMYFUNCTION("""COMPUTED_VALUE"""),145000)</f>
        <v>145000</v>
      </c>
      <c r="D95" s="39" t="str">
        <f ca="1">IFERROR(__xludf.DUMMYFUNCTION("""COMPUTED_VALUE"""),"Deportivo")</f>
        <v>Deportivo</v>
      </c>
      <c r="E95" s="40" t="str">
        <f ca="1">IFERROR(__xludf.DUMMYFUNCTION("""COMPUTED_VALUE"""),"https://docs.fivem.net/vehicles/jester.webp")</f>
        <v>https://docs.fivem.net/vehicles/jester.webp</v>
      </c>
    </row>
    <row r="96" spans="1:5" ht="15.75" customHeight="1" x14ac:dyDescent="0.4">
      <c r="A96" s="38" t="str">
        <f ca="1">IFERROR(__xludf.DUMMYFUNCTION("""COMPUTED_VALUE"""),"jester2")</f>
        <v>jester2</v>
      </c>
      <c r="B96" s="38" t="str">
        <f ca="1">IFERROR(__xludf.DUMMYFUNCTION("""COMPUTED_VALUE"""),"Jester Racecar")</f>
        <v>Jester Racecar</v>
      </c>
      <c r="C96" s="39">
        <f ca="1">IFERROR(__xludf.DUMMYFUNCTION("""COMPUTED_VALUE"""),150000)</f>
        <v>150000</v>
      </c>
      <c r="D96" s="39" t="str">
        <f ca="1">IFERROR(__xludf.DUMMYFUNCTION("""COMPUTED_VALUE"""),"Deportivo")</f>
        <v>Deportivo</v>
      </c>
      <c r="E96" s="40" t="str">
        <f ca="1">IFERROR(__xludf.DUMMYFUNCTION("""COMPUTED_VALUE"""),"https://docs.fivem.net/vehicles/jester2.webp")</f>
        <v>https://docs.fivem.net/vehicles/jester2.webp</v>
      </c>
    </row>
    <row r="97" spans="1:5" ht="15.75" customHeight="1" x14ac:dyDescent="0.4">
      <c r="A97" s="38" t="str">
        <f ca="1">IFERROR(__xludf.DUMMYFUNCTION("""COMPUTED_VALUE"""),"jester3")</f>
        <v>jester3</v>
      </c>
      <c r="B97" s="38" t="str">
        <f ca="1">IFERROR(__xludf.DUMMYFUNCTION("""COMPUTED_VALUE"""),"Jester Classic")</f>
        <v>Jester Classic</v>
      </c>
      <c r="C97" s="39">
        <f ca="1">IFERROR(__xludf.DUMMYFUNCTION("""COMPUTED_VALUE"""),147000)</f>
        <v>147000</v>
      </c>
      <c r="D97" s="39" t="str">
        <f ca="1">IFERROR(__xludf.DUMMYFUNCTION("""COMPUTED_VALUE"""),"Deportivo")</f>
        <v>Deportivo</v>
      </c>
      <c r="E97" s="40" t="str">
        <f ca="1">IFERROR(__xludf.DUMMYFUNCTION("""COMPUTED_VALUE"""),"https://docs.fivem.net/vehicles/jester3.webp")</f>
        <v>https://docs.fivem.net/vehicles/jester3.webp</v>
      </c>
    </row>
    <row r="98" spans="1:5" ht="15.75" customHeight="1" x14ac:dyDescent="0.4">
      <c r="A98" s="38" t="str">
        <f ca="1">IFERROR(__xludf.DUMMYFUNCTION("""COMPUTED_VALUE"""),"jester4")</f>
        <v>jester4</v>
      </c>
      <c r="B98" s="38" t="str">
        <f ca="1">IFERROR(__xludf.DUMMYFUNCTION("""COMPUTED_VALUE"""),"Jester RR")</f>
        <v>Jester RR</v>
      </c>
      <c r="C98" s="39">
        <f ca="1">IFERROR(__xludf.DUMMYFUNCTION("""COMPUTED_VALUE"""),160000)</f>
        <v>160000</v>
      </c>
      <c r="D98" s="39" t="str">
        <f ca="1">IFERROR(__xludf.DUMMYFUNCTION("""COMPUTED_VALUE"""),"Deportivo")</f>
        <v>Deportivo</v>
      </c>
      <c r="E98" s="40" t="str">
        <f ca="1">IFERROR(__xludf.DUMMYFUNCTION("""COMPUTED_VALUE"""),"https://docs.fivem.net/vehicles/jester4.webp")</f>
        <v>https://docs.fivem.net/vehicles/jester4.webp</v>
      </c>
    </row>
    <row r="99" spans="1:5" ht="15.75" customHeight="1" x14ac:dyDescent="0.4">
      <c r="A99" s="38" t="str">
        <f ca="1">IFERROR(__xludf.DUMMYFUNCTION("""COMPUTED_VALUE"""),"jugular")</f>
        <v>jugular</v>
      </c>
      <c r="B99" s="38" t="str">
        <f ca="1">IFERROR(__xludf.DUMMYFUNCTION("""COMPUTED_VALUE"""),"Jugular")</f>
        <v>Jugular</v>
      </c>
      <c r="C99" s="39">
        <f ca="1">IFERROR(__xludf.DUMMYFUNCTION("""COMPUTED_VALUE"""),175000)</f>
        <v>175000</v>
      </c>
      <c r="D99" s="39" t="str">
        <f ca="1">IFERROR(__xludf.DUMMYFUNCTION("""COMPUTED_VALUE"""),"Deportivo")</f>
        <v>Deportivo</v>
      </c>
      <c r="E99" s="40" t="str">
        <f ca="1">IFERROR(__xludf.DUMMYFUNCTION("""COMPUTED_VALUE"""),"https://docs.fivem.net/vehicles/jugular.webp")</f>
        <v>https://docs.fivem.net/vehicles/jugular.webp</v>
      </c>
    </row>
    <row r="100" spans="1:5" ht="15.75" customHeight="1" x14ac:dyDescent="0.4">
      <c r="A100" s="38" t="str">
        <f ca="1">IFERROR(__xludf.DUMMYFUNCTION("""COMPUTED_VALUE"""),"khamelion")</f>
        <v>khamelion</v>
      </c>
      <c r="B100" s="38" t="str">
        <f ca="1">IFERROR(__xludf.DUMMYFUNCTION("""COMPUTED_VALUE"""),"Khamelion")</f>
        <v>Khamelion</v>
      </c>
      <c r="C100" s="39">
        <f ca="1">IFERROR(__xludf.DUMMYFUNCTION("""COMPUTED_VALUE"""),68000)</f>
        <v>68000</v>
      </c>
      <c r="D100" s="39" t="str">
        <f ca="1">IFERROR(__xludf.DUMMYFUNCTION("""COMPUTED_VALUE"""),"Deportivo")</f>
        <v>Deportivo</v>
      </c>
      <c r="E100" s="40" t="str">
        <f ca="1">IFERROR(__xludf.DUMMYFUNCTION("""COMPUTED_VALUE"""),"https://docs.fivem.net/vehicles/khamelion.webp")</f>
        <v>https://docs.fivem.net/vehicles/khamelion.webp</v>
      </c>
    </row>
    <row r="101" spans="1:5" ht="15.75" customHeight="1" x14ac:dyDescent="0.4">
      <c r="A101" s="38" t="str">
        <f ca="1">IFERROR(__xludf.DUMMYFUNCTION("""COMPUTED_VALUE"""),"komoda")</f>
        <v>komoda</v>
      </c>
      <c r="B101" s="38" t="str">
        <f ca="1">IFERROR(__xludf.DUMMYFUNCTION("""COMPUTED_VALUE"""),"Komoda")</f>
        <v>Komoda</v>
      </c>
      <c r="C101" s="39">
        <f ca="1">IFERROR(__xludf.DUMMYFUNCTION("""COMPUTED_VALUE"""),95000)</f>
        <v>95000</v>
      </c>
      <c r="D101" s="39" t="str">
        <f ca="1">IFERROR(__xludf.DUMMYFUNCTION("""COMPUTED_VALUE"""),"Deportivo")</f>
        <v>Deportivo</v>
      </c>
      <c r="E101" s="40" t="str">
        <f ca="1">IFERROR(__xludf.DUMMYFUNCTION("""COMPUTED_VALUE"""),"https://docs.fivem.net/vehicles/komoda.webp")</f>
        <v>https://docs.fivem.net/vehicles/komoda.webp</v>
      </c>
    </row>
    <row r="102" spans="1:5" ht="15.75" customHeight="1" x14ac:dyDescent="0.4">
      <c r="A102" s="38" t="str">
        <f ca="1">IFERROR(__xludf.DUMMYFUNCTION("""COMPUTED_VALUE"""),"kuruma")</f>
        <v>kuruma</v>
      </c>
      <c r="B102" s="38" t="str">
        <f ca="1">IFERROR(__xludf.DUMMYFUNCTION("""COMPUTED_VALUE"""),"Kuruma")</f>
        <v>Kuruma</v>
      </c>
      <c r="C102" s="39">
        <f ca="1">IFERROR(__xludf.DUMMYFUNCTION("""COMPUTED_VALUE"""),65000)</f>
        <v>65000</v>
      </c>
      <c r="D102" s="39" t="str">
        <f ca="1">IFERROR(__xludf.DUMMYFUNCTION("""COMPUTED_VALUE"""),"Deportivo")</f>
        <v>Deportivo</v>
      </c>
      <c r="E102" s="40" t="str">
        <f ca="1">IFERROR(__xludf.DUMMYFUNCTION("""COMPUTED_VALUE"""),"https://docs.fivem.net/vehicles/kuruma.webp")</f>
        <v>https://docs.fivem.net/vehicles/kuruma.webp</v>
      </c>
    </row>
    <row r="103" spans="1:5" ht="15.75" customHeight="1" x14ac:dyDescent="0.4">
      <c r="A103" s="38" t="str">
        <f ca="1">IFERROR(__xludf.DUMMYFUNCTION("""COMPUTED_VALUE"""),"locust")</f>
        <v>locust</v>
      </c>
      <c r="B103" s="38" t="str">
        <f ca="1">IFERROR(__xludf.DUMMYFUNCTION("""COMPUTED_VALUE"""),"Locust")</f>
        <v>Locust</v>
      </c>
      <c r="C103" s="39">
        <f ca="1">IFERROR(__xludf.DUMMYFUNCTION("""COMPUTED_VALUE"""),120000)</f>
        <v>120000</v>
      </c>
      <c r="D103" s="39" t="str">
        <f ca="1">IFERROR(__xludf.DUMMYFUNCTION("""COMPUTED_VALUE"""),"Deportivo")</f>
        <v>Deportivo</v>
      </c>
      <c r="E103" s="40" t="str">
        <f ca="1">IFERROR(__xludf.DUMMYFUNCTION("""COMPUTED_VALUE"""),"https://docs.fivem.net/vehicles/locust.webp")</f>
        <v>https://docs.fivem.net/vehicles/locust.webp</v>
      </c>
    </row>
    <row r="104" spans="1:5" ht="15.75" customHeight="1" x14ac:dyDescent="0.4">
      <c r="A104" s="38" t="str">
        <f ca="1">IFERROR(__xludf.DUMMYFUNCTION("""COMPUTED_VALUE"""),"lynx")</f>
        <v>lynx</v>
      </c>
      <c r="B104" s="38" t="str">
        <f ca="1">IFERROR(__xludf.DUMMYFUNCTION("""COMPUTED_VALUE"""),"Lynx")</f>
        <v>Lynx</v>
      </c>
      <c r="C104" s="39">
        <f ca="1">IFERROR(__xludf.DUMMYFUNCTION("""COMPUTED_VALUE"""),115000)</f>
        <v>115000</v>
      </c>
      <c r="D104" s="39" t="str">
        <f ca="1">IFERROR(__xludf.DUMMYFUNCTION("""COMPUTED_VALUE"""),"Deportivo")</f>
        <v>Deportivo</v>
      </c>
      <c r="E104" s="40" t="str">
        <f ca="1">IFERROR(__xludf.DUMMYFUNCTION("""COMPUTED_VALUE"""),"https://docs.fivem.net/vehicles/lynx.webp")</f>
        <v>https://docs.fivem.net/vehicles/lynx.webp</v>
      </c>
    </row>
    <row r="105" spans="1:5" ht="15.75" customHeight="1" x14ac:dyDescent="0.4">
      <c r="A105" s="38" t="str">
        <f ca="1">IFERROR(__xludf.DUMMYFUNCTION("""COMPUTED_VALUE"""),"massacro")</f>
        <v>massacro</v>
      </c>
      <c r="B105" s="38" t="str">
        <f ca="1">IFERROR(__xludf.DUMMYFUNCTION("""COMPUTED_VALUE"""),"Massacro")</f>
        <v>Massacro</v>
      </c>
      <c r="C105" s="39">
        <f ca="1">IFERROR(__xludf.DUMMYFUNCTION("""COMPUTED_VALUE"""),120000)</f>
        <v>120000</v>
      </c>
      <c r="D105" s="39" t="str">
        <f ca="1">IFERROR(__xludf.DUMMYFUNCTION("""COMPUTED_VALUE"""),"Deportivo")</f>
        <v>Deportivo</v>
      </c>
      <c r="E105" s="40" t="str">
        <f ca="1">IFERROR(__xludf.DUMMYFUNCTION("""COMPUTED_VALUE"""),"https://docs.fivem.net/vehicles/massacro.webp")</f>
        <v>https://docs.fivem.net/vehicles/massacro.webp</v>
      </c>
    </row>
    <row r="106" spans="1:5" ht="15.75" customHeight="1" x14ac:dyDescent="0.4">
      <c r="A106" s="38" t="str">
        <f ca="1">IFERROR(__xludf.DUMMYFUNCTION("""COMPUTED_VALUE"""),"massacro2")</f>
        <v>massacro2</v>
      </c>
      <c r="B106" s="38" t="str">
        <f ca="1">IFERROR(__xludf.DUMMYFUNCTION("""COMPUTED_VALUE"""),"Massacro Racecar")</f>
        <v>Massacro Racecar</v>
      </c>
      <c r="C106" s="39">
        <f ca="1">IFERROR(__xludf.DUMMYFUNCTION("""COMPUTED_VALUE"""),125000)</f>
        <v>125000</v>
      </c>
      <c r="D106" s="39" t="str">
        <f ca="1">IFERROR(__xludf.DUMMYFUNCTION("""COMPUTED_VALUE"""),"Deportivo")</f>
        <v>Deportivo</v>
      </c>
      <c r="E106" s="40" t="str">
        <f ca="1">IFERROR(__xludf.DUMMYFUNCTION("""COMPUTED_VALUE"""),"https://docs.fivem.net/vehicles/massacro2.webp")</f>
        <v>https://docs.fivem.net/vehicles/massacro2.webp</v>
      </c>
    </row>
    <row r="107" spans="1:5" ht="15.75" customHeight="1" x14ac:dyDescent="0.4">
      <c r="A107" s="38" t="str">
        <f ca="1">IFERROR(__xludf.DUMMYFUNCTION("""COMPUTED_VALUE"""),"neo")</f>
        <v>neo</v>
      </c>
      <c r="B107" s="38" t="str">
        <f ca="1">IFERROR(__xludf.DUMMYFUNCTION("""COMPUTED_VALUE"""),"Neo")</f>
        <v>Neo</v>
      </c>
      <c r="C107" s="39">
        <f ca="1">IFERROR(__xludf.DUMMYFUNCTION("""COMPUTED_VALUE"""),230000)</f>
        <v>230000</v>
      </c>
      <c r="D107" s="39" t="str">
        <f ca="1">IFERROR(__xludf.DUMMYFUNCTION("""COMPUTED_VALUE"""),"Deportivo")</f>
        <v>Deportivo</v>
      </c>
      <c r="E107" s="40" t="str">
        <f ca="1">IFERROR(__xludf.DUMMYFUNCTION("""COMPUTED_VALUE"""),"https://docs.fivem.net/vehicles/neo.webp")</f>
        <v>https://docs.fivem.net/vehicles/neo.webp</v>
      </c>
    </row>
    <row r="108" spans="1:5" ht="15.75" customHeight="1" x14ac:dyDescent="0.4">
      <c r="A108" s="38" t="str">
        <f ca="1">IFERROR(__xludf.DUMMYFUNCTION("""COMPUTED_VALUE"""),"neon")</f>
        <v>neon</v>
      </c>
      <c r="B108" s="38" t="str">
        <f ca="1">IFERROR(__xludf.DUMMYFUNCTION("""COMPUTED_VALUE"""),"Neon")</f>
        <v>Neon</v>
      </c>
      <c r="C108" s="39">
        <f ca="1">IFERROR(__xludf.DUMMYFUNCTION("""COMPUTED_VALUE"""),105000)</f>
        <v>105000</v>
      </c>
      <c r="D108" s="39" t="str">
        <f ca="1">IFERROR(__xludf.DUMMYFUNCTION("""COMPUTED_VALUE"""),"Deportivo")</f>
        <v>Deportivo</v>
      </c>
      <c r="E108" s="40" t="str">
        <f ca="1">IFERROR(__xludf.DUMMYFUNCTION("""COMPUTED_VALUE"""),"https://docs.fivem.net/vehicles/neon.webp")</f>
        <v>https://docs.fivem.net/vehicles/neon.webp</v>
      </c>
    </row>
    <row r="109" spans="1:5" ht="15.75" customHeight="1" x14ac:dyDescent="0.4">
      <c r="A109" s="38" t="str">
        <f ca="1">IFERROR(__xludf.DUMMYFUNCTION("""COMPUTED_VALUE"""),"ninef")</f>
        <v>ninef</v>
      </c>
      <c r="B109" s="38" t="str">
        <f ca="1">IFERROR(__xludf.DUMMYFUNCTION("""COMPUTED_VALUE"""),"9F")</f>
        <v>9F</v>
      </c>
      <c r="C109" s="39">
        <f ca="1">IFERROR(__xludf.DUMMYFUNCTION("""COMPUTED_VALUE"""),95000)</f>
        <v>95000</v>
      </c>
      <c r="D109" s="39" t="str">
        <f ca="1">IFERROR(__xludf.DUMMYFUNCTION("""COMPUTED_VALUE"""),"Deportivo")</f>
        <v>Deportivo</v>
      </c>
      <c r="E109" s="40" t="str">
        <f ca="1">IFERROR(__xludf.DUMMYFUNCTION("""COMPUTED_VALUE"""),"https://docs.fivem.net/vehicles/ninef.webp")</f>
        <v>https://docs.fivem.net/vehicles/ninef.webp</v>
      </c>
    </row>
    <row r="110" spans="1:5" ht="15.75" customHeight="1" x14ac:dyDescent="0.4">
      <c r="A110" s="38" t="str">
        <f ca="1">IFERROR(__xludf.DUMMYFUNCTION("""COMPUTED_VALUE"""),"ninef2")</f>
        <v>ninef2</v>
      </c>
      <c r="B110" s="38" t="str">
        <f ca="1">IFERROR(__xludf.DUMMYFUNCTION("""COMPUTED_VALUE"""),"9F Cabrio")</f>
        <v>9F Cabrio</v>
      </c>
      <c r="C110" s="39">
        <f ca="1">IFERROR(__xludf.DUMMYFUNCTION("""COMPUTED_VALUE"""),100000)</f>
        <v>100000</v>
      </c>
      <c r="D110" s="39" t="str">
        <f ca="1">IFERROR(__xludf.DUMMYFUNCTION("""COMPUTED_VALUE"""),"Deportivo")</f>
        <v>Deportivo</v>
      </c>
      <c r="E110" s="40" t="str">
        <f ca="1">IFERROR(__xludf.DUMMYFUNCTION("""COMPUTED_VALUE"""),"https://docs.fivem.net/vehicles/ninef2.webp")</f>
        <v>https://docs.fivem.net/vehicles/ninef2.webp</v>
      </c>
    </row>
    <row r="111" spans="1:5" ht="15.75" customHeight="1" x14ac:dyDescent="0.4">
      <c r="A111" s="38" t="str">
        <f ca="1">IFERROR(__xludf.DUMMYFUNCTION("""COMPUTED_VALUE"""),"niobe")</f>
        <v>niobe</v>
      </c>
      <c r="B111" s="38" t="str">
        <f ca="1">IFERROR(__xludf.DUMMYFUNCTION("""COMPUTED_VALUE"""),"Niobe")</f>
        <v>Niobe</v>
      </c>
      <c r="C111" s="39">
        <f ca="1">IFERROR(__xludf.DUMMYFUNCTION("""COMPUTED_VALUE"""),180000)</f>
        <v>180000</v>
      </c>
      <c r="D111" s="39" t="str">
        <f ca="1">IFERROR(__xludf.DUMMYFUNCTION("""COMPUTED_VALUE"""),"Deportivo")</f>
        <v>Deportivo</v>
      </c>
      <c r="E111" s="40" t="str">
        <f ca="1">IFERROR(__xludf.DUMMYFUNCTION("""COMPUTED_VALUE"""),"https://docs.fivem.net/vehicles/niobe.webp")</f>
        <v>https://docs.fivem.net/vehicles/niobe.webp</v>
      </c>
    </row>
    <row r="112" spans="1:5" ht="15.75" customHeight="1" x14ac:dyDescent="0.4">
      <c r="A112" s="38" t="str">
        <f ca="1">IFERROR(__xludf.DUMMYFUNCTION("""COMPUTED_VALUE"""),"omnis")</f>
        <v>omnis</v>
      </c>
      <c r="B112" s="38" t="str">
        <f ca="1">IFERROR(__xludf.DUMMYFUNCTION("""COMPUTED_VALUE"""),"Omnis")</f>
        <v>Omnis</v>
      </c>
      <c r="C112" s="39">
        <f ca="1">IFERROR(__xludf.DUMMYFUNCTION("""COMPUTED_VALUE"""),65000)</f>
        <v>65000</v>
      </c>
      <c r="D112" s="39" t="str">
        <f ca="1">IFERROR(__xludf.DUMMYFUNCTION("""COMPUTED_VALUE"""),"Deportivo")</f>
        <v>Deportivo</v>
      </c>
      <c r="E112" s="40" t="str">
        <f ca="1">IFERROR(__xludf.DUMMYFUNCTION("""COMPUTED_VALUE"""),"https://docs.fivem.net/vehicles/omnis.webp")</f>
        <v>https://docs.fivem.net/vehicles/omnis.webp</v>
      </c>
    </row>
    <row r="113" spans="1:5" ht="15.75" customHeight="1" x14ac:dyDescent="0.4">
      <c r="A113" s="38" t="str">
        <f ca="1">IFERROR(__xludf.DUMMYFUNCTION("""COMPUTED_VALUE"""),"omnisegt")</f>
        <v>omnisegt</v>
      </c>
      <c r="B113" s="38" t="str">
        <f ca="1">IFERROR(__xludf.DUMMYFUNCTION("""COMPUTED_VALUE"""),"Omnis e-GT")</f>
        <v>Omnis e-GT</v>
      </c>
      <c r="C113" s="39">
        <f ca="1">IFERROR(__xludf.DUMMYFUNCTION("""COMPUTED_VALUE"""),94000)</f>
        <v>94000</v>
      </c>
      <c r="D113" s="39" t="str">
        <f ca="1">IFERROR(__xludf.DUMMYFUNCTION("""COMPUTED_VALUE"""),"Deportivo")</f>
        <v>Deportivo</v>
      </c>
      <c r="E113" s="40" t="str">
        <f ca="1">IFERROR(__xludf.DUMMYFUNCTION("""COMPUTED_VALUE"""),"https://docs.fivem.net/vehicles/omnisegt.webp")</f>
        <v>https://docs.fivem.net/vehicles/omnisegt.webp</v>
      </c>
    </row>
    <row r="114" spans="1:5" ht="15.75" customHeight="1" x14ac:dyDescent="0.4">
      <c r="A114" s="38" t="str">
        <f ca="1">IFERROR(__xludf.DUMMYFUNCTION("""COMPUTED_VALUE"""),"panthere")</f>
        <v>panthere</v>
      </c>
      <c r="B114" s="38" t="str">
        <f ca="1">IFERROR(__xludf.DUMMYFUNCTION("""COMPUTED_VALUE"""),"Panthere")</f>
        <v>Panthere</v>
      </c>
      <c r="C114" s="39">
        <f ca="1">IFERROR(__xludf.DUMMYFUNCTION("""COMPUTED_VALUE"""),68000)</f>
        <v>68000</v>
      </c>
      <c r="D114" s="39" t="str">
        <f ca="1">IFERROR(__xludf.DUMMYFUNCTION("""COMPUTED_VALUE"""),"Deportivo")</f>
        <v>Deportivo</v>
      </c>
      <c r="E114" s="40" t="str">
        <f ca="1">IFERROR(__xludf.DUMMYFUNCTION("""COMPUTED_VALUE"""),"https://docs.fivem.net/vehicles/panthere.webp")</f>
        <v>https://docs.fivem.net/vehicles/panthere.webp</v>
      </c>
    </row>
    <row r="115" spans="1:5" ht="15.75" customHeight="1" x14ac:dyDescent="0.4">
      <c r="A115" s="38" t="str">
        <f ca="1">IFERROR(__xludf.DUMMYFUNCTION("""COMPUTED_VALUE"""),"paragon")</f>
        <v>paragon</v>
      </c>
      <c r="B115" s="38" t="str">
        <f ca="1">IFERROR(__xludf.DUMMYFUNCTION("""COMPUTED_VALUE"""),"Paragon")</f>
        <v>Paragon</v>
      </c>
      <c r="C115" s="39">
        <f ca="1">IFERROR(__xludf.DUMMYFUNCTION("""COMPUTED_VALUE"""),98000)</f>
        <v>98000</v>
      </c>
      <c r="D115" s="39" t="str">
        <f ca="1">IFERROR(__xludf.DUMMYFUNCTION("""COMPUTED_VALUE"""),"Deportivo")</f>
        <v>Deportivo</v>
      </c>
      <c r="E115" s="40" t="str">
        <f ca="1">IFERROR(__xludf.DUMMYFUNCTION("""COMPUTED_VALUE"""),"https://docs.fivem.net/vehicles/paragon.webp")</f>
        <v>https://docs.fivem.net/vehicles/paragon.webp</v>
      </c>
    </row>
    <row r="116" spans="1:5" ht="15.75" customHeight="1" x14ac:dyDescent="0.4">
      <c r="A116" s="38" t="str">
        <f ca="1">IFERROR(__xludf.DUMMYFUNCTION("""COMPUTED_VALUE"""),"paragon3")</f>
        <v>paragon3</v>
      </c>
      <c r="B116" s="38" t="str">
        <f ca="1">IFERROR(__xludf.DUMMYFUNCTION("""COMPUTED_VALUE"""),"Paragon S")</f>
        <v>Paragon S</v>
      </c>
      <c r="C116" s="39">
        <f ca="1">IFERROR(__xludf.DUMMYFUNCTION("""COMPUTED_VALUE"""),125000)</f>
        <v>125000</v>
      </c>
      <c r="D116" s="39" t="str">
        <f ca="1">IFERROR(__xludf.DUMMYFUNCTION("""COMPUTED_VALUE"""),"Deportivo")</f>
        <v>Deportivo</v>
      </c>
      <c r="E116" s="40" t="str">
        <f ca="1">IFERROR(__xludf.DUMMYFUNCTION("""COMPUTED_VALUE"""),"https://docs.fivem.net/vehicles/paragon3.webp")</f>
        <v>https://docs.fivem.net/vehicles/paragon3.webp</v>
      </c>
    </row>
    <row r="117" spans="1:5" ht="15.75" customHeight="1" x14ac:dyDescent="0.4">
      <c r="A117" s="38" t="str">
        <f ca="1">IFERROR(__xludf.DUMMYFUNCTION("""COMPUTED_VALUE"""),"pariah")</f>
        <v>pariah</v>
      </c>
      <c r="B117" s="38" t="str">
        <f ca="1">IFERROR(__xludf.DUMMYFUNCTION("""COMPUTED_VALUE"""),"Pariah")</f>
        <v>Pariah</v>
      </c>
      <c r="C117" s="39">
        <f ca="1">IFERROR(__xludf.DUMMYFUNCTION("""COMPUTED_VALUE"""),108000)</f>
        <v>108000</v>
      </c>
      <c r="D117" s="39" t="str">
        <f ca="1">IFERROR(__xludf.DUMMYFUNCTION("""COMPUTED_VALUE"""),"Deportivo")</f>
        <v>Deportivo</v>
      </c>
      <c r="E117" s="40" t="str">
        <f ca="1">IFERROR(__xludf.DUMMYFUNCTION("""COMPUTED_VALUE"""),"https://docs.fivem.net/vehicles/pariah.webp")</f>
        <v>https://docs.fivem.net/vehicles/pariah.webp</v>
      </c>
    </row>
    <row r="118" spans="1:5" ht="15.75" customHeight="1" x14ac:dyDescent="0.4">
      <c r="A118" s="38" t="str">
        <f ca="1">IFERROR(__xludf.DUMMYFUNCTION("""COMPUTED_VALUE"""),"penumbra")</f>
        <v>penumbra</v>
      </c>
      <c r="B118" s="38" t="str">
        <f ca="1">IFERROR(__xludf.DUMMYFUNCTION("""COMPUTED_VALUE"""),"Penumbra")</f>
        <v>Penumbra</v>
      </c>
      <c r="C118" s="39">
        <f ca="1">IFERROR(__xludf.DUMMYFUNCTION("""COMPUTED_VALUE"""),45000)</f>
        <v>45000</v>
      </c>
      <c r="D118" s="39" t="str">
        <f ca="1">IFERROR(__xludf.DUMMYFUNCTION("""COMPUTED_VALUE"""),"Deportivo")</f>
        <v>Deportivo</v>
      </c>
      <c r="E118" s="40" t="str">
        <f ca="1">IFERROR(__xludf.DUMMYFUNCTION("""COMPUTED_VALUE"""),"https://docs.fivem.net/vehicles/penumbra.webp")</f>
        <v>https://docs.fivem.net/vehicles/penumbra.webp</v>
      </c>
    </row>
    <row r="119" spans="1:5" ht="15.75" customHeight="1" x14ac:dyDescent="0.4">
      <c r="A119" s="38" t="str">
        <f ca="1">IFERROR(__xludf.DUMMYFUNCTION("""COMPUTED_VALUE"""),"penumbra2")</f>
        <v>penumbra2</v>
      </c>
      <c r="B119" s="38" t="str">
        <f ca="1">IFERROR(__xludf.DUMMYFUNCTION("""COMPUTED_VALUE"""),"Penumbra FF")</f>
        <v>Penumbra FF</v>
      </c>
      <c r="C119" s="39">
        <f ca="1">IFERROR(__xludf.DUMMYFUNCTION("""COMPUTED_VALUE"""),50000)</f>
        <v>50000</v>
      </c>
      <c r="D119" s="39" t="str">
        <f ca="1">IFERROR(__xludf.DUMMYFUNCTION("""COMPUTED_VALUE"""),"Deportivo")</f>
        <v>Deportivo</v>
      </c>
      <c r="E119" s="40" t="str">
        <f ca="1">IFERROR(__xludf.DUMMYFUNCTION("""COMPUTED_VALUE"""),"https://docs.fivem.net/vehicles/penumbra2.webp")</f>
        <v>https://docs.fivem.net/vehicles/penumbra2.webp</v>
      </c>
    </row>
    <row r="120" spans="1:5" ht="15.75" customHeight="1" x14ac:dyDescent="0.4">
      <c r="A120" s="38" t="str">
        <f ca="1">IFERROR(__xludf.DUMMYFUNCTION("""COMPUTED_VALUE"""),"pipistrello")</f>
        <v>pipistrello</v>
      </c>
      <c r="B120" s="38" t="str">
        <f ca="1">IFERROR(__xludf.DUMMYFUNCTION("""COMPUTED_VALUE"""),"Pipistrello")</f>
        <v>Pipistrello</v>
      </c>
      <c r="C120" s="39">
        <f ca="1">IFERROR(__xludf.DUMMYFUNCTION("""COMPUTED_VALUE"""),195000)</f>
        <v>195000</v>
      </c>
      <c r="D120" s="39" t="str">
        <f ca="1">IFERROR(__xludf.DUMMYFUNCTION("""COMPUTED_VALUE"""),"Deportivo")</f>
        <v>Deportivo</v>
      </c>
      <c r="E120" s="40" t="str">
        <f ca="1">IFERROR(__xludf.DUMMYFUNCTION("""COMPUTED_VALUE"""),"https://docs.fivem.net/vehicles/pipistrello.webp")</f>
        <v>https://docs.fivem.net/vehicles/pipistrello.webp</v>
      </c>
    </row>
    <row r="121" spans="1:5" ht="15.75" customHeight="1" x14ac:dyDescent="0.4">
      <c r="A121" s="38" t="str">
        <f ca="1">IFERROR(__xludf.DUMMYFUNCTION("""COMPUTED_VALUE"""),"r300")</f>
        <v>r300</v>
      </c>
      <c r="B121" s="38" t="str">
        <f ca="1">IFERROR(__xludf.DUMMYFUNCTION("""COMPUTED_VALUE"""),"300R")</f>
        <v>300R</v>
      </c>
      <c r="C121" s="39">
        <f ca="1">IFERROR(__xludf.DUMMYFUNCTION("""COMPUTED_VALUE"""),65000)</f>
        <v>65000</v>
      </c>
      <c r="D121" s="39" t="str">
        <f ca="1">IFERROR(__xludf.DUMMYFUNCTION("""COMPUTED_VALUE"""),"Deportivo")</f>
        <v>Deportivo</v>
      </c>
      <c r="E121" s="40" t="str">
        <f ca="1">IFERROR(__xludf.DUMMYFUNCTION("""COMPUTED_VALUE"""),"https://docs.fivem.net/vehicles/r300.webp")</f>
        <v>https://docs.fivem.net/vehicles/r300.webp</v>
      </c>
    </row>
    <row r="122" spans="1:5" ht="15.75" customHeight="1" x14ac:dyDescent="0.4">
      <c r="A122" s="38" t="str">
        <f ca="1">IFERROR(__xludf.DUMMYFUNCTION("""COMPUTED_VALUE"""),"rapidgt")</f>
        <v>rapidgt</v>
      </c>
      <c r="B122" s="38" t="str">
        <f ca="1">IFERROR(__xludf.DUMMYFUNCTION("""COMPUTED_VALUE"""),"Rapid GT")</f>
        <v>Rapid GT</v>
      </c>
      <c r="C122" s="39">
        <f ca="1">IFERROR(__xludf.DUMMYFUNCTION("""COMPUTED_VALUE"""),80000)</f>
        <v>80000</v>
      </c>
      <c r="D122" s="39" t="str">
        <f ca="1">IFERROR(__xludf.DUMMYFUNCTION("""COMPUTED_VALUE"""),"Deportivo")</f>
        <v>Deportivo</v>
      </c>
      <c r="E122" s="40" t="str">
        <f ca="1">IFERROR(__xludf.DUMMYFUNCTION("""COMPUTED_VALUE"""),"https://docs.fivem.net/vehicles/rapidgt.webp")</f>
        <v>https://docs.fivem.net/vehicles/rapidgt.webp</v>
      </c>
    </row>
    <row r="123" spans="1:5" ht="15.75" customHeight="1" x14ac:dyDescent="0.4">
      <c r="A123" s="38" t="str">
        <f ca="1">IFERROR(__xludf.DUMMYFUNCTION("""COMPUTED_VALUE"""),"rapidgt2")</f>
        <v>rapidgt2</v>
      </c>
      <c r="B123" s="38" t="str">
        <f ca="1">IFERROR(__xludf.DUMMYFUNCTION("""COMPUTED_VALUE"""),"Rapid GT Convertible")</f>
        <v>Rapid GT Convertible</v>
      </c>
      <c r="C123" s="39">
        <f ca="1">IFERROR(__xludf.DUMMYFUNCTION("""COMPUTED_VALUE"""),22000)</f>
        <v>22000</v>
      </c>
      <c r="D123" s="39" t="str">
        <f ca="1">IFERROR(__xludf.DUMMYFUNCTION("""COMPUTED_VALUE"""),"Deportivo")</f>
        <v>Deportivo</v>
      </c>
      <c r="E123" s="40" t="str">
        <f ca="1">IFERROR(__xludf.DUMMYFUNCTION("""COMPUTED_VALUE"""),"https://docs.fivem.net/vehicles/rapidgt2.webp")</f>
        <v>https://docs.fivem.net/vehicles/rapidgt2.webp</v>
      </c>
    </row>
    <row r="124" spans="1:5" ht="15.75" customHeight="1" x14ac:dyDescent="0.4">
      <c r="A124" s="38" t="str">
        <f ca="1">IFERROR(__xludf.DUMMYFUNCTION("""COMPUTED_VALUE"""),"raptor")</f>
        <v>raptor</v>
      </c>
      <c r="B124" s="38" t="str">
        <f ca="1">IFERROR(__xludf.DUMMYFUNCTION("""COMPUTED_VALUE"""),"Raptor")</f>
        <v>Raptor</v>
      </c>
      <c r="C124" s="39">
        <f ca="1">IFERROR(__xludf.DUMMYFUNCTION("""COMPUTED_VALUE"""),42500)</f>
        <v>42500</v>
      </c>
      <c r="D124" s="39" t="str">
        <f ca="1">IFERROR(__xludf.DUMMYFUNCTION("""COMPUTED_VALUE"""),"Deportivo")</f>
        <v>Deportivo</v>
      </c>
      <c r="E124" s="40" t="str">
        <f ca="1">IFERROR(__xludf.DUMMYFUNCTION("""COMPUTED_VALUE"""),"https://docs.fivem.net/vehicles/raptor.webp")</f>
        <v>https://docs.fivem.net/vehicles/raptor.webp</v>
      </c>
    </row>
    <row r="125" spans="1:5" ht="15.75" customHeight="1" x14ac:dyDescent="0.4">
      <c r="A125" s="38" t="str">
        <f ca="1">IFERROR(__xludf.DUMMYFUNCTION("""COMPUTED_VALUE"""),"remus")</f>
        <v>remus</v>
      </c>
      <c r="B125" s="38" t="str">
        <f ca="1">IFERROR(__xludf.DUMMYFUNCTION("""COMPUTED_VALUE"""),"Remus")</f>
        <v>Remus</v>
      </c>
      <c r="C125" s="39">
        <f ca="1">IFERROR(__xludf.DUMMYFUNCTION("""COMPUTED_VALUE"""),48000)</f>
        <v>48000</v>
      </c>
      <c r="D125" s="39" t="str">
        <f ca="1">IFERROR(__xludf.DUMMYFUNCTION("""COMPUTED_VALUE"""),"Deportivo")</f>
        <v>Deportivo</v>
      </c>
      <c r="E125" s="40" t="str">
        <f ca="1">IFERROR(__xludf.DUMMYFUNCTION("""COMPUTED_VALUE"""),"https://docs.fivem.net/vehicles/remus.webp")</f>
        <v>https://docs.fivem.net/vehicles/remus.webp</v>
      </c>
    </row>
    <row r="126" spans="1:5" ht="15.75" customHeight="1" x14ac:dyDescent="0.4">
      <c r="A126" s="38" t="str">
        <f ca="1">IFERROR(__xludf.DUMMYFUNCTION("""COMPUTED_VALUE"""),"revolter")</f>
        <v>revolter</v>
      </c>
      <c r="B126" s="38" t="str">
        <f ca="1">IFERROR(__xludf.DUMMYFUNCTION("""COMPUTED_VALUE"""),"Revolter")</f>
        <v>Revolter</v>
      </c>
      <c r="C126" s="39">
        <f ca="1">IFERROR(__xludf.DUMMYFUNCTION("""COMPUTED_VALUE"""),92000)</f>
        <v>92000</v>
      </c>
      <c r="D126" s="39" t="str">
        <f ca="1">IFERROR(__xludf.DUMMYFUNCTION("""COMPUTED_VALUE"""),"Deportivo")</f>
        <v>Deportivo</v>
      </c>
      <c r="E126" s="40" t="str">
        <f ca="1">IFERROR(__xludf.DUMMYFUNCTION("""COMPUTED_VALUE"""),"https://docs.fivem.net/vehicles/revolter.webp")</f>
        <v>https://docs.fivem.net/vehicles/revolter.webp</v>
      </c>
    </row>
    <row r="127" spans="1:5" ht="15.75" customHeight="1" x14ac:dyDescent="0.4">
      <c r="A127" s="38" t="str">
        <f ca="1">IFERROR(__xludf.DUMMYFUNCTION("""COMPUTED_VALUE"""),"rt3000")</f>
        <v>rt3000</v>
      </c>
      <c r="B127" s="38" t="str">
        <f ca="1">IFERROR(__xludf.DUMMYFUNCTION("""COMPUTED_VALUE"""),"RT3000")</f>
        <v>RT3000</v>
      </c>
      <c r="C127" s="39">
        <f ca="1">IFERROR(__xludf.DUMMYFUNCTION("""COMPUTED_VALUE"""),69500)</f>
        <v>69500</v>
      </c>
      <c r="D127" s="39" t="str">
        <f ca="1">IFERROR(__xludf.DUMMYFUNCTION("""COMPUTED_VALUE"""),"Deportivo")</f>
        <v>Deportivo</v>
      </c>
      <c r="E127" s="40" t="str">
        <f ca="1">IFERROR(__xludf.DUMMYFUNCTION("""COMPUTED_VALUE"""),"https://docs.fivem.net/vehicles/rt3000.webp")</f>
        <v>https://docs.fivem.net/vehicles/rt3000.webp</v>
      </c>
    </row>
    <row r="128" spans="1:5" ht="15.75" customHeight="1" x14ac:dyDescent="0.4">
      <c r="A128" s="38" t="str">
        <f ca="1">IFERROR(__xludf.DUMMYFUNCTION("""COMPUTED_VALUE"""),"ruston")</f>
        <v>ruston</v>
      </c>
      <c r="B128" s="38" t="str">
        <f ca="1">IFERROR(__xludf.DUMMYFUNCTION("""COMPUTED_VALUE"""),"Ruston")</f>
        <v>Ruston</v>
      </c>
      <c r="C128" s="39">
        <f ca="1">IFERROR(__xludf.DUMMYFUNCTION("""COMPUTED_VALUE"""),119000)</f>
        <v>119000</v>
      </c>
      <c r="D128" s="39" t="str">
        <f ca="1">IFERROR(__xludf.DUMMYFUNCTION("""COMPUTED_VALUE"""),"Deportivo")</f>
        <v>Deportivo</v>
      </c>
      <c r="E128" s="40" t="str">
        <f ca="1">IFERROR(__xludf.DUMMYFUNCTION("""COMPUTED_VALUE"""),"https://docs.fivem.net/vehicles/ruston.webp")</f>
        <v>https://docs.fivem.net/vehicles/ruston.webp</v>
      </c>
    </row>
    <row r="129" spans="1:5" ht="15.75" customHeight="1" x14ac:dyDescent="0.4">
      <c r="A129" s="38" t="str">
        <f ca="1">IFERROR(__xludf.DUMMYFUNCTION("""COMPUTED_VALUE"""),"schafter3")</f>
        <v>schafter3</v>
      </c>
      <c r="B129" s="38" t="str">
        <f ca="1">IFERROR(__xludf.DUMMYFUNCTION("""COMPUTED_VALUE"""),"Schafter V12")</f>
        <v>Schafter V12</v>
      </c>
      <c r="C129" s="39">
        <f ca="1">IFERROR(__xludf.DUMMYFUNCTION("""COMPUTED_VALUE"""),46000)</f>
        <v>46000</v>
      </c>
      <c r="D129" s="39" t="str">
        <f ca="1">IFERROR(__xludf.DUMMYFUNCTION("""COMPUTED_VALUE"""),"Deportivo")</f>
        <v>Deportivo</v>
      </c>
      <c r="E129" s="40" t="str">
        <f ca="1">IFERROR(__xludf.DUMMYFUNCTION("""COMPUTED_VALUE"""),"https://docs.fivem.net/vehicles/schafter3.webp")</f>
        <v>https://docs.fivem.net/vehicles/schafter3.webp</v>
      </c>
    </row>
    <row r="130" spans="1:5" ht="15.75" customHeight="1" x14ac:dyDescent="0.4">
      <c r="A130" s="38" t="str">
        <f ca="1">IFERROR(__xludf.DUMMYFUNCTION("""COMPUTED_VALUE"""),"schafter4")</f>
        <v>schafter4</v>
      </c>
      <c r="B130" s="38" t="str">
        <f ca="1">IFERROR(__xludf.DUMMYFUNCTION("""COMPUTED_VALUE"""),"Schafter LWB")</f>
        <v>Schafter LWB</v>
      </c>
      <c r="C130" s="39">
        <f ca="1">IFERROR(__xludf.DUMMYFUNCTION("""COMPUTED_VALUE"""),42500)</f>
        <v>42500</v>
      </c>
      <c r="D130" s="39" t="str">
        <f ca="1">IFERROR(__xludf.DUMMYFUNCTION("""COMPUTED_VALUE"""),"Deportivo")</f>
        <v>Deportivo</v>
      </c>
      <c r="E130" s="40" t="str">
        <f ca="1">IFERROR(__xludf.DUMMYFUNCTION("""COMPUTED_VALUE"""),"https://docs.fivem.net/vehicles/schafter4.webp")</f>
        <v>https://docs.fivem.net/vehicles/schafter4.webp</v>
      </c>
    </row>
    <row r="131" spans="1:5" ht="15.75" customHeight="1" x14ac:dyDescent="0.4">
      <c r="A131" s="38" t="str">
        <f ca="1">IFERROR(__xludf.DUMMYFUNCTION("""COMPUTED_VALUE"""),"schlagen")</f>
        <v>schlagen</v>
      </c>
      <c r="B131" s="38" t="str">
        <f ca="1">IFERROR(__xludf.DUMMYFUNCTION("""COMPUTED_VALUE"""),"Schlagen GT")</f>
        <v>Schlagen GT</v>
      </c>
      <c r="C131" s="39">
        <f ca="1">IFERROR(__xludf.DUMMYFUNCTION("""COMPUTED_VALUE"""),128000)</f>
        <v>128000</v>
      </c>
      <c r="D131" s="39" t="str">
        <f ca="1">IFERROR(__xludf.DUMMYFUNCTION("""COMPUTED_VALUE"""),"Deportivo")</f>
        <v>Deportivo</v>
      </c>
      <c r="E131" s="40" t="str">
        <f ca="1">IFERROR(__xludf.DUMMYFUNCTION("""COMPUTED_VALUE"""),"https://docs.fivem.net/vehicles/schlagen.webp")</f>
        <v>https://docs.fivem.net/vehicles/schlagen.webp</v>
      </c>
    </row>
    <row r="132" spans="1:5" ht="15.75" customHeight="1" x14ac:dyDescent="0.4">
      <c r="A132" s="38" t="str">
        <f ca="1">IFERROR(__xludf.DUMMYFUNCTION("""COMPUTED_VALUE"""),"schwarzer")</f>
        <v>schwarzer</v>
      </c>
      <c r="B132" s="38" t="str">
        <f ca="1">IFERROR(__xludf.DUMMYFUNCTION("""COMPUTED_VALUE"""),"Schwartzer")</f>
        <v>Schwartzer</v>
      </c>
      <c r="C132" s="39">
        <f ca="1">IFERROR(__xludf.DUMMYFUNCTION("""COMPUTED_VALUE"""),48500)</f>
        <v>48500</v>
      </c>
      <c r="D132" s="39" t="str">
        <f ca="1">IFERROR(__xludf.DUMMYFUNCTION("""COMPUTED_VALUE"""),"Deportivo")</f>
        <v>Deportivo</v>
      </c>
      <c r="E132" s="40" t="str">
        <f ca="1">IFERROR(__xludf.DUMMYFUNCTION("""COMPUTED_VALUE"""),"https://docs.fivem.net/vehicles/schwarzer.webp")</f>
        <v>https://docs.fivem.net/vehicles/schwarzer.webp</v>
      </c>
    </row>
    <row r="133" spans="1:5" ht="15.75" customHeight="1" x14ac:dyDescent="0.4">
      <c r="A133" s="38" t="str">
        <f ca="1">IFERROR(__xludf.DUMMYFUNCTION("""COMPUTED_VALUE"""),"sentinel4")</f>
        <v>sentinel4</v>
      </c>
      <c r="B133" s="38" t="str">
        <f ca="1">IFERROR(__xludf.DUMMYFUNCTION("""COMPUTED_VALUE"""),"Sentinel Classic Widebody")</f>
        <v>Sentinel Classic Widebody</v>
      </c>
      <c r="C133" s="39">
        <f ca="1">IFERROR(__xludf.DUMMYFUNCTION("""COMPUTED_VALUE"""),80000)</f>
        <v>80000</v>
      </c>
      <c r="D133" s="39" t="str">
        <f ca="1">IFERROR(__xludf.DUMMYFUNCTION("""COMPUTED_VALUE"""),"Deportivo")</f>
        <v>Deportivo</v>
      </c>
      <c r="E133" s="40" t="str">
        <f ca="1">IFERROR(__xludf.DUMMYFUNCTION("""COMPUTED_VALUE"""),"https://docs.fivem.net/vehicles/sentinel4.webp")</f>
        <v>https://docs.fivem.net/vehicles/sentinel4.webp</v>
      </c>
    </row>
    <row r="134" spans="1:5" ht="15.75" customHeight="1" x14ac:dyDescent="0.4">
      <c r="A134" s="38" t="str">
        <f ca="1">IFERROR(__xludf.DUMMYFUNCTION("""COMPUTED_VALUE"""),"seven70")</f>
        <v>seven70</v>
      </c>
      <c r="B134" s="38" t="str">
        <f ca="1">IFERROR(__xludf.DUMMYFUNCTION("""COMPUTED_VALUE"""),"Seven-70")</f>
        <v>Seven-70</v>
      </c>
      <c r="C134" s="39">
        <f ca="1">IFERROR(__xludf.DUMMYFUNCTION("""COMPUTED_VALUE"""),140000)</f>
        <v>140000</v>
      </c>
      <c r="D134" s="39" t="str">
        <f ca="1">IFERROR(__xludf.DUMMYFUNCTION("""COMPUTED_VALUE"""),"Deportivo")</f>
        <v>Deportivo</v>
      </c>
      <c r="E134" s="40" t="str">
        <f ca="1">IFERROR(__xludf.DUMMYFUNCTION("""COMPUTED_VALUE"""),"https://docs.fivem.net/vehicles/seven70.webp")</f>
        <v>https://docs.fivem.net/vehicles/seven70.webp</v>
      </c>
    </row>
    <row r="135" spans="1:5" ht="15.75" customHeight="1" x14ac:dyDescent="0.4">
      <c r="A135" s="38" t="str">
        <f ca="1">IFERROR(__xludf.DUMMYFUNCTION("""COMPUTED_VALUE"""),"sm722")</f>
        <v>sm722</v>
      </c>
      <c r="B135" s="38" t="str">
        <f ca="1">IFERROR(__xludf.DUMMYFUNCTION("""COMPUTED_VALUE"""),"SM722")</f>
        <v>SM722</v>
      </c>
      <c r="C135" s="39">
        <f ca="1">IFERROR(__xludf.DUMMYFUNCTION("""COMPUTED_VALUE"""),195000)</f>
        <v>195000</v>
      </c>
      <c r="D135" s="39" t="str">
        <f ca="1">IFERROR(__xludf.DUMMYFUNCTION("""COMPUTED_VALUE"""),"Deportivo")</f>
        <v>Deportivo</v>
      </c>
      <c r="E135" s="40" t="str">
        <f ca="1">IFERROR(__xludf.DUMMYFUNCTION("""COMPUTED_VALUE"""),"https://docs.fivem.net/vehicles/sm722.webp")</f>
        <v>https://docs.fivem.net/vehicles/sm722.webp</v>
      </c>
    </row>
    <row r="136" spans="1:5" ht="15.75" customHeight="1" x14ac:dyDescent="0.4">
      <c r="A136" s="38" t="str">
        <f ca="1">IFERROR(__xludf.DUMMYFUNCTION("""COMPUTED_VALUE"""),"specter")</f>
        <v>specter</v>
      </c>
      <c r="B136" s="38" t="str">
        <f ca="1">IFERROR(__xludf.DUMMYFUNCTION("""COMPUTED_VALUE"""),"Specter")</f>
        <v>Specter</v>
      </c>
      <c r="C136" s="39">
        <f ca="1">IFERROR(__xludf.DUMMYFUNCTION("""COMPUTED_VALUE"""),165000)</f>
        <v>165000</v>
      </c>
      <c r="D136" s="39" t="str">
        <f ca="1">IFERROR(__xludf.DUMMYFUNCTION("""COMPUTED_VALUE"""),"Deportivo")</f>
        <v>Deportivo</v>
      </c>
      <c r="E136" s="40" t="str">
        <f ca="1">IFERROR(__xludf.DUMMYFUNCTION("""COMPUTED_VALUE"""),"https://docs.fivem.net/vehicles/specter.webp")</f>
        <v>https://docs.fivem.net/vehicles/specter.webp</v>
      </c>
    </row>
    <row r="137" spans="1:5" ht="15.75" customHeight="1" x14ac:dyDescent="0.4">
      <c r="A137" s="38" t="str">
        <f ca="1">IFERROR(__xludf.DUMMYFUNCTION("""COMPUTED_VALUE"""),"streiter")</f>
        <v>streiter</v>
      </c>
      <c r="B137" s="38" t="str">
        <f ca="1">IFERROR(__xludf.DUMMYFUNCTION("""COMPUTED_VALUE"""),"Streiter")</f>
        <v>Streiter</v>
      </c>
      <c r="C137" s="39">
        <f ca="1">IFERROR(__xludf.DUMMYFUNCTION("""COMPUTED_VALUE"""),68000)</f>
        <v>68000</v>
      </c>
      <c r="D137" s="39" t="str">
        <f ca="1">IFERROR(__xludf.DUMMYFUNCTION("""COMPUTED_VALUE"""),"Deportivo")</f>
        <v>Deportivo</v>
      </c>
      <c r="E137" s="40" t="str">
        <f ca="1">IFERROR(__xludf.DUMMYFUNCTION("""COMPUTED_VALUE"""),"https://docs.fivem.net/vehicles/streiter.webp")</f>
        <v>https://docs.fivem.net/vehicles/streiter.webp</v>
      </c>
    </row>
    <row r="138" spans="1:5" ht="15.75" customHeight="1" x14ac:dyDescent="0.4">
      <c r="A138" s="38" t="str">
        <f ca="1">IFERROR(__xludf.DUMMYFUNCTION("""COMPUTED_VALUE"""),"sugoi")</f>
        <v>sugoi</v>
      </c>
      <c r="B138" s="38" t="str">
        <f ca="1">IFERROR(__xludf.DUMMYFUNCTION("""COMPUTED_VALUE"""),"Sugoi")</f>
        <v>Sugoi</v>
      </c>
      <c r="C138" s="39">
        <f ca="1">IFERROR(__xludf.DUMMYFUNCTION("""COMPUTED_VALUE"""),85000)</f>
        <v>85000</v>
      </c>
      <c r="D138" s="39" t="str">
        <f ca="1">IFERROR(__xludf.DUMMYFUNCTION("""COMPUTED_VALUE"""),"Deportivo")</f>
        <v>Deportivo</v>
      </c>
      <c r="E138" s="40" t="str">
        <f ca="1">IFERROR(__xludf.DUMMYFUNCTION("""COMPUTED_VALUE"""),"https://docs.fivem.net/vehicles/sugoi.webp")</f>
        <v>https://docs.fivem.net/vehicles/sugoi.webp</v>
      </c>
    </row>
    <row r="139" spans="1:5" ht="15.75" customHeight="1" x14ac:dyDescent="0.4">
      <c r="A139" s="38" t="str">
        <f ca="1">IFERROR(__xludf.DUMMYFUNCTION("""COMPUTED_VALUE"""),"sultan")</f>
        <v>sultan</v>
      </c>
      <c r="B139" s="38" t="str">
        <f ca="1">IFERROR(__xludf.DUMMYFUNCTION("""COMPUTED_VALUE"""),"Sultan")</f>
        <v>Sultan</v>
      </c>
      <c r="C139" s="39">
        <f ca="1">IFERROR(__xludf.DUMMYFUNCTION("""COMPUTED_VALUE"""),68000)</f>
        <v>68000</v>
      </c>
      <c r="D139" s="39" t="str">
        <f ca="1">IFERROR(__xludf.DUMMYFUNCTION("""COMPUTED_VALUE"""),"Deportivo")</f>
        <v>Deportivo</v>
      </c>
      <c r="E139" s="40" t="str">
        <f ca="1">IFERROR(__xludf.DUMMYFUNCTION("""COMPUTED_VALUE"""),"https://docs.fivem.net/vehicles/sultan.webp")</f>
        <v>https://docs.fivem.net/vehicles/sultan.webp</v>
      </c>
    </row>
    <row r="140" spans="1:5" ht="15.75" customHeight="1" x14ac:dyDescent="0.4">
      <c r="A140" s="38" t="str">
        <f ca="1">IFERROR(__xludf.DUMMYFUNCTION("""COMPUTED_VALUE"""),"sultan2")</f>
        <v>sultan2</v>
      </c>
      <c r="B140" s="38" t="str">
        <f ca="1">IFERROR(__xludf.DUMMYFUNCTION("""COMPUTED_VALUE"""),"Sultan Custom")</f>
        <v>Sultan Custom</v>
      </c>
      <c r="C140" s="39">
        <f ca="1">IFERROR(__xludf.DUMMYFUNCTION("""COMPUTED_VALUE"""),92000)</f>
        <v>92000</v>
      </c>
      <c r="D140" s="39" t="str">
        <f ca="1">IFERROR(__xludf.DUMMYFUNCTION("""COMPUTED_VALUE"""),"Deportivo")</f>
        <v>Deportivo</v>
      </c>
      <c r="E140" s="40" t="str">
        <f ca="1">IFERROR(__xludf.DUMMYFUNCTION("""COMPUTED_VALUE"""),"https://docs.fivem.net/vehicles/sultan2.webp")</f>
        <v>https://docs.fivem.net/vehicles/sultan2.webp</v>
      </c>
    </row>
    <row r="141" spans="1:5" ht="15.75" customHeight="1" x14ac:dyDescent="0.4">
      <c r="A141" s="38" t="str">
        <f ca="1">IFERROR(__xludf.DUMMYFUNCTION("""COMPUTED_VALUE"""),"sultan3")</f>
        <v>sultan3</v>
      </c>
      <c r="B141" s="38" t="str">
        <f ca="1">IFERROR(__xludf.DUMMYFUNCTION("""COMPUTED_VALUE"""),"Sultan Classic Custom")</f>
        <v>Sultan Classic Custom</v>
      </c>
      <c r="C141" s="39">
        <f ca="1">IFERROR(__xludf.DUMMYFUNCTION("""COMPUTED_VALUE"""),65000)</f>
        <v>65000</v>
      </c>
      <c r="D141" s="39" t="str">
        <f ca="1">IFERROR(__xludf.DUMMYFUNCTION("""COMPUTED_VALUE"""),"Deportivo")</f>
        <v>Deportivo</v>
      </c>
      <c r="E141" s="40" t="str">
        <f ca="1">IFERROR(__xludf.DUMMYFUNCTION("""COMPUTED_VALUE"""),"https://docs.fivem.net/vehicles/sultan3.webp")</f>
        <v>https://docs.fivem.net/vehicles/sultan3.webp</v>
      </c>
    </row>
    <row r="142" spans="1:5" ht="15.75" customHeight="1" x14ac:dyDescent="0.4">
      <c r="A142" s="38" t="str">
        <f ca="1">IFERROR(__xludf.DUMMYFUNCTION("""COMPUTED_VALUE"""),"sultanrs")</f>
        <v>sultanrs</v>
      </c>
      <c r="B142" s="38" t="str">
        <f ca="1">IFERROR(__xludf.DUMMYFUNCTION("""COMPUTED_VALUE"""),"Sultan RS")</f>
        <v>Sultan RS</v>
      </c>
      <c r="C142" s="39">
        <f ca="1">IFERROR(__xludf.DUMMYFUNCTION("""COMPUTED_VALUE"""),89000)</f>
        <v>89000</v>
      </c>
      <c r="D142" s="39" t="str">
        <f ca="1">IFERROR(__xludf.DUMMYFUNCTION("""COMPUTED_VALUE"""),"Deportivo")</f>
        <v>Deportivo</v>
      </c>
      <c r="E142" s="40" t="str">
        <f ca="1">IFERROR(__xludf.DUMMYFUNCTION("""COMPUTED_VALUE"""),"https://docs.fivem.net/vehicles/sultanrs.webp")</f>
        <v>https://docs.fivem.net/vehicles/sultanrs.webp</v>
      </c>
    </row>
    <row r="143" spans="1:5" ht="15.75" customHeight="1" x14ac:dyDescent="0.4">
      <c r="A143" s="38" t="str">
        <f ca="1">IFERROR(__xludf.DUMMYFUNCTION("""COMPUTED_VALUE"""),"surano")</f>
        <v>surano</v>
      </c>
      <c r="B143" s="38" t="str">
        <f ca="1">IFERROR(__xludf.DUMMYFUNCTION("""COMPUTED_VALUE"""),"Surano")</f>
        <v>Surano</v>
      </c>
      <c r="C143" s="39">
        <f ca="1">IFERROR(__xludf.DUMMYFUNCTION("""COMPUTED_VALUE"""),127000)</f>
        <v>127000</v>
      </c>
      <c r="D143" s="39" t="str">
        <f ca="1">IFERROR(__xludf.DUMMYFUNCTION("""COMPUTED_VALUE"""),"Deportivo")</f>
        <v>Deportivo</v>
      </c>
      <c r="E143" s="40" t="str">
        <f ca="1">IFERROR(__xludf.DUMMYFUNCTION("""COMPUTED_VALUE"""),"https://docs.fivem.net/vehicles/surano.webp")</f>
        <v>https://docs.fivem.net/vehicles/surano.webp</v>
      </c>
    </row>
    <row r="144" spans="1:5" ht="15.75" customHeight="1" x14ac:dyDescent="0.4">
      <c r="A144" s="38" t="str">
        <f ca="1">IFERROR(__xludf.DUMMYFUNCTION("""COMPUTED_VALUE"""),"tenf")</f>
        <v>tenf</v>
      </c>
      <c r="B144" s="38" t="str">
        <f ca="1">IFERROR(__xludf.DUMMYFUNCTION("""COMPUTED_VALUE"""),"10F")</f>
        <v>10F</v>
      </c>
      <c r="C144" s="39">
        <f ca="1">IFERROR(__xludf.DUMMYFUNCTION("""COMPUTED_VALUE"""),190000)</f>
        <v>190000</v>
      </c>
      <c r="D144" s="39" t="str">
        <f ca="1">IFERROR(__xludf.DUMMYFUNCTION("""COMPUTED_VALUE"""),"Deportivo")</f>
        <v>Deportivo</v>
      </c>
      <c r="E144" s="40" t="str">
        <f ca="1">IFERROR(__xludf.DUMMYFUNCTION("""COMPUTED_VALUE"""),"https://docs.fivem.net/vehicles/tenf.webp")</f>
        <v>https://docs.fivem.net/vehicles/tenf.webp</v>
      </c>
    </row>
    <row r="145" spans="1:5" ht="15.75" customHeight="1" x14ac:dyDescent="0.4">
      <c r="A145" s="38" t="str">
        <f ca="1">IFERROR(__xludf.DUMMYFUNCTION("""COMPUTED_VALUE"""),"tenf2")</f>
        <v>tenf2</v>
      </c>
      <c r="B145" s="38" t="str">
        <f ca="1">IFERROR(__xludf.DUMMYFUNCTION("""COMPUTED_VALUE"""),"10F Widebody")</f>
        <v>10F Widebody</v>
      </c>
      <c r="C145" s="39">
        <f ca="1">IFERROR(__xludf.DUMMYFUNCTION("""COMPUTED_VALUE"""),205000)</f>
        <v>205000</v>
      </c>
      <c r="D145" s="39" t="str">
        <f ca="1">IFERROR(__xludf.DUMMYFUNCTION("""COMPUTED_VALUE"""),"Deportivo")</f>
        <v>Deportivo</v>
      </c>
      <c r="E145" s="40" t="str">
        <f ca="1">IFERROR(__xludf.DUMMYFUNCTION("""COMPUTED_VALUE"""),"https://docs.fivem.net/vehicles/tenf2.webp")</f>
        <v>https://docs.fivem.net/vehicles/tenf2.webp</v>
      </c>
    </row>
    <row r="146" spans="1:5" ht="15.75" customHeight="1" x14ac:dyDescent="0.4">
      <c r="A146" s="38" t="str">
        <f ca="1">IFERROR(__xludf.DUMMYFUNCTION("""COMPUTED_VALUE"""),"tropos")</f>
        <v>tropos</v>
      </c>
      <c r="B146" s="38" t="str">
        <f ca="1">IFERROR(__xludf.DUMMYFUNCTION("""COMPUTED_VALUE"""),"Tropos Rallye")</f>
        <v>Tropos Rallye</v>
      </c>
      <c r="C146" s="39">
        <f ca="1">IFERROR(__xludf.DUMMYFUNCTION("""COMPUTED_VALUE"""),68500)</f>
        <v>68500</v>
      </c>
      <c r="D146" s="39" t="str">
        <f ca="1">IFERROR(__xludf.DUMMYFUNCTION("""COMPUTED_VALUE"""),"Deportivo")</f>
        <v>Deportivo</v>
      </c>
      <c r="E146" s="40" t="str">
        <f ca="1">IFERROR(__xludf.DUMMYFUNCTION("""COMPUTED_VALUE"""),"https://docs.fivem.net/vehicles/tropos.webp")</f>
        <v>https://docs.fivem.net/vehicles/tropos.webp</v>
      </c>
    </row>
    <row r="147" spans="1:5" ht="15.75" customHeight="1" x14ac:dyDescent="0.4">
      <c r="A147" s="38" t="str">
        <f ca="1">IFERROR(__xludf.DUMMYFUNCTION("""COMPUTED_VALUE"""),"vectre")</f>
        <v>vectre</v>
      </c>
      <c r="B147" s="38" t="str">
        <f ca="1">IFERROR(__xludf.DUMMYFUNCTION("""COMPUTED_VALUE"""),"Vectre")</f>
        <v>Vectre</v>
      </c>
      <c r="C147" s="39">
        <f ca="1">IFERROR(__xludf.DUMMYFUNCTION("""COMPUTED_VALUE"""),91000)</f>
        <v>91000</v>
      </c>
      <c r="D147" s="39" t="str">
        <f ca="1">IFERROR(__xludf.DUMMYFUNCTION("""COMPUTED_VALUE"""),"Deportivo")</f>
        <v>Deportivo</v>
      </c>
      <c r="E147" s="40" t="str">
        <f ca="1">IFERROR(__xludf.DUMMYFUNCTION("""COMPUTED_VALUE"""),"https://docs.fivem.net/vehicles/vectre.webp")</f>
        <v>https://docs.fivem.net/vehicles/vectre.webp</v>
      </c>
    </row>
    <row r="148" spans="1:5" ht="15.75" customHeight="1" x14ac:dyDescent="0.4">
      <c r="A148" s="38" t="str">
        <f ca="1">IFERROR(__xludf.DUMMYFUNCTION("""COMPUTED_VALUE"""),"verlierer2")</f>
        <v>verlierer2</v>
      </c>
      <c r="B148" s="38" t="str">
        <f ca="1">IFERROR(__xludf.DUMMYFUNCTION("""COMPUTED_VALUE"""),"Verlierer")</f>
        <v>Verlierer</v>
      </c>
      <c r="C148" s="39">
        <f ca="1">IFERROR(__xludf.DUMMYFUNCTION("""COMPUTED_VALUE"""),92500)</f>
        <v>92500</v>
      </c>
      <c r="D148" s="39" t="str">
        <f ca="1">IFERROR(__xludf.DUMMYFUNCTION("""COMPUTED_VALUE"""),"Deportivo")</f>
        <v>Deportivo</v>
      </c>
      <c r="E148" s="40" t="str">
        <f ca="1">IFERROR(__xludf.DUMMYFUNCTION("""COMPUTED_VALUE"""),"https://docs.fivem.net/vehicles/verlierer2.webp")</f>
        <v>https://docs.fivem.net/vehicles/verlierer2.webp</v>
      </c>
    </row>
    <row r="149" spans="1:5" ht="15.75" customHeight="1" x14ac:dyDescent="0.4">
      <c r="A149" s="38" t="str">
        <f ca="1">IFERROR(__xludf.DUMMYFUNCTION("""COMPUTED_VALUE"""),"visione")</f>
        <v>visione</v>
      </c>
      <c r="B149" s="38" t="str">
        <f ca="1">IFERROR(__xludf.DUMMYFUNCTION("""COMPUTED_VALUE"""),"Visione")</f>
        <v>Visione</v>
      </c>
      <c r="C149" s="39">
        <f ca="1">IFERROR(__xludf.DUMMYFUNCTION("""COMPUTED_VALUE"""),198000)</f>
        <v>198000</v>
      </c>
      <c r="D149" s="39" t="str">
        <f ca="1">IFERROR(__xludf.DUMMYFUNCTION("""COMPUTED_VALUE"""),"Deportivo")</f>
        <v>Deportivo</v>
      </c>
      <c r="E149" s="40" t="str">
        <f ca="1">IFERROR(__xludf.DUMMYFUNCTION("""COMPUTED_VALUE"""),"https://docs.fivem.net/vehicles/visione.webp")</f>
        <v>https://docs.fivem.net/vehicles/visione.webp</v>
      </c>
    </row>
    <row r="150" spans="1:5" ht="15.75" customHeight="1" x14ac:dyDescent="0.4">
      <c r="A150" s="38" t="str">
        <f ca="1">IFERROR(__xludf.DUMMYFUNCTION("""COMPUTED_VALUE"""),"vorschlaghammer")</f>
        <v>vorschlaghammer</v>
      </c>
      <c r="B150" s="38" t="str">
        <f ca="1">IFERROR(__xludf.DUMMYFUNCTION("""COMPUTED_VALUE"""),"Vorschlaghammer")</f>
        <v>Vorschlaghammer</v>
      </c>
      <c r="C150" s="39">
        <f ca="1">IFERROR(__xludf.DUMMYFUNCTION("""COMPUTED_VALUE"""),65000)</f>
        <v>65000</v>
      </c>
      <c r="D150" s="39" t="str">
        <f ca="1">IFERROR(__xludf.DUMMYFUNCTION("""COMPUTED_VALUE"""),"Deportivo")</f>
        <v>Deportivo</v>
      </c>
      <c r="E150" s="40" t="str">
        <f ca="1">IFERROR(__xludf.DUMMYFUNCTION("""COMPUTED_VALUE"""),"https://docs.fivem.net/vehicles/vorschlaghammer.webp")</f>
        <v>https://docs.fivem.net/vehicles/vorschlaghammer.webp</v>
      </c>
    </row>
    <row r="151" spans="1:5" ht="15.75" customHeight="1" x14ac:dyDescent="0.4">
      <c r="A151" s="38" t="str">
        <f ca="1">IFERROR(__xludf.DUMMYFUNCTION("""COMPUTED_VALUE"""),"vstr")</f>
        <v>vstr</v>
      </c>
      <c r="B151" s="38" t="str">
        <f ca="1">IFERROR(__xludf.DUMMYFUNCTION("""COMPUTED_VALUE"""),"V-STR")</f>
        <v>V-STR</v>
      </c>
      <c r="C151" s="39">
        <f ca="1">IFERROR(__xludf.DUMMYFUNCTION("""COMPUTED_VALUE"""),88500)</f>
        <v>88500</v>
      </c>
      <c r="D151" s="39" t="str">
        <f ca="1">IFERROR(__xludf.DUMMYFUNCTION("""COMPUTED_VALUE"""),"Deportivo")</f>
        <v>Deportivo</v>
      </c>
      <c r="E151" s="40" t="str">
        <f ca="1">IFERROR(__xludf.DUMMYFUNCTION("""COMPUTED_VALUE"""),"https://docs.fivem.net/vehicles/vstr.webp")</f>
        <v>https://docs.fivem.net/vehicles/vstr.webp</v>
      </c>
    </row>
    <row r="152" spans="1:5" ht="15.75" customHeight="1" x14ac:dyDescent="0.4">
      <c r="A152" s="38" t="str">
        <f ca="1">IFERROR(__xludf.DUMMYFUNCTION("""COMPUTED_VALUE"""),"zr350")</f>
        <v>zr350</v>
      </c>
      <c r="B152" s="38" t="str">
        <f ca="1">IFERROR(__xludf.DUMMYFUNCTION("""COMPUTED_VALUE"""),"ZR350")</f>
        <v>ZR350</v>
      </c>
      <c r="C152" s="39">
        <f ca="1">IFERROR(__xludf.DUMMYFUNCTION("""COMPUTED_VALUE"""),83500)</f>
        <v>83500</v>
      </c>
      <c r="D152" s="39" t="str">
        <f ca="1">IFERROR(__xludf.DUMMYFUNCTION("""COMPUTED_VALUE"""),"Deportivo")</f>
        <v>Deportivo</v>
      </c>
      <c r="E152" s="40" t="str">
        <f ca="1">IFERROR(__xludf.DUMMYFUNCTION("""COMPUTED_VALUE"""),"https://docs.fivem.net/vehicles/zr350.webp")</f>
        <v>https://docs.fivem.net/vehicles/zr350.webp</v>
      </c>
    </row>
    <row r="153" spans="1:5" ht="15.75" customHeight="1" x14ac:dyDescent="0.4">
      <c r="A153" s="38" t="str">
        <f ca="1">IFERROR(__xludf.DUMMYFUNCTION("""COMPUTED_VALUE"""),"btype")</f>
        <v>btype</v>
      </c>
      <c r="B153" s="38" t="str">
        <f ca="1">IFERROR(__xludf.DUMMYFUNCTION("""COMPUTED_VALUE"""),"Roosevelt")</f>
        <v>Roosevelt</v>
      </c>
      <c r="C153" s="39">
        <f ca="1">IFERROR(__xludf.DUMMYFUNCTION("""COMPUTED_VALUE"""),64000)</f>
        <v>64000</v>
      </c>
      <c r="D153" s="39" t="str">
        <f ca="1">IFERROR(__xludf.DUMMYFUNCTION("""COMPUTED_VALUE"""),"Deportivo clasico")</f>
        <v>Deportivo clasico</v>
      </c>
      <c r="E153" s="40" t="str">
        <f ca="1">IFERROR(__xludf.DUMMYFUNCTION("""COMPUTED_VALUE"""),"https://docs.fivem.net/vehicles/btype.webp")</f>
        <v>https://docs.fivem.net/vehicles/btype.webp</v>
      </c>
    </row>
    <row r="154" spans="1:5" ht="15.75" customHeight="1" x14ac:dyDescent="0.4">
      <c r="A154" s="38" t="str">
        <f ca="1">IFERROR(__xludf.DUMMYFUNCTION("""COMPUTED_VALUE"""),"btype")</f>
        <v>btype</v>
      </c>
      <c r="B154" s="38" t="str">
        <f ca="1">IFERROR(__xludf.DUMMYFUNCTION("""COMPUTED_VALUE"""),"Roosevelt")</f>
        <v>Roosevelt</v>
      </c>
      <c r="C154" s="39">
        <f ca="1">IFERROR(__xludf.DUMMYFUNCTION("""COMPUTED_VALUE"""),64000)</f>
        <v>64000</v>
      </c>
      <c r="D154" s="39" t="str">
        <f ca="1">IFERROR(__xludf.DUMMYFUNCTION("""COMPUTED_VALUE"""),"Deportivo clasico")</f>
        <v>Deportivo clasico</v>
      </c>
      <c r="E154" s="40" t="str">
        <f ca="1">IFERROR(__xludf.DUMMYFUNCTION("""COMPUTED_VALUE"""),"https://docs.fivem.net/vehicles/btype.webp")</f>
        <v>https://docs.fivem.net/vehicles/btype.webp</v>
      </c>
    </row>
    <row r="155" spans="1:5" ht="15.75" customHeight="1" x14ac:dyDescent="0.4">
      <c r="A155" s="38" t="str">
        <f ca="1">IFERROR(__xludf.DUMMYFUNCTION("""COMPUTED_VALUE"""),"btype2")</f>
        <v>btype2</v>
      </c>
      <c r="B155" s="38" t="str">
        <f ca="1">IFERROR(__xludf.DUMMYFUNCTION("""COMPUTED_VALUE"""),"Franken Stange")</f>
        <v>Franken Stange</v>
      </c>
      <c r="C155" s="39">
        <f ca="1">IFERROR(__xludf.DUMMYFUNCTION("""COMPUTED_VALUE"""),75000)</f>
        <v>75000</v>
      </c>
      <c r="D155" s="39" t="str">
        <f ca="1">IFERROR(__xludf.DUMMYFUNCTION("""COMPUTED_VALUE"""),"Deportivo clasico")</f>
        <v>Deportivo clasico</v>
      </c>
      <c r="E155" s="40" t="str">
        <f ca="1">IFERROR(__xludf.DUMMYFUNCTION("""COMPUTED_VALUE"""),"https://docs.fivem.net/vehicles/btype2.webp")</f>
        <v>https://docs.fivem.net/vehicles/btype2.webp</v>
      </c>
    </row>
    <row r="156" spans="1:5" ht="15.75" customHeight="1" x14ac:dyDescent="0.4">
      <c r="A156" s="38" t="str">
        <f ca="1">IFERROR(__xludf.DUMMYFUNCTION("""COMPUTED_VALUE"""),"btype3")</f>
        <v>btype3</v>
      </c>
      <c r="B156" s="38" t="str">
        <f ca="1">IFERROR(__xludf.DUMMYFUNCTION("""COMPUTED_VALUE"""),"Roosevelt Valor")</f>
        <v>Roosevelt Valor</v>
      </c>
      <c r="C156" s="39">
        <f ca="1">IFERROR(__xludf.DUMMYFUNCTION("""COMPUTED_VALUE"""),65000)</f>
        <v>65000</v>
      </c>
      <c r="D156" s="39" t="str">
        <f ca="1">IFERROR(__xludf.DUMMYFUNCTION("""COMPUTED_VALUE"""),"Deportivo clasico")</f>
        <v>Deportivo clasico</v>
      </c>
      <c r="E156" s="40" t="str">
        <f ca="1">IFERROR(__xludf.DUMMYFUNCTION("""COMPUTED_VALUE"""),"https://docs.fivem.net/vehicles/btype3.webp")</f>
        <v>https://docs.fivem.net/vehicles/btype3.webp</v>
      </c>
    </row>
    <row r="157" spans="1:5" ht="15.75" customHeight="1" x14ac:dyDescent="0.4">
      <c r="A157" s="38" t="str">
        <f ca="1">IFERROR(__xludf.DUMMYFUNCTION("""COMPUTED_VALUE"""),"casco")</f>
        <v>casco</v>
      </c>
      <c r="B157" s="38" t="str">
        <f ca="1">IFERROR(__xludf.DUMMYFUNCTION("""COMPUTED_VALUE"""),"Casco")</f>
        <v>Casco</v>
      </c>
      <c r="C157" s="39">
        <f ca="1">IFERROR(__xludf.DUMMYFUNCTION("""COMPUTED_VALUE"""),85000)</f>
        <v>85000</v>
      </c>
      <c r="D157" s="39" t="str">
        <f ca="1">IFERROR(__xludf.DUMMYFUNCTION("""COMPUTED_VALUE"""),"Deportivo clasico")</f>
        <v>Deportivo clasico</v>
      </c>
      <c r="E157" s="40" t="str">
        <f ca="1">IFERROR(__xludf.DUMMYFUNCTION("""COMPUTED_VALUE"""),"https://docs.fivem.net/vehicles/casco.webp")</f>
        <v>https://docs.fivem.net/vehicles/casco.webp</v>
      </c>
    </row>
    <row r="158" spans="1:5" ht="15.75" customHeight="1" x14ac:dyDescent="0.4">
      <c r="A158" s="38" t="str">
        <f ca="1">IFERROR(__xludf.DUMMYFUNCTION("""COMPUTED_VALUE"""),"cheburek")</f>
        <v>cheburek</v>
      </c>
      <c r="B158" s="38" t="str">
        <f ca="1">IFERROR(__xludf.DUMMYFUNCTION("""COMPUTED_VALUE"""),"Cheburek")</f>
        <v>Cheburek</v>
      </c>
      <c r="C158" s="39">
        <f ca="1">IFERROR(__xludf.DUMMYFUNCTION("""COMPUTED_VALUE"""),28000)</f>
        <v>28000</v>
      </c>
      <c r="D158" s="39" t="str">
        <f ca="1">IFERROR(__xludf.DUMMYFUNCTION("""COMPUTED_VALUE"""),"Deportivo clasico")</f>
        <v>Deportivo clasico</v>
      </c>
      <c r="E158" s="40" t="str">
        <f ca="1">IFERROR(__xludf.DUMMYFUNCTION("""COMPUTED_VALUE"""),"https://docs.fivem.net/vehicles/cheburek.webp")</f>
        <v>https://docs.fivem.net/vehicles/cheburek.webp</v>
      </c>
    </row>
    <row r="159" spans="1:5" ht="15.75" customHeight="1" x14ac:dyDescent="0.4">
      <c r="A159" s="38" t="str">
        <f ca="1">IFERROR(__xludf.DUMMYFUNCTION("""COMPUTED_VALUE"""),"coquette2")</f>
        <v>coquette2</v>
      </c>
      <c r="B159" s="38" t="str">
        <f ca="1">IFERROR(__xludf.DUMMYFUNCTION("""COMPUTED_VALUE"""),"Coquette Classic")</f>
        <v>Coquette Classic</v>
      </c>
      <c r="C159" s="39">
        <f ca="1">IFERROR(__xludf.DUMMYFUNCTION("""COMPUTED_VALUE"""),115000)</f>
        <v>115000</v>
      </c>
      <c r="D159" s="39" t="str">
        <f ca="1">IFERROR(__xludf.DUMMYFUNCTION("""COMPUTED_VALUE"""),"Deportivo clasico")</f>
        <v>Deportivo clasico</v>
      </c>
      <c r="E159" s="40" t="str">
        <f ca="1">IFERROR(__xludf.DUMMYFUNCTION("""COMPUTED_VALUE"""),"https://docs.fivem.net/vehicles/coquette2.webp")</f>
        <v>https://docs.fivem.net/vehicles/coquette2.webp</v>
      </c>
    </row>
    <row r="160" spans="1:5" ht="15.75" customHeight="1" x14ac:dyDescent="0.4">
      <c r="A160" s="38" t="str">
        <f ca="1">IFERROR(__xludf.DUMMYFUNCTION("""COMPUTED_VALUE"""),"coquette3")</f>
        <v>coquette3</v>
      </c>
      <c r="B160" s="38" t="str">
        <f ca="1">IFERROR(__xludf.DUMMYFUNCTION("""COMPUTED_VALUE"""),"Coquette BlackFin")</f>
        <v>Coquette BlackFin</v>
      </c>
      <c r="C160" s="39">
        <f ca="1">IFERROR(__xludf.DUMMYFUNCTION("""COMPUTED_VALUE"""),98500)</f>
        <v>98500</v>
      </c>
      <c r="D160" s="39" t="str">
        <f ca="1">IFERROR(__xludf.DUMMYFUNCTION("""COMPUTED_VALUE"""),"Deportivo clasico")</f>
        <v>Deportivo clasico</v>
      </c>
      <c r="E160" s="40" t="str">
        <f ca="1">IFERROR(__xludf.DUMMYFUNCTION("""COMPUTED_VALUE"""),"https://docs.fivem.net/vehicles/coquette3.webp")</f>
        <v>https://docs.fivem.net/vehicles/coquette3.webp</v>
      </c>
    </row>
    <row r="161" spans="1:5" ht="15.75" customHeight="1" x14ac:dyDescent="0.4">
      <c r="A161" s="38" t="str">
        <f ca="1">IFERROR(__xludf.DUMMYFUNCTION("""COMPUTED_VALUE"""),"driftnebula")</f>
        <v>driftnebula</v>
      </c>
      <c r="B161" s="38" t="str">
        <f ca="1">IFERROR(__xludf.DUMMYFUNCTION("""COMPUTED_VALUE"""),"Nebula Turbo")</f>
        <v>Nebula Turbo</v>
      </c>
      <c r="C161" s="39">
        <f ca="1">IFERROR(__xludf.DUMMYFUNCTION("""COMPUTED_VALUE"""),38500)</f>
        <v>38500</v>
      </c>
      <c r="D161" s="39" t="str">
        <f ca="1">IFERROR(__xludf.DUMMYFUNCTION("""COMPUTED_VALUE"""),"Deportivo clasico")</f>
        <v>Deportivo clasico</v>
      </c>
      <c r="E161" s="40" t="str">
        <f ca="1">IFERROR(__xludf.DUMMYFUNCTION("""COMPUTED_VALUE"""),"https://docs.fivem.net/vehicles/driftnebula.webp")</f>
        <v>https://docs.fivem.net/vehicles/driftnebula.webp</v>
      </c>
    </row>
    <row r="162" spans="1:5" ht="15.75" customHeight="1" x14ac:dyDescent="0.4">
      <c r="A162" s="38" t="str">
        <f ca="1">IFERROR(__xludf.DUMMYFUNCTION("""COMPUTED_VALUE"""),"dynasty")</f>
        <v>dynasty</v>
      </c>
      <c r="B162" s="38" t="str">
        <f ca="1">IFERROR(__xludf.DUMMYFUNCTION("""COMPUTED_VALUE"""),"Dynasty")</f>
        <v>Dynasty</v>
      </c>
      <c r="C162" s="39">
        <f ca="1">IFERROR(__xludf.DUMMYFUNCTION("""COMPUTED_VALUE"""),12000)</f>
        <v>12000</v>
      </c>
      <c r="D162" s="39" t="str">
        <f ca="1">IFERROR(__xludf.DUMMYFUNCTION("""COMPUTED_VALUE"""),"Deportivo clasico")</f>
        <v>Deportivo clasico</v>
      </c>
      <c r="E162" s="40" t="str">
        <f ca="1">IFERROR(__xludf.DUMMYFUNCTION("""COMPUTED_VALUE"""),"https://docs.fivem.net/vehicles/dynasty.webp")</f>
        <v>https://docs.fivem.net/vehicles/dynasty.webp</v>
      </c>
    </row>
    <row r="163" spans="1:5" ht="15.75" customHeight="1" x14ac:dyDescent="0.4">
      <c r="A163" s="38" t="str">
        <f ca="1">IFERROR(__xludf.DUMMYFUNCTION("""COMPUTED_VALUE"""),"envisage")</f>
        <v>envisage</v>
      </c>
      <c r="B163" s="38" t="str">
        <f ca="1">IFERROR(__xludf.DUMMYFUNCTION("""COMPUTED_VALUE"""),"Envisage")</f>
        <v>Envisage</v>
      </c>
      <c r="C163" s="39">
        <f ca="1">IFERROR(__xludf.DUMMYFUNCTION("""COMPUTED_VALUE"""),96500)</f>
        <v>96500</v>
      </c>
      <c r="D163" s="39" t="str">
        <f ca="1">IFERROR(__xludf.DUMMYFUNCTION("""COMPUTED_VALUE"""),"Deportivo clasico")</f>
        <v>Deportivo clasico</v>
      </c>
      <c r="E163" s="40" t="str">
        <f ca="1">IFERROR(__xludf.DUMMYFUNCTION("""COMPUTED_VALUE"""),"https://docs.fivem.net/vehicles/envisage.webp")</f>
        <v>https://docs.fivem.net/vehicles/envisage.webp</v>
      </c>
    </row>
    <row r="164" spans="1:5" ht="15.75" customHeight="1" x14ac:dyDescent="0.4">
      <c r="A164" s="38" t="str">
        <f ca="1">IFERROR(__xludf.DUMMYFUNCTION("""COMPUTED_VALUE"""),"fagaloa")</f>
        <v>fagaloa</v>
      </c>
      <c r="B164" s="38" t="str">
        <f ca="1">IFERROR(__xludf.DUMMYFUNCTION("""COMPUTED_VALUE"""),"Fagaloa")</f>
        <v>Fagaloa</v>
      </c>
      <c r="C164" s="39">
        <f ca="1">IFERROR(__xludf.DUMMYFUNCTION("""COMPUTED_VALUE"""),9000)</f>
        <v>9000</v>
      </c>
      <c r="D164" s="39" t="str">
        <f ca="1">IFERROR(__xludf.DUMMYFUNCTION("""COMPUTED_VALUE"""),"Deportivo clasico")</f>
        <v>Deportivo clasico</v>
      </c>
      <c r="E164" s="40" t="str">
        <f ca="1">IFERROR(__xludf.DUMMYFUNCTION("""COMPUTED_VALUE"""),"https://docs.fivem.net/vehicles/fagaloa.webp")</f>
        <v>https://docs.fivem.net/vehicles/fagaloa.webp</v>
      </c>
    </row>
    <row r="165" spans="1:5" ht="15.75" customHeight="1" x14ac:dyDescent="0.4">
      <c r="A165" s="38" t="str">
        <f ca="1">IFERROR(__xludf.DUMMYFUNCTION("""COMPUTED_VALUE"""),"feltzer3")</f>
        <v>feltzer3</v>
      </c>
      <c r="B165" s="38" t="str">
        <f ca="1">IFERROR(__xludf.DUMMYFUNCTION("""COMPUTED_VALUE"""),"Stirling GT")</f>
        <v>Stirling GT</v>
      </c>
      <c r="C165" s="39">
        <f ca="1">IFERROR(__xludf.DUMMYFUNCTION("""COMPUTED_VALUE"""),82000)</f>
        <v>82000</v>
      </c>
      <c r="D165" s="39" t="str">
        <f ca="1">IFERROR(__xludf.DUMMYFUNCTION("""COMPUTED_VALUE"""),"Deportivo clasico")</f>
        <v>Deportivo clasico</v>
      </c>
      <c r="E165" s="40" t="str">
        <f ca="1">IFERROR(__xludf.DUMMYFUNCTION("""COMPUTED_VALUE"""),"https://docs.fivem.net/vehicles/feltzer3.webp")</f>
        <v>https://docs.fivem.net/vehicles/feltzer3.webp</v>
      </c>
    </row>
    <row r="166" spans="1:5" ht="15.75" customHeight="1" x14ac:dyDescent="0.4">
      <c r="A166" s="38" t="str">
        <f ca="1">IFERROR(__xludf.DUMMYFUNCTION("""COMPUTED_VALUE"""),"gt500")</f>
        <v>gt500</v>
      </c>
      <c r="B166" s="38" t="str">
        <f ca="1">IFERROR(__xludf.DUMMYFUNCTION("""COMPUTED_VALUE"""),"GT500")</f>
        <v>GT500</v>
      </c>
      <c r="C166" s="39">
        <f ca="1">IFERROR(__xludf.DUMMYFUNCTION("""COMPUTED_VALUE"""),72000)</f>
        <v>72000</v>
      </c>
      <c r="D166" s="39" t="str">
        <f ca="1">IFERROR(__xludf.DUMMYFUNCTION("""COMPUTED_VALUE"""),"Deportivo clasico")</f>
        <v>Deportivo clasico</v>
      </c>
      <c r="E166" s="40" t="str">
        <f ca="1">IFERROR(__xludf.DUMMYFUNCTION("""COMPUTED_VALUE"""),"https://docs.fivem.net/vehicles/gt500.webp")</f>
        <v>https://docs.fivem.net/vehicles/gt500.webp</v>
      </c>
    </row>
    <row r="167" spans="1:5" ht="15.75" customHeight="1" x14ac:dyDescent="0.4">
      <c r="A167" s="38" t="str">
        <f ca="1">IFERROR(__xludf.DUMMYFUNCTION("""COMPUTED_VALUE"""),"infernus2")</f>
        <v>infernus2</v>
      </c>
      <c r="B167" s="38" t="str">
        <f ca="1">IFERROR(__xludf.DUMMYFUNCTION("""COMPUTED_VALUE"""),"Infernus Classic")</f>
        <v>Infernus Classic</v>
      </c>
      <c r="C167" s="39">
        <f ca="1">IFERROR(__xludf.DUMMYFUNCTION("""COMPUTED_VALUE"""),158000)</f>
        <v>158000</v>
      </c>
      <c r="D167" s="39" t="str">
        <f ca="1">IFERROR(__xludf.DUMMYFUNCTION("""COMPUTED_VALUE"""),"Deportivo clasico")</f>
        <v>Deportivo clasico</v>
      </c>
      <c r="E167" s="40" t="str">
        <f ca="1">IFERROR(__xludf.DUMMYFUNCTION("""COMPUTED_VALUE"""),"https://docs.fivem.net/vehicles/infernus2.webp")</f>
        <v>https://docs.fivem.net/vehicles/infernus2.webp</v>
      </c>
    </row>
    <row r="168" spans="1:5" ht="15.75" customHeight="1" x14ac:dyDescent="0.4">
      <c r="A168" s="38" t="str">
        <f ca="1">IFERROR(__xludf.DUMMYFUNCTION("""COMPUTED_VALUE"""),"jb7002")</f>
        <v>jb7002</v>
      </c>
      <c r="B168" s="38" t="str">
        <f ca="1">IFERROR(__xludf.DUMMYFUNCTION("""COMPUTED_VALUE"""),"JB 700W")</f>
        <v>JB 700W</v>
      </c>
      <c r="C168" s="39">
        <f ca="1">IFERROR(__xludf.DUMMYFUNCTION("""COMPUTED_VALUE"""),65000)</f>
        <v>65000</v>
      </c>
      <c r="D168" s="39" t="str">
        <f ca="1">IFERROR(__xludf.DUMMYFUNCTION("""COMPUTED_VALUE"""),"Deportivo clasico")</f>
        <v>Deportivo clasico</v>
      </c>
      <c r="E168" s="40" t="str">
        <f ca="1">IFERROR(__xludf.DUMMYFUNCTION("""COMPUTED_VALUE"""),"https://docs.fivem.net/vehicles/jb7002.webp")</f>
        <v>https://docs.fivem.net/vehicles/jb7002.webp</v>
      </c>
    </row>
    <row r="169" spans="1:5" ht="15.75" customHeight="1" x14ac:dyDescent="0.4">
      <c r="A169" s="38" t="str">
        <f ca="1">IFERROR(__xludf.DUMMYFUNCTION("""COMPUTED_VALUE"""),"mamba")</f>
        <v>mamba</v>
      </c>
      <c r="B169" s="38" t="str">
        <f ca="1">IFERROR(__xludf.DUMMYFUNCTION("""COMPUTED_VALUE"""),"Mamba")</f>
        <v>Mamba</v>
      </c>
      <c r="C169" s="39">
        <f ca="1">IFERROR(__xludf.DUMMYFUNCTION("""COMPUTED_VALUE"""),140000)</f>
        <v>140000</v>
      </c>
      <c r="D169" s="39" t="str">
        <f ca="1">IFERROR(__xludf.DUMMYFUNCTION("""COMPUTED_VALUE"""),"Deportivo clasico")</f>
        <v>Deportivo clasico</v>
      </c>
      <c r="E169" s="40" t="str">
        <f ca="1">IFERROR(__xludf.DUMMYFUNCTION("""COMPUTED_VALUE"""),"https://docs.fivem.net/vehicles/mamba.webp")</f>
        <v>https://docs.fivem.net/vehicles/mamba.webp</v>
      </c>
    </row>
    <row r="170" spans="1:5" ht="15.75" customHeight="1" x14ac:dyDescent="0.4">
      <c r="A170" s="38" t="str">
        <f ca="1">IFERROR(__xludf.DUMMYFUNCTION("""COMPUTED_VALUE"""),"michelli")</f>
        <v>michelli</v>
      </c>
      <c r="B170" s="38" t="str">
        <f ca="1">IFERROR(__xludf.DUMMYFUNCTION("""COMPUTED_VALUE"""),"Michelli GT")</f>
        <v>Michelli GT</v>
      </c>
      <c r="C170" s="39">
        <f ca="1">IFERROR(__xludf.DUMMYFUNCTION("""COMPUTED_VALUE"""),34000)</f>
        <v>34000</v>
      </c>
      <c r="D170" s="39" t="str">
        <f ca="1">IFERROR(__xludf.DUMMYFUNCTION("""COMPUTED_VALUE"""),"Deportivo clasico")</f>
        <v>Deportivo clasico</v>
      </c>
      <c r="E170" s="40" t="str">
        <f ca="1">IFERROR(__xludf.DUMMYFUNCTION("""COMPUTED_VALUE"""),"https://docs.fivem.net/vehicles/michelli.webp")</f>
        <v>https://docs.fivem.net/vehicles/michelli.webp</v>
      </c>
    </row>
    <row r="171" spans="1:5" ht="15.75" customHeight="1" x14ac:dyDescent="0.4">
      <c r="A171" s="38" t="str">
        <f ca="1">IFERROR(__xludf.DUMMYFUNCTION("""COMPUTED_VALUE"""),"monroe")</f>
        <v>monroe</v>
      </c>
      <c r="B171" s="38" t="str">
        <f ca="1">IFERROR(__xludf.DUMMYFUNCTION("""COMPUTED_VALUE"""),"Monroe")</f>
        <v>Monroe</v>
      </c>
      <c r="C171" s="39">
        <f ca="1">IFERROR(__xludf.DUMMYFUNCTION("""COMPUTED_VALUE"""),115000)</f>
        <v>115000</v>
      </c>
      <c r="D171" s="39" t="str">
        <f ca="1">IFERROR(__xludf.DUMMYFUNCTION("""COMPUTED_VALUE"""),"Deportivo clasico")</f>
        <v>Deportivo clasico</v>
      </c>
      <c r="E171" s="40" t="str">
        <f ca="1">IFERROR(__xludf.DUMMYFUNCTION("""COMPUTED_VALUE"""),"https://docs.fivem.net/vehicles/monroe.webp")</f>
        <v>https://docs.fivem.net/vehicles/monroe.webp</v>
      </c>
    </row>
    <row r="172" spans="1:5" ht="15.75" customHeight="1" x14ac:dyDescent="0.4">
      <c r="A172" s="38" t="str">
        <f ca="1">IFERROR(__xludf.DUMMYFUNCTION("""COMPUTED_VALUE"""),"nebula")</f>
        <v>nebula</v>
      </c>
      <c r="B172" s="38" t="str">
        <f ca="1">IFERROR(__xludf.DUMMYFUNCTION("""COMPUTED_VALUE"""),"Nebula")</f>
        <v>Nebula</v>
      </c>
      <c r="C172" s="39">
        <f ca="1">IFERROR(__xludf.DUMMYFUNCTION("""COMPUTED_VALUE"""),34000)</f>
        <v>34000</v>
      </c>
      <c r="D172" s="39" t="str">
        <f ca="1">IFERROR(__xludf.DUMMYFUNCTION("""COMPUTED_VALUE"""),"Deportivo clasico")</f>
        <v>Deportivo clasico</v>
      </c>
      <c r="E172" s="40" t="str">
        <f ca="1">IFERROR(__xludf.DUMMYFUNCTION("""COMPUTED_VALUE"""),"https://docs.fivem.net/vehicles/nebula.webp")</f>
        <v>https://docs.fivem.net/vehicles/nebula.webp</v>
      </c>
    </row>
    <row r="173" spans="1:5" ht="15.75" customHeight="1" x14ac:dyDescent="0.4">
      <c r="A173" s="38" t="str">
        <f ca="1">IFERROR(__xludf.DUMMYFUNCTION("""COMPUTED_VALUE"""),"peyote")</f>
        <v>peyote</v>
      </c>
      <c r="B173" s="38" t="str">
        <f ca="1">IFERROR(__xludf.DUMMYFUNCTION("""COMPUTED_VALUE"""),"Peyote")</f>
        <v>Peyote</v>
      </c>
      <c r="C173" s="39">
        <f ca="1">IFERROR(__xludf.DUMMYFUNCTION("""COMPUTED_VALUE"""),23500)</f>
        <v>23500</v>
      </c>
      <c r="D173" s="39" t="str">
        <f ca="1">IFERROR(__xludf.DUMMYFUNCTION("""COMPUTED_VALUE"""),"Deportivo clasico")</f>
        <v>Deportivo clasico</v>
      </c>
      <c r="E173" s="40" t="str">
        <f ca="1">IFERROR(__xludf.DUMMYFUNCTION("""COMPUTED_VALUE"""),"https://docs.fivem.net/vehicles/peyote.webp")</f>
        <v>https://docs.fivem.net/vehicles/peyote.webp</v>
      </c>
    </row>
    <row r="174" spans="1:5" ht="15.75" customHeight="1" x14ac:dyDescent="0.4">
      <c r="A174" s="38" t="str">
        <f ca="1">IFERROR(__xludf.DUMMYFUNCTION("""COMPUTED_VALUE"""),"peyote2")</f>
        <v>peyote2</v>
      </c>
      <c r="B174" s="38" t="str">
        <f ca="1">IFERROR(__xludf.DUMMYFUNCTION("""COMPUTED_VALUE"""),"Peyote Gasser")</f>
        <v>Peyote Gasser</v>
      </c>
      <c r="C174" s="39">
        <f ca="1">IFERROR(__xludf.DUMMYFUNCTION("""COMPUTED_VALUE"""),64500)</f>
        <v>64500</v>
      </c>
      <c r="D174" s="39" t="str">
        <f ca="1">IFERROR(__xludf.DUMMYFUNCTION("""COMPUTED_VALUE"""),"Deportivo clasico")</f>
        <v>Deportivo clasico</v>
      </c>
      <c r="E174" s="40" t="str">
        <f ca="1">IFERROR(__xludf.DUMMYFUNCTION("""COMPUTED_VALUE"""),"https://docs.fivem.net/vehicles/peyote2.webp")</f>
        <v>https://docs.fivem.net/vehicles/peyote2.webp</v>
      </c>
    </row>
    <row r="175" spans="1:5" ht="15.75" customHeight="1" x14ac:dyDescent="0.4">
      <c r="A175" s="38" t="str">
        <f ca="1">IFERROR(__xludf.DUMMYFUNCTION("""COMPUTED_VALUE"""),"peyote3")</f>
        <v>peyote3</v>
      </c>
      <c r="B175" s="38" t="str">
        <f ca="1">IFERROR(__xludf.DUMMYFUNCTION("""COMPUTED_VALUE"""),"Peyote Custom")</f>
        <v>Peyote Custom</v>
      </c>
      <c r="C175" s="39">
        <f ca="1">IFERROR(__xludf.DUMMYFUNCTION("""COMPUTED_VALUE"""),35000)</f>
        <v>35000</v>
      </c>
      <c r="D175" s="39" t="str">
        <f ca="1">IFERROR(__xludf.DUMMYFUNCTION("""COMPUTED_VALUE"""),"Deportivo clasico")</f>
        <v>Deportivo clasico</v>
      </c>
      <c r="E175" s="40" t="str">
        <f ca="1">IFERROR(__xludf.DUMMYFUNCTION("""COMPUTED_VALUE"""),"https://docs.fivem.net/vehicles/peyote3.webp")</f>
        <v>https://docs.fivem.net/vehicles/peyote3.webp</v>
      </c>
    </row>
    <row r="176" spans="1:5" ht="15.75" customHeight="1" x14ac:dyDescent="0.4">
      <c r="A176" s="38" t="str">
        <f ca="1">IFERROR(__xludf.DUMMYFUNCTION("""COMPUTED_VALUE"""),"pigalle")</f>
        <v>pigalle</v>
      </c>
      <c r="B176" s="38" t="str">
        <f ca="1">IFERROR(__xludf.DUMMYFUNCTION("""COMPUTED_VALUE"""),"Pigalle")</f>
        <v>Pigalle</v>
      </c>
      <c r="C176" s="39">
        <f ca="1">IFERROR(__xludf.DUMMYFUNCTION("""COMPUTED_VALUE"""),82000)</f>
        <v>82000</v>
      </c>
      <c r="D176" s="39" t="str">
        <f ca="1">IFERROR(__xludf.DUMMYFUNCTION("""COMPUTED_VALUE"""),"Deportivo clasico")</f>
        <v>Deportivo clasico</v>
      </c>
      <c r="E176" s="40" t="str">
        <f ca="1">IFERROR(__xludf.DUMMYFUNCTION("""COMPUTED_VALUE"""),"https://docs.fivem.net/vehicles/pigalle.webp")</f>
        <v>https://docs.fivem.net/vehicles/pigalle.webp</v>
      </c>
    </row>
    <row r="177" spans="1:5" ht="15.75" customHeight="1" x14ac:dyDescent="0.4">
      <c r="A177" s="38" t="str">
        <f ca="1">IFERROR(__xludf.DUMMYFUNCTION("""COMPUTED_VALUE"""),"rapidgt3")</f>
        <v>rapidgt3</v>
      </c>
      <c r="B177" s="38" t="str">
        <f ca="1">IFERROR(__xludf.DUMMYFUNCTION("""COMPUTED_VALUE"""),"Rapid GT Classic")</f>
        <v>Rapid GT Classic</v>
      </c>
      <c r="C177" s="39">
        <f ca="1">IFERROR(__xludf.DUMMYFUNCTION("""COMPUTED_VALUE"""),48000)</f>
        <v>48000</v>
      </c>
      <c r="D177" s="39" t="str">
        <f ca="1">IFERROR(__xludf.DUMMYFUNCTION("""COMPUTED_VALUE"""),"Deportivo clasico")</f>
        <v>Deportivo clasico</v>
      </c>
      <c r="E177" s="40" t="str">
        <f ca="1">IFERROR(__xludf.DUMMYFUNCTION("""COMPUTED_VALUE"""),"https://docs.fivem.net/vehicles/rapidgt3.webp")</f>
        <v>https://docs.fivem.net/vehicles/rapidgt3.webp</v>
      </c>
    </row>
    <row r="178" spans="1:5" ht="15.75" customHeight="1" x14ac:dyDescent="0.4">
      <c r="A178" s="38" t="str">
        <f ca="1">IFERROR(__xludf.DUMMYFUNCTION("""COMPUTED_VALUE"""),"retinue")</f>
        <v>retinue</v>
      </c>
      <c r="B178" s="38" t="str">
        <f ca="1">IFERROR(__xludf.DUMMYFUNCTION("""COMPUTED_VALUE"""),"Retinue")</f>
        <v>Retinue</v>
      </c>
      <c r="C178" s="39">
        <f ca="1">IFERROR(__xludf.DUMMYFUNCTION("""COMPUTED_VALUE"""),38500)</f>
        <v>38500</v>
      </c>
      <c r="D178" s="39" t="str">
        <f ca="1">IFERROR(__xludf.DUMMYFUNCTION("""COMPUTED_VALUE"""),"Deportivo clasico")</f>
        <v>Deportivo clasico</v>
      </c>
      <c r="E178" s="40" t="str">
        <f ca="1">IFERROR(__xludf.DUMMYFUNCTION("""COMPUTED_VALUE"""),"https://docs.fivem.net/vehicles/retinue.webp")</f>
        <v>https://docs.fivem.net/vehicles/retinue.webp</v>
      </c>
    </row>
    <row r="179" spans="1:5" ht="15.75" customHeight="1" x14ac:dyDescent="0.4">
      <c r="A179" s="38" t="str">
        <f ca="1">IFERROR(__xludf.DUMMYFUNCTION("""COMPUTED_VALUE"""),"retinue2")</f>
        <v>retinue2</v>
      </c>
      <c r="B179" s="38" t="str">
        <f ca="1">IFERROR(__xludf.DUMMYFUNCTION("""COMPUTED_VALUE"""),"Retinue MKII")</f>
        <v>Retinue MKII</v>
      </c>
      <c r="C179" s="39">
        <f ca="1">IFERROR(__xludf.DUMMYFUNCTION("""COMPUTED_VALUE"""),41500)</f>
        <v>41500</v>
      </c>
      <c r="D179" s="39" t="str">
        <f ca="1">IFERROR(__xludf.DUMMYFUNCTION("""COMPUTED_VALUE"""),"Deportivo clasico")</f>
        <v>Deportivo clasico</v>
      </c>
      <c r="E179" s="40" t="str">
        <f ca="1">IFERROR(__xludf.DUMMYFUNCTION("""COMPUTED_VALUE"""),"https://docs.fivem.net/vehicles/retinue2.webp")</f>
        <v>https://docs.fivem.net/vehicles/retinue2.webp</v>
      </c>
    </row>
    <row r="180" spans="1:5" ht="15.75" customHeight="1" x14ac:dyDescent="0.4">
      <c r="A180" s="38" t="str">
        <f ca="1">IFERROR(__xludf.DUMMYFUNCTION("""COMPUTED_VALUE"""),"savestra")</f>
        <v>savestra</v>
      </c>
      <c r="B180" s="38" t="str">
        <f ca="1">IFERROR(__xludf.DUMMYFUNCTION("""COMPUTED_VALUE"""),"Savestra")</f>
        <v>Savestra</v>
      </c>
      <c r="C180" s="39">
        <f ca="1">IFERROR(__xludf.DUMMYFUNCTION("""COMPUTED_VALUE"""),48000)</f>
        <v>48000</v>
      </c>
      <c r="D180" s="39" t="str">
        <f ca="1">IFERROR(__xludf.DUMMYFUNCTION("""COMPUTED_VALUE"""),"Deportivo clasico")</f>
        <v>Deportivo clasico</v>
      </c>
      <c r="E180" s="40" t="str">
        <f ca="1">IFERROR(__xludf.DUMMYFUNCTION("""COMPUTED_VALUE"""),"https://docs.fivem.net/vehicles/savestra.webp")</f>
        <v>https://docs.fivem.net/vehicles/savestra.webp</v>
      </c>
    </row>
    <row r="181" spans="1:5" ht="15.75" customHeight="1" x14ac:dyDescent="0.4">
      <c r="A181" s="38" t="str">
        <f ca="1">IFERROR(__xludf.DUMMYFUNCTION("""COMPUTED_VALUE"""),"stinger")</f>
        <v>stinger</v>
      </c>
      <c r="B181" s="38" t="str">
        <f ca="1">IFERROR(__xludf.DUMMYFUNCTION("""COMPUTED_VALUE"""),"Stinger")</f>
        <v>Stinger</v>
      </c>
      <c r="C181" s="39">
        <f ca="1">IFERROR(__xludf.DUMMYFUNCTION("""COMPUTED_VALUE"""),46500)</f>
        <v>46500</v>
      </c>
      <c r="D181" s="39" t="str">
        <f ca="1">IFERROR(__xludf.DUMMYFUNCTION("""COMPUTED_VALUE"""),"Deportivo clasico")</f>
        <v>Deportivo clasico</v>
      </c>
      <c r="E181" s="40" t="str">
        <f ca="1">IFERROR(__xludf.DUMMYFUNCTION("""COMPUTED_VALUE"""),"https://docs.fivem.net/vehicles/stinger.webp")</f>
        <v>https://docs.fivem.net/vehicles/stinger.webp</v>
      </c>
    </row>
    <row r="182" spans="1:5" ht="15.75" customHeight="1" x14ac:dyDescent="0.4">
      <c r="A182" s="38" t="str">
        <f ca="1">IFERROR(__xludf.DUMMYFUNCTION("""COMPUTED_VALUE"""),"stingergt")</f>
        <v>stingergt</v>
      </c>
      <c r="B182" s="38" t="str">
        <f ca="1">IFERROR(__xludf.DUMMYFUNCTION("""COMPUTED_VALUE"""),"Stinger GT")</f>
        <v>Stinger GT</v>
      </c>
      <c r="C182" s="39">
        <f ca="1">IFERROR(__xludf.DUMMYFUNCTION("""COMPUTED_VALUE"""),48000)</f>
        <v>48000</v>
      </c>
      <c r="D182" s="39" t="str">
        <f ca="1">IFERROR(__xludf.DUMMYFUNCTION("""COMPUTED_VALUE"""),"Deportivo clasico")</f>
        <v>Deportivo clasico</v>
      </c>
      <c r="E182" s="40" t="str">
        <f ca="1">IFERROR(__xludf.DUMMYFUNCTION("""COMPUTED_VALUE"""),"https://docs.fivem.net/vehicles/stingergt.webp")</f>
        <v>https://docs.fivem.net/vehicles/stingergt.webp</v>
      </c>
    </row>
    <row r="183" spans="1:5" ht="15.75" customHeight="1" x14ac:dyDescent="0.4">
      <c r="A183" s="38" t="str">
        <f ca="1">IFERROR(__xludf.DUMMYFUNCTION("""COMPUTED_VALUE"""),"swinger")</f>
        <v>swinger</v>
      </c>
      <c r="B183" s="38" t="str">
        <f ca="1">IFERROR(__xludf.DUMMYFUNCTION("""COMPUTED_VALUE"""),"Swinger")</f>
        <v>Swinger</v>
      </c>
      <c r="C183" s="39">
        <f ca="1">IFERROR(__xludf.DUMMYFUNCTION("""COMPUTED_VALUE"""),115000)</f>
        <v>115000</v>
      </c>
      <c r="D183" s="39" t="str">
        <f ca="1">IFERROR(__xludf.DUMMYFUNCTION("""COMPUTED_VALUE"""),"Deportivo clasico")</f>
        <v>Deportivo clasico</v>
      </c>
      <c r="E183" s="40" t="str">
        <f ca="1">IFERROR(__xludf.DUMMYFUNCTION("""COMPUTED_VALUE"""),"https://docs.fivem.net/vehicles/swinger.webp")</f>
        <v>https://docs.fivem.net/vehicles/swinger.webp</v>
      </c>
    </row>
    <row r="184" spans="1:5" ht="15.75" customHeight="1" x14ac:dyDescent="0.4">
      <c r="A184" s="38" t="str">
        <f ca="1">IFERROR(__xludf.DUMMYFUNCTION("""COMPUTED_VALUE"""),"torero")</f>
        <v>torero</v>
      </c>
      <c r="B184" s="38" t="str">
        <f ca="1">IFERROR(__xludf.DUMMYFUNCTION("""COMPUTED_VALUE"""),"Torero")</f>
        <v>Torero</v>
      </c>
      <c r="C184" s="39">
        <f ca="1">IFERROR(__xludf.DUMMYFUNCTION("""COMPUTED_VALUE"""),148000)</f>
        <v>148000</v>
      </c>
      <c r="D184" s="39" t="str">
        <f ca="1">IFERROR(__xludf.DUMMYFUNCTION("""COMPUTED_VALUE"""),"Deportivo clasico")</f>
        <v>Deportivo clasico</v>
      </c>
      <c r="E184" s="40" t="str">
        <f ca="1">IFERROR(__xludf.DUMMYFUNCTION("""COMPUTED_VALUE"""),"https://docs.fivem.net/vehicles/torero.webp")</f>
        <v>https://docs.fivem.net/vehicles/torero.webp</v>
      </c>
    </row>
    <row r="185" spans="1:5" ht="15.75" customHeight="1" x14ac:dyDescent="0.4">
      <c r="A185" s="38" t="str">
        <f ca="1">IFERROR(__xludf.DUMMYFUNCTION("""COMPUTED_VALUE"""),"tornado")</f>
        <v>tornado</v>
      </c>
      <c r="B185" s="38" t="str">
        <f ca="1">IFERROR(__xludf.DUMMYFUNCTION("""COMPUTED_VALUE"""),"Tornado")</f>
        <v>Tornado</v>
      </c>
      <c r="C185" s="39">
        <f ca="1">IFERROR(__xludf.DUMMYFUNCTION("""COMPUTED_VALUE"""),21000)</f>
        <v>21000</v>
      </c>
      <c r="D185" s="39" t="str">
        <f ca="1">IFERROR(__xludf.DUMMYFUNCTION("""COMPUTED_VALUE"""),"Deportivo clasico")</f>
        <v>Deportivo clasico</v>
      </c>
      <c r="E185" s="40" t="str">
        <f ca="1">IFERROR(__xludf.DUMMYFUNCTION("""COMPUTED_VALUE"""),"https://docs.fivem.net/vehicles/tornado.webp")</f>
        <v>https://docs.fivem.net/vehicles/tornado.webp</v>
      </c>
    </row>
    <row r="186" spans="1:5" ht="15.75" customHeight="1" x14ac:dyDescent="0.4">
      <c r="A186" s="38" t="str">
        <f ca="1">IFERROR(__xludf.DUMMYFUNCTION("""COMPUTED_VALUE"""),"tornado2")</f>
        <v>tornado2</v>
      </c>
      <c r="B186" s="38" t="str">
        <f ca="1">IFERROR(__xludf.DUMMYFUNCTION("""COMPUTED_VALUE"""),"Tornado Convertible")</f>
        <v>Tornado Convertible</v>
      </c>
      <c r="C186" s="39">
        <f ca="1">IFERROR(__xludf.DUMMYFUNCTION("""COMPUTED_VALUE"""),22000)</f>
        <v>22000</v>
      </c>
      <c r="D186" s="39" t="str">
        <f ca="1">IFERROR(__xludf.DUMMYFUNCTION("""COMPUTED_VALUE"""),"Deportivo clasico")</f>
        <v>Deportivo clasico</v>
      </c>
      <c r="E186" s="40" t="str">
        <f ca="1">IFERROR(__xludf.DUMMYFUNCTION("""COMPUTED_VALUE"""),"https://docs.fivem.net/vehicles/tornado2.webp")</f>
        <v>https://docs.fivem.net/vehicles/tornado2.webp</v>
      </c>
    </row>
    <row r="187" spans="1:5" ht="15.75" customHeight="1" x14ac:dyDescent="0.4">
      <c r="A187" s="38" t="str">
        <f ca="1">IFERROR(__xludf.DUMMYFUNCTION("""COMPUTED_VALUE"""),"tornado5")</f>
        <v>tornado5</v>
      </c>
      <c r="B187" s="38" t="str">
        <f ca="1">IFERROR(__xludf.DUMMYFUNCTION("""COMPUTED_VALUE"""),"Tornado Custom")</f>
        <v>Tornado Custom</v>
      </c>
      <c r="C187" s="39">
        <f ca="1">IFERROR(__xludf.DUMMYFUNCTION("""COMPUTED_VALUE"""),22000)</f>
        <v>22000</v>
      </c>
      <c r="D187" s="39" t="str">
        <f ca="1">IFERROR(__xludf.DUMMYFUNCTION("""COMPUTED_VALUE"""),"Deportivo clasico")</f>
        <v>Deportivo clasico</v>
      </c>
      <c r="E187" s="40" t="str">
        <f ca="1">IFERROR(__xludf.DUMMYFUNCTION("""COMPUTED_VALUE"""),"https://docs.fivem.net/vehicles/tornado5.webp")</f>
        <v>https://docs.fivem.net/vehicles/tornado5.webp</v>
      </c>
    </row>
    <row r="188" spans="1:5" ht="15.75" customHeight="1" x14ac:dyDescent="0.4">
      <c r="A188" s="38" t="str">
        <f ca="1">IFERROR(__xludf.DUMMYFUNCTION("""COMPUTED_VALUE"""),"turismo2")</f>
        <v>turismo2</v>
      </c>
      <c r="B188" s="38" t="str">
        <f ca="1">IFERROR(__xludf.DUMMYFUNCTION("""COMPUTED_VALUE"""),"Turismo Classic")</f>
        <v>Turismo Classic</v>
      </c>
      <c r="C188" s="39">
        <f ca="1">IFERROR(__xludf.DUMMYFUNCTION("""COMPUTED_VALUE"""),150000)</f>
        <v>150000</v>
      </c>
      <c r="D188" s="39" t="str">
        <f ca="1">IFERROR(__xludf.DUMMYFUNCTION("""COMPUTED_VALUE"""),"Deportivo clasico")</f>
        <v>Deportivo clasico</v>
      </c>
      <c r="E188" s="40" t="str">
        <f ca="1">IFERROR(__xludf.DUMMYFUNCTION("""COMPUTED_VALUE"""),"https://docs.fivem.net/vehicles/turismo2.webp")</f>
        <v>https://docs.fivem.net/vehicles/turismo2.webp</v>
      </c>
    </row>
    <row r="189" spans="1:5" ht="15.75" customHeight="1" x14ac:dyDescent="0.4">
      <c r="A189" s="38" t="str">
        <f ca="1">IFERROR(__xludf.DUMMYFUNCTION("""COMPUTED_VALUE"""),"viseris")</f>
        <v>viseris</v>
      </c>
      <c r="B189" s="38" t="str">
        <f ca="1">IFERROR(__xludf.DUMMYFUNCTION("""COMPUTED_VALUE"""),"Viseris")</f>
        <v>Viseris</v>
      </c>
      <c r="C189" s="39">
        <f ca="1">IFERROR(__xludf.DUMMYFUNCTION("""COMPUTED_VALUE"""),155000)</f>
        <v>155000</v>
      </c>
      <c r="D189" s="39" t="str">
        <f ca="1">IFERROR(__xludf.DUMMYFUNCTION("""COMPUTED_VALUE"""),"Deportivo clasico")</f>
        <v>Deportivo clasico</v>
      </c>
      <c r="E189" s="40" t="str">
        <f ca="1">IFERROR(__xludf.DUMMYFUNCTION("""COMPUTED_VALUE"""),"https://docs.fivem.net/vehicles/viseris.webp")</f>
        <v>https://docs.fivem.net/vehicles/viseris.webp</v>
      </c>
    </row>
    <row r="190" spans="1:5" ht="15.75" customHeight="1" x14ac:dyDescent="0.4">
      <c r="A190" s="38" t="str">
        <f ca="1">IFERROR(__xludf.DUMMYFUNCTION("""COMPUTED_VALUE"""),"z190")</f>
        <v>z190</v>
      </c>
      <c r="B190" s="38" t="str">
        <f ca="1">IFERROR(__xludf.DUMMYFUNCTION("""COMPUTED_VALUE"""),"190Z")</f>
        <v>190Z</v>
      </c>
      <c r="C190" s="39">
        <f ca="1">IFERROR(__xludf.DUMMYFUNCTION("""COMPUTED_VALUE"""),88000)</f>
        <v>88000</v>
      </c>
      <c r="D190" s="39" t="str">
        <f ca="1">IFERROR(__xludf.DUMMYFUNCTION("""COMPUTED_VALUE"""),"Deportivo clasico")</f>
        <v>Deportivo clasico</v>
      </c>
      <c r="E190" s="40" t="str">
        <f ca="1">IFERROR(__xludf.DUMMYFUNCTION("""COMPUTED_VALUE"""),"https://docs.fivem.net/vehicles/z190.webp")</f>
        <v>https://docs.fivem.net/vehicles/z190.webp</v>
      </c>
    </row>
    <row r="191" spans="1:5" ht="15.75" customHeight="1" x14ac:dyDescent="0.4">
      <c r="A191" s="38" t="str">
        <f ca="1">IFERROR(__xludf.DUMMYFUNCTION("""COMPUTED_VALUE"""),"zion3")</f>
        <v>zion3</v>
      </c>
      <c r="B191" s="38" t="str">
        <f ca="1">IFERROR(__xludf.DUMMYFUNCTION("""COMPUTED_VALUE"""),"Zion Classic")</f>
        <v>Zion Classic</v>
      </c>
      <c r="C191" s="39">
        <f ca="1">IFERROR(__xludf.DUMMYFUNCTION("""COMPUTED_VALUE"""),46500)</f>
        <v>46500</v>
      </c>
      <c r="D191" s="39" t="str">
        <f ca="1">IFERROR(__xludf.DUMMYFUNCTION("""COMPUTED_VALUE"""),"Deportivo clasico")</f>
        <v>Deportivo clasico</v>
      </c>
      <c r="E191" s="40" t="str">
        <f ca="1">IFERROR(__xludf.DUMMYFUNCTION("""COMPUTED_VALUE"""),"https://docs.fivem.net/vehicles/zion3.webp")</f>
        <v>https://docs.fivem.net/vehicles/zion3.webp</v>
      </c>
    </row>
    <row r="192" spans="1:5" ht="15.75" customHeight="1" x14ac:dyDescent="0.4">
      <c r="A192" s="38" t="str">
        <f ca="1">IFERROR(__xludf.DUMMYFUNCTION("""COMPUTED_VALUE"""),"bison")</f>
        <v>bison</v>
      </c>
      <c r="B192" s="38" t="str">
        <f ca="1">IFERROR(__xludf.DUMMYFUNCTION("""COMPUTED_VALUE"""),"Bison")</f>
        <v>Bison</v>
      </c>
      <c r="C192" s="39">
        <f ca="1">IFERROR(__xludf.DUMMYFUNCTION("""COMPUTED_VALUE"""),15000)</f>
        <v>15000</v>
      </c>
      <c r="D192" s="39" t="str">
        <f ca="1">IFERROR(__xludf.DUMMYFUNCTION("""COMPUTED_VALUE"""),"Furgonetas")</f>
        <v>Furgonetas</v>
      </c>
      <c r="E192" s="40" t="str">
        <f ca="1">IFERROR(__xludf.DUMMYFUNCTION("""COMPUTED_VALUE"""),"https://docs.fivem.net/vehicles/bison.webp")</f>
        <v>https://docs.fivem.net/vehicles/bison.webp</v>
      </c>
    </row>
    <row r="193" spans="1:5" ht="15.75" customHeight="1" x14ac:dyDescent="0.4">
      <c r="A193" s="38" t="str">
        <f ca="1">IFERROR(__xludf.DUMMYFUNCTION("""COMPUTED_VALUE"""),"bobcatxl")</f>
        <v>bobcatxl</v>
      </c>
      <c r="B193" s="38" t="str">
        <f ca="1">IFERROR(__xludf.DUMMYFUNCTION("""COMPUTED_VALUE"""),"Bobcat XL Open")</f>
        <v>Bobcat XL Open</v>
      </c>
      <c r="C193" s="39">
        <f ca="1">IFERROR(__xludf.DUMMYFUNCTION("""COMPUTED_VALUE"""),5000)</f>
        <v>5000</v>
      </c>
      <c r="D193" s="39" t="str">
        <f ca="1">IFERROR(__xludf.DUMMYFUNCTION("""COMPUTED_VALUE"""),"Furgonetas")</f>
        <v>Furgonetas</v>
      </c>
      <c r="E193" s="40" t="str">
        <f ca="1">IFERROR(__xludf.DUMMYFUNCTION("""COMPUTED_VALUE"""),"https://docs.fivem.net/vehicles/bobcatxl.webp")</f>
        <v>https://docs.fivem.net/vehicles/bobcatxl.webp</v>
      </c>
    </row>
    <row r="194" spans="1:5" ht="15.75" customHeight="1" x14ac:dyDescent="0.4">
      <c r="A194" s="38" t="str">
        <f ca="1">IFERROR(__xludf.DUMMYFUNCTION("""COMPUTED_VALUE"""),"gburrito2")</f>
        <v>gburrito2</v>
      </c>
      <c r="B194" s="38" t="str">
        <f ca="1">IFERROR(__xludf.DUMMYFUNCTION("""COMPUTED_VALUE"""),"Burrito Custom")</f>
        <v>Burrito Custom</v>
      </c>
      <c r="C194" s="39">
        <f ca="1">IFERROR(__xludf.DUMMYFUNCTION("""COMPUTED_VALUE"""),35000)</f>
        <v>35000</v>
      </c>
      <c r="D194" s="39" t="str">
        <f ca="1">IFERROR(__xludf.DUMMYFUNCTION("""COMPUTED_VALUE"""),"Furgonetas")</f>
        <v>Furgonetas</v>
      </c>
      <c r="E194" s="40" t="str">
        <f ca="1">IFERROR(__xludf.DUMMYFUNCTION("""COMPUTED_VALUE"""),"https://docs.fivem.net/vehicles/gburrito2.webp")</f>
        <v>https://docs.fivem.net/vehicles/gburrito2.webp</v>
      </c>
    </row>
    <row r="195" spans="1:5" ht="15.75" customHeight="1" x14ac:dyDescent="0.4">
      <c r="A195" s="38" t="str">
        <f ca="1">IFERROR(__xludf.DUMMYFUNCTION("""COMPUTED_VALUE"""),"journey")</f>
        <v>journey</v>
      </c>
      <c r="B195" s="38" t="str">
        <f ca="1">IFERROR(__xludf.DUMMYFUNCTION("""COMPUTED_VALUE"""),"Journey")</f>
        <v>Journey</v>
      </c>
      <c r="C195" s="39">
        <f ca="1">IFERROR(__xludf.DUMMYFUNCTION("""COMPUTED_VALUE"""),3500)</f>
        <v>3500</v>
      </c>
      <c r="D195" s="39" t="str">
        <f ca="1">IFERROR(__xludf.DUMMYFUNCTION("""COMPUTED_VALUE"""),"Furgonetas")</f>
        <v>Furgonetas</v>
      </c>
      <c r="E195" s="40" t="str">
        <f ca="1">IFERROR(__xludf.DUMMYFUNCTION("""COMPUTED_VALUE"""),"https://docs.fivem.net/vehicles/journey.webp")</f>
        <v>https://docs.fivem.net/vehicles/journey.webp</v>
      </c>
    </row>
    <row r="196" spans="1:5" ht="15.75" customHeight="1" x14ac:dyDescent="0.4">
      <c r="A196" s="38" t="str">
        <f ca="1">IFERROR(__xludf.DUMMYFUNCTION("""COMPUTED_VALUE"""),"journey2")</f>
        <v>journey2</v>
      </c>
      <c r="B196" s="38" t="str">
        <f ca="1">IFERROR(__xludf.DUMMYFUNCTION("""COMPUTED_VALUE"""),"Journey II")</f>
        <v>Journey II</v>
      </c>
      <c r="C196" s="39">
        <f ca="1">IFERROR(__xludf.DUMMYFUNCTION("""COMPUTED_VALUE"""),10000)</f>
        <v>10000</v>
      </c>
      <c r="D196" s="39" t="str">
        <f ca="1">IFERROR(__xludf.DUMMYFUNCTION("""COMPUTED_VALUE"""),"Furgonetas")</f>
        <v>Furgonetas</v>
      </c>
      <c r="E196" s="40" t="str">
        <f ca="1">IFERROR(__xludf.DUMMYFUNCTION("""COMPUTED_VALUE"""),"https://docs.fivem.net/vehicles/journey2.webp")</f>
        <v>https://docs.fivem.net/vehicles/journey2.webp</v>
      </c>
    </row>
    <row r="197" spans="1:5" ht="15.75" customHeight="1" x14ac:dyDescent="0.4">
      <c r="A197" s="38" t="str">
        <f ca="1">IFERROR(__xludf.DUMMYFUNCTION("""COMPUTED_VALUE"""),"moonbeam")</f>
        <v>moonbeam</v>
      </c>
      <c r="B197" s="38" t="str">
        <f ca="1">IFERROR(__xludf.DUMMYFUNCTION("""COMPUTED_VALUE"""),"Moonbeam")</f>
        <v>Moonbeam</v>
      </c>
      <c r="C197" s="39">
        <f ca="1">IFERROR(__xludf.DUMMYFUNCTION("""COMPUTED_VALUE"""),18000)</f>
        <v>18000</v>
      </c>
      <c r="D197" s="39" t="str">
        <f ca="1">IFERROR(__xludf.DUMMYFUNCTION("""COMPUTED_VALUE"""),"Furgonetas")</f>
        <v>Furgonetas</v>
      </c>
      <c r="E197" s="40" t="str">
        <f ca="1">IFERROR(__xludf.DUMMYFUNCTION("""COMPUTED_VALUE"""),"https://docs.fivem.net/vehicles/moonbeam.webp")</f>
        <v>https://docs.fivem.net/vehicles/moonbeam.webp</v>
      </c>
    </row>
    <row r="198" spans="1:5" ht="15.75" customHeight="1" x14ac:dyDescent="0.4">
      <c r="A198" s="38" t="str">
        <f ca="1">IFERROR(__xludf.DUMMYFUNCTION("""COMPUTED_VALUE"""),"rumpo3")</f>
        <v>rumpo3</v>
      </c>
      <c r="B198" s="38" t="str">
        <f ca="1">IFERROR(__xludf.DUMMYFUNCTION("""COMPUTED_VALUE"""),"Rumpo Custom")</f>
        <v>Rumpo Custom</v>
      </c>
      <c r="C198" s="39">
        <f ca="1">IFERROR(__xludf.DUMMYFUNCTION("""COMPUTED_VALUE"""),36000)</f>
        <v>36000</v>
      </c>
      <c r="D198" s="39" t="str">
        <f ca="1">IFERROR(__xludf.DUMMYFUNCTION("""COMPUTED_VALUE"""),"Furgonetas")</f>
        <v>Furgonetas</v>
      </c>
      <c r="E198" s="40" t="str">
        <f ca="1">IFERROR(__xludf.DUMMYFUNCTION("""COMPUTED_VALUE"""),"https://docs.fivem.net/vehicles/rumpo3.webp")</f>
        <v>https://docs.fivem.net/vehicles/rumpo3.webp</v>
      </c>
    </row>
    <row r="199" spans="1:5" ht="15.75" customHeight="1" x14ac:dyDescent="0.4">
      <c r="A199" s="38" t="str">
        <f ca="1">IFERROR(__xludf.DUMMYFUNCTION("""COMPUTED_VALUE"""),"sadler")</f>
        <v>sadler</v>
      </c>
      <c r="B199" s="38" t="str">
        <f ca="1">IFERROR(__xludf.DUMMYFUNCTION("""COMPUTED_VALUE"""),"Sadler")</f>
        <v>Sadler</v>
      </c>
      <c r="C199" s="39">
        <f ca="1">IFERROR(__xludf.DUMMYFUNCTION("""COMPUTED_VALUE"""),16000)</f>
        <v>16000</v>
      </c>
      <c r="D199" s="39" t="str">
        <f ca="1">IFERROR(__xludf.DUMMYFUNCTION("""COMPUTED_VALUE"""),"Furgonetas")</f>
        <v>Furgonetas</v>
      </c>
      <c r="E199" s="40" t="str">
        <f ca="1">IFERROR(__xludf.DUMMYFUNCTION("""COMPUTED_VALUE"""),"https://docs.fivem.net/vehicles/sadler.webp")</f>
        <v>https://docs.fivem.net/vehicles/sadler.webp</v>
      </c>
    </row>
    <row r="200" spans="1:5" ht="15.75" customHeight="1" x14ac:dyDescent="0.4">
      <c r="A200" s="38" t="str">
        <f ca="1">IFERROR(__xludf.DUMMYFUNCTION("""COMPUTED_VALUE"""),"surfer")</f>
        <v>surfer</v>
      </c>
      <c r="B200" s="38" t="str">
        <f ca="1">IFERROR(__xludf.DUMMYFUNCTION("""COMPUTED_VALUE"""),"Surfer")</f>
        <v>Surfer</v>
      </c>
      <c r="C200" s="39">
        <f ca="1">IFERROR(__xludf.DUMMYFUNCTION("""COMPUTED_VALUE"""),12000)</f>
        <v>12000</v>
      </c>
      <c r="D200" s="39" t="str">
        <f ca="1">IFERROR(__xludf.DUMMYFUNCTION("""COMPUTED_VALUE"""),"Furgonetas")</f>
        <v>Furgonetas</v>
      </c>
      <c r="E200" s="40" t="str">
        <f ca="1">IFERROR(__xludf.DUMMYFUNCTION("""COMPUTED_VALUE"""),"https://docs.fivem.net/vehicles/surfer.webp")</f>
        <v>https://docs.fivem.net/vehicles/surfer.webp</v>
      </c>
    </row>
    <row r="201" spans="1:5" ht="15.75" customHeight="1" x14ac:dyDescent="0.4">
      <c r="A201" s="38" t="str">
        <f ca="1">IFERROR(__xludf.DUMMYFUNCTION("""COMPUTED_VALUE"""),"youga2")</f>
        <v>youga2</v>
      </c>
      <c r="B201" s="38" t="str">
        <f ca="1">IFERROR(__xludf.DUMMYFUNCTION("""COMPUTED_VALUE"""),"Youga Classic")</f>
        <v>Youga Classic</v>
      </c>
      <c r="C201" s="39">
        <f ca="1">IFERROR(__xludf.DUMMYFUNCTION("""COMPUTED_VALUE"""),15000)</f>
        <v>15000</v>
      </c>
      <c r="D201" s="39" t="str">
        <f ca="1">IFERROR(__xludf.DUMMYFUNCTION("""COMPUTED_VALUE"""),"Furgonetas")</f>
        <v>Furgonetas</v>
      </c>
      <c r="E201" s="40" t="str">
        <f ca="1">IFERROR(__xludf.DUMMYFUNCTION("""COMPUTED_VALUE"""),"https://docs.fivem.net/vehicles/youga2.webp")</f>
        <v>https://docs.fivem.net/vehicles/youga2.webp</v>
      </c>
    </row>
    <row r="202" spans="1:5" ht="15.75" customHeight="1" x14ac:dyDescent="0.4">
      <c r="A202" s="38" t="str">
        <f ca="1">IFERROR(__xludf.DUMMYFUNCTION("""COMPUTED_VALUE"""),"youga3")</f>
        <v>youga3</v>
      </c>
      <c r="B202" s="38" t="str">
        <f ca="1">IFERROR(__xludf.DUMMYFUNCTION("""COMPUTED_VALUE"""),"Youga Classic 4x4")</f>
        <v>Youga Classic 4x4</v>
      </c>
      <c r="C202" s="39">
        <f ca="1">IFERROR(__xludf.DUMMYFUNCTION("""COMPUTED_VALUE"""),20000)</f>
        <v>20000</v>
      </c>
      <c r="D202" s="39" t="str">
        <f ca="1">IFERROR(__xludf.DUMMYFUNCTION("""COMPUTED_VALUE"""),"Furgonetas")</f>
        <v>Furgonetas</v>
      </c>
      <c r="E202" s="40" t="str">
        <f ca="1">IFERROR(__xludf.DUMMYFUNCTION("""COMPUTED_VALUE"""),"https://docs.fivem.net/vehicles/youga3.webp")</f>
        <v>https://docs.fivem.net/vehicles/youga3.webp</v>
      </c>
    </row>
    <row r="203" spans="1:5" ht="15.75" customHeight="1" x14ac:dyDescent="0.4">
      <c r="A203" s="38" t="str">
        <f ca="1">IFERROR(__xludf.DUMMYFUNCTION("""COMPUTED_VALUE"""),"youga4")</f>
        <v>youga4</v>
      </c>
      <c r="B203" s="38" t="str">
        <f ca="1">IFERROR(__xludf.DUMMYFUNCTION("""COMPUTED_VALUE"""),"Youga Custom")</f>
        <v>Youga Custom</v>
      </c>
      <c r="C203" s="39">
        <f ca="1">IFERROR(__xludf.DUMMYFUNCTION("""COMPUTED_VALUE"""),23500)</f>
        <v>23500</v>
      </c>
      <c r="D203" s="39" t="str">
        <f ca="1">IFERROR(__xludf.DUMMYFUNCTION("""COMPUTED_VALUE"""),"Furgonetas")</f>
        <v>Furgonetas</v>
      </c>
      <c r="E203" s="40" t="str">
        <f ca="1">IFERROR(__xludf.DUMMYFUNCTION("""COMPUTED_VALUE"""),"https://docs.fivem.net/vehicles/youga4.webp")</f>
        <v>https://docs.fivem.net/vehicles/youga4.webp</v>
      </c>
    </row>
    <row r="204" spans="1:5" ht="15.75" customHeight="1" x14ac:dyDescent="0.4">
      <c r="A204" s="38" t="str">
        <f ca="1">IFERROR(__xludf.DUMMYFUNCTION("""COMPUTED_VALUE"""),"akuma")</f>
        <v>akuma</v>
      </c>
      <c r="B204" s="38" t="str">
        <f ca="1">IFERROR(__xludf.DUMMYFUNCTION("""COMPUTED_VALUE"""),"Akuma")</f>
        <v>Akuma</v>
      </c>
      <c r="C204" s="39">
        <f ca="1">IFERROR(__xludf.DUMMYFUNCTION("""COMPUTED_VALUE"""),52000)</f>
        <v>52000</v>
      </c>
      <c r="D204" s="39" t="str">
        <f ca="1">IFERROR(__xludf.DUMMYFUNCTION("""COMPUTED_VALUE"""),"Motos")</f>
        <v>Motos</v>
      </c>
      <c r="E204" s="40" t="str">
        <f ca="1">IFERROR(__xludf.DUMMYFUNCTION("""COMPUTED_VALUE"""),"https://docs.fivem.net/vehicles/akuma.webp")</f>
        <v>https://docs.fivem.net/vehicles/akuma.webp</v>
      </c>
    </row>
    <row r="205" spans="1:5" ht="15.75" customHeight="1" x14ac:dyDescent="0.4">
      <c r="A205" s="38" t="str">
        <f ca="1">IFERROR(__xludf.DUMMYFUNCTION("""COMPUTED_VALUE"""),"avarus")</f>
        <v>avarus</v>
      </c>
      <c r="B205" s="38" t="str">
        <f ca="1">IFERROR(__xludf.DUMMYFUNCTION("""COMPUTED_VALUE"""),"Avarus")</f>
        <v>Avarus</v>
      </c>
      <c r="C205" s="39">
        <f ca="1">IFERROR(__xludf.DUMMYFUNCTION("""COMPUTED_VALUE"""),29000)</f>
        <v>29000</v>
      </c>
      <c r="D205" s="39" t="str">
        <f ca="1">IFERROR(__xludf.DUMMYFUNCTION("""COMPUTED_VALUE"""),"Motos")</f>
        <v>Motos</v>
      </c>
      <c r="E205" s="40" t="str">
        <f ca="1">IFERROR(__xludf.DUMMYFUNCTION("""COMPUTED_VALUE"""),"https://docs.fivem.net/vehicles/avarus.webp")</f>
        <v>https://docs.fivem.net/vehicles/avarus.webp</v>
      </c>
    </row>
    <row r="206" spans="1:5" ht="15.75" customHeight="1" x14ac:dyDescent="0.4">
      <c r="A206" s="38" t="str">
        <f ca="1">IFERROR(__xludf.DUMMYFUNCTION("""COMPUTED_VALUE"""),"bagger")</f>
        <v>bagger</v>
      </c>
      <c r="B206" s="38" t="str">
        <f ca="1">IFERROR(__xludf.DUMMYFUNCTION("""COMPUTED_VALUE"""),"Bagger")</f>
        <v>Bagger</v>
      </c>
      <c r="C206" s="39">
        <f ca="1">IFERROR(__xludf.DUMMYFUNCTION("""COMPUTED_VALUE"""),17500)</f>
        <v>17500</v>
      </c>
      <c r="D206" s="39" t="str">
        <f ca="1">IFERROR(__xludf.DUMMYFUNCTION("""COMPUTED_VALUE"""),"Motos")</f>
        <v>Motos</v>
      </c>
      <c r="E206" s="40" t="str">
        <f ca="1">IFERROR(__xludf.DUMMYFUNCTION("""COMPUTED_VALUE"""),"https://docs.fivem.net/vehicles/bagger.webp")</f>
        <v>https://docs.fivem.net/vehicles/bagger.webp</v>
      </c>
    </row>
    <row r="207" spans="1:5" ht="15.75" customHeight="1" x14ac:dyDescent="0.4">
      <c r="A207" s="38" t="str">
        <f ca="1">IFERROR(__xludf.DUMMYFUNCTION("""COMPUTED_VALUE"""),"bati")</f>
        <v>bati</v>
      </c>
      <c r="B207" s="38" t="str">
        <f ca="1">IFERROR(__xludf.DUMMYFUNCTION("""COMPUTED_VALUE"""),"Bati 801")</f>
        <v>Bati 801</v>
      </c>
      <c r="C207" s="39">
        <f ca="1">IFERROR(__xludf.DUMMYFUNCTION("""COMPUTED_VALUE"""),70000)</f>
        <v>70000</v>
      </c>
      <c r="D207" s="39" t="str">
        <f ca="1">IFERROR(__xludf.DUMMYFUNCTION("""COMPUTED_VALUE"""),"Motos")</f>
        <v>Motos</v>
      </c>
      <c r="E207" s="40" t="str">
        <f ca="1">IFERROR(__xludf.DUMMYFUNCTION("""COMPUTED_VALUE"""),"https://docs.fivem.net/vehicles/bati.webp")</f>
        <v>https://docs.fivem.net/vehicles/bati.webp</v>
      </c>
    </row>
    <row r="208" spans="1:5" ht="15.75" customHeight="1" x14ac:dyDescent="0.4">
      <c r="A208" s="38" t="str">
        <f ca="1">IFERROR(__xludf.DUMMYFUNCTION("""COMPUTED_VALUE"""),"bati2")</f>
        <v>bati2</v>
      </c>
      <c r="B208" s="38" t="str">
        <f ca="1">IFERROR(__xludf.DUMMYFUNCTION("""COMPUTED_VALUE"""),"Bati 801RR")</f>
        <v>Bati 801RR</v>
      </c>
      <c r="C208" s="39">
        <f ca="1">IFERROR(__xludf.DUMMYFUNCTION("""COMPUTED_VALUE"""),76000)</f>
        <v>76000</v>
      </c>
      <c r="D208" s="39" t="str">
        <f ca="1">IFERROR(__xludf.DUMMYFUNCTION("""COMPUTED_VALUE"""),"Motos")</f>
        <v>Motos</v>
      </c>
      <c r="E208" s="40" t="str">
        <f ca="1">IFERROR(__xludf.DUMMYFUNCTION("""COMPUTED_VALUE"""),"https://docs.fivem.net/vehicles/bati2.webp")</f>
        <v>https://docs.fivem.net/vehicles/bati2.webp</v>
      </c>
    </row>
    <row r="209" spans="1:5" ht="15.75" customHeight="1" x14ac:dyDescent="0.4">
      <c r="A209" s="38" t="str">
        <f ca="1">IFERROR(__xludf.DUMMYFUNCTION("""COMPUTED_VALUE"""),"bf400")</f>
        <v>bf400</v>
      </c>
      <c r="B209" s="38" t="str">
        <f ca="1">IFERROR(__xludf.DUMMYFUNCTION("""COMPUTED_VALUE"""),"BF400")</f>
        <v>BF400</v>
      </c>
      <c r="C209" s="39">
        <f ca="1">IFERROR(__xludf.DUMMYFUNCTION("""COMPUTED_VALUE"""),49000)</f>
        <v>49000</v>
      </c>
      <c r="D209" s="39" t="str">
        <f ca="1">IFERROR(__xludf.DUMMYFUNCTION("""COMPUTED_VALUE"""),"Motos")</f>
        <v>Motos</v>
      </c>
      <c r="E209" s="40" t="str">
        <f ca="1">IFERROR(__xludf.DUMMYFUNCTION("""COMPUTED_VALUE"""),"https://docs.fivem.net/vehicles/bf400.webp")</f>
        <v>https://docs.fivem.net/vehicles/bf400.webp</v>
      </c>
    </row>
    <row r="210" spans="1:5" ht="15.75" customHeight="1" x14ac:dyDescent="0.4">
      <c r="A210" s="38" t="str">
        <f ca="1">IFERROR(__xludf.DUMMYFUNCTION("""COMPUTED_VALUE"""),"carbonrs")</f>
        <v>carbonrs</v>
      </c>
      <c r="B210" s="38" t="str">
        <f ca="1">IFERROR(__xludf.DUMMYFUNCTION("""COMPUTED_VALUE"""),"Carbon RS")</f>
        <v>Carbon RS</v>
      </c>
      <c r="C210" s="39">
        <f ca="1">IFERROR(__xludf.DUMMYFUNCTION("""COMPUTED_VALUE"""),54000)</f>
        <v>54000</v>
      </c>
      <c r="D210" s="39" t="str">
        <f ca="1">IFERROR(__xludf.DUMMYFUNCTION("""COMPUTED_VALUE"""),"Motos")</f>
        <v>Motos</v>
      </c>
      <c r="E210" s="40" t="str">
        <f ca="1">IFERROR(__xludf.DUMMYFUNCTION("""COMPUTED_VALUE"""),"https://docs.fivem.net/vehicles/carbonrs.webp")</f>
        <v>https://docs.fivem.net/vehicles/carbonrs.webp</v>
      </c>
    </row>
    <row r="211" spans="1:5" ht="15.75" customHeight="1" x14ac:dyDescent="0.4">
      <c r="A211" s="38" t="str">
        <f ca="1">IFERROR(__xludf.DUMMYFUNCTION("""COMPUTED_VALUE"""),"chimera")</f>
        <v>chimera</v>
      </c>
      <c r="B211" s="38" t="str">
        <f ca="1">IFERROR(__xludf.DUMMYFUNCTION("""COMPUTED_VALUE"""),"Chimera")</f>
        <v>Chimera</v>
      </c>
      <c r="C211" s="39">
        <f ca="1">IFERROR(__xludf.DUMMYFUNCTION("""COMPUTED_VALUE"""),40000)</f>
        <v>40000</v>
      </c>
      <c r="D211" s="39" t="str">
        <f ca="1">IFERROR(__xludf.DUMMYFUNCTION("""COMPUTED_VALUE"""),"Motos")</f>
        <v>Motos</v>
      </c>
      <c r="E211" s="40" t="str">
        <f ca="1">IFERROR(__xludf.DUMMYFUNCTION("""COMPUTED_VALUE"""),"https://docs.fivem.net/vehicles/chimera.webp")</f>
        <v>https://docs.fivem.net/vehicles/chimera.webp</v>
      </c>
    </row>
    <row r="212" spans="1:5" ht="15.75" customHeight="1" x14ac:dyDescent="0.4">
      <c r="A212" s="38" t="str">
        <f ca="1">IFERROR(__xludf.DUMMYFUNCTION("""COMPUTED_VALUE"""),"cliffhanger")</f>
        <v>cliffhanger</v>
      </c>
      <c r="B212" s="38" t="str">
        <f ca="1">IFERROR(__xludf.DUMMYFUNCTION("""COMPUTED_VALUE"""),"Cliffhanger")</f>
        <v>Cliffhanger</v>
      </c>
      <c r="C212" s="39">
        <f ca="1">IFERROR(__xludf.DUMMYFUNCTION("""COMPUTED_VALUE"""),45000)</f>
        <v>45000</v>
      </c>
      <c r="D212" s="39" t="str">
        <f ca="1">IFERROR(__xludf.DUMMYFUNCTION("""COMPUTED_VALUE"""),"Motos")</f>
        <v>Motos</v>
      </c>
      <c r="E212" s="40" t="str">
        <f ca="1">IFERROR(__xludf.DUMMYFUNCTION("""COMPUTED_VALUE"""),"https://docs.fivem.net/vehicles/cliffhanger.webp")</f>
        <v>https://docs.fivem.net/vehicles/cliffhanger.webp</v>
      </c>
    </row>
    <row r="213" spans="1:5" ht="15.75" customHeight="1" x14ac:dyDescent="0.4">
      <c r="A213" s="38" t="str">
        <f ca="1">IFERROR(__xludf.DUMMYFUNCTION("""COMPUTED_VALUE"""),"daemon")</f>
        <v>daemon</v>
      </c>
      <c r="B213" s="38" t="str">
        <f ca="1">IFERROR(__xludf.DUMMYFUNCTION("""COMPUTED_VALUE"""),"Daemon")</f>
        <v>Daemon</v>
      </c>
      <c r="C213" s="39">
        <f ca="1">IFERROR(__xludf.DUMMYFUNCTION("""COMPUTED_VALUE"""),25000)</f>
        <v>25000</v>
      </c>
      <c r="D213" s="39" t="str">
        <f ca="1">IFERROR(__xludf.DUMMYFUNCTION("""COMPUTED_VALUE"""),"Motos")</f>
        <v>Motos</v>
      </c>
      <c r="E213" s="40" t="str">
        <f ca="1">IFERROR(__xludf.DUMMYFUNCTION("""COMPUTED_VALUE"""),"https://docs.fivem.net/vehicles/daemon.webp")</f>
        <v>https://docs.fivem.net/vehicles/daemon.webp</v>
      </c>
    </row>
    <row r="214" spans="1:5" ht="15.75" customHeight="1" x14ac:dyDescent="0.4">
      <c r="A214" s="38" t="str">
        <f ca="1">IFERROR(__xludf.DUMMYFUNCTION("""COMPUTED_VALUE"""),"daemon2")</f>
        <v>daemon2</v>
      </c>
      <c r="B214" s="38" t="str">
        <f ca="1">IFERROR(__xludf.DUMMYFUNCTION("""COMPUTED_VALUE"""),"Daemon Custom")</f>
        <v>Daemon Custom</v>
      </c>
      <c r="C214" s="39">
        <f ca="1">IFERROR(__xludf.DUMMYFUNCTION("""COMPUTED_VALUE"""),28000)</f>
        <v>28000</v>
      </c>
      <c r="D214" s="39" t="str">
        <f ca="1">IFERROR(__xludf.DUMMYFUNCTION("""COMPUTED_VALUE"""),"Motos")</f>
        <v>Motos</v>
      </c>
      <c r="E214" s="40" t="str">
        <f ca="1">IFERROR(__xludf.DUMMYFUNCTION("""COMPUTED_VALUE"""),"https://docs.fivem.net/vehicles/daemon2.webp")</f>
        <v>https://docs.fivem.net/vehicles/daemon2.webp</v>
      </c>
    </row>
    <row r="215" spans="1:5" ht="15.75" customHeight="1" x14ac:dyDescent="0.4">
      <c r="A215" s="38" t="str">
        <f ca="1">IFERROR(__xludf.DUMMYFUNCTION("""COMPUTED_VALUE"""),"deathbike")</f>
        <v>deathbike</v>
      </c>
      <c r="B215" s="38" t="str">
        <f ca="1">IFERROR(__xludf.DUMMYFUNCTION("""COMPUTED_VALUE"""),"Deathbike Apocalypse")</f>
        <v>Deathbike Apocalypse</v>
      </c>
      <c r="C215" s="39">
        <f ca="1">IFERROR(__xludf.DUMMYFUNCTION("""COMPUTED_VALUE"""),80000)</f>
        <v>80000</v>
      </c>
      <c r="D215" s="39" t="str">
        <f ca="1">IFERROR(__xludf.DUMMYFUNCTION("""COMPUTED_VALUE"""),"Motos")</f>
        <v>Motos</v>
      </c>
      <c r="E215" s="40" t="str">
        <f ca="1">IFERROR(__xludf.DUMMYFUNCTION("""COMPUTED_VALUE"""),"https://docs.fivem.net/vehicles/deathbike.webp")</f>
        <v>https://docs.fivem.net/vehicles/deathbike.webp</v>
      </c>
    </row>
    <row r="216" spans="1:5" ht="15.75" customHeight="1" x14ac:dyDescent="0.4">
      <c r="A216" s="38" t="str">
        <f ca="1">IFERROR(__xludf.DUMMYFUNCTION("""COMPUTED_VALUE"""),"deathbike2")</f>
        <v>deathbike2</v>
      </c>
      <c r="B216" s="38" t="str">
        <f ca="1">IFERROR(__xludf.DUMMYFUNCTION("""COMPUTED_VALUE"""),"Deathbike Future Shock")</f>
        <v>Deathbike Future Shock</v>
      </c>
      <c r="C216" s="39">
        <f ca="1">IFERROR(__xludf.DUMMYFUNCTION("""COMPUTED_VALUE"""),110000)</f>
        <v>110000</v>
      </c>
      <c r="D216" s="39" t="str">
        <f ca="1">IFERROR(__xludf.DUMMYFUNCTION("""COMPUTED_VALUE"""),"Motos")</f>
        <v>Motos</v>
      </c>
      <c r="E216" s="40" t="str">
        <f ca="1">IFERROR(__xludf.DUMMYFUNCTION("""COMPUTED_VALUE"""),"https://docs.fivem.net/vehicles/deathbike2.webp")</f>
        <v>https://docs.fivem.net/vehicles/deathbike2.webp</v>
      </c>
    </row>
    <row r="217" spans="1:5" ht="15.75" customHeight="1" x14ac:dyDescent="0.4">
      <c r="A217" s="38" t="str">
        <f ca="1">IFERROR(__xludf.DUMMYFUNCTION("""COMPUTED_VALUE"""),"deathbike3")</f>
        <v>deathbike3</v>
      </c>
      <c r="B217" s="38" t="str">
        <f ca="1">IFERROR(__xludf.DUMMYFUNCTION("""COMPUTED_VALUE"""),"Deathbike Nightmare")</f>
        <v>Deathbike Nightmare</v>
      </c>
      <c r="C217" s="39">
        <f ca="1">IFERROR(__xludf.DUMMYFUNCTION("""COMPUTED_VALUE"""),83000)</f>
        <v>83000</v>
      </c>
      <c r="D217" s="39" t="str">
        <f ca="1">IFERROR(__xludf.DUMMYFUNCTION("""COMPUTED_VALUE"""),"Motos")</f>
        <v>Motos</v>
      </c>
      <c r="E217" s="40" t="str">
        <f ca="1">IFERROR(__xludf.DUMMYFUNCTION("""COMPUTED_VALUE"""),"https://docs.fivem.net/vehicles/deathbike3.webp")</f>
        <v>https://docs.fivem.net/vehicles/deathbike3.webp</v>
      </c>
    </row>
    <row r="218" spans="1:5" ht="15.75" customHeight="1" x14ac:dyDescent="0.4">
      <c r="A218" s="38" t="str">
        <f ca="1">IFERROR(__xludf.DUMMYFUNCTION("""COMPUTED_VALUE"""),"defiler")</f>
        <v>defiler</v>
      </c>
      <c r="B218" s="38" t="str">
        <f ca="1">IFERROR(__xludf.DUMMYFUNCTION("""COMPUTED_VALUE"""),"Defiler")</f>
        <v>Defiler</v>
      </c>
      <c r="C218" s="39">
        <f ca="1">IFERROR(__xludf.DUMMYFUNCTION("""COMPUTED_VALUE"""),45000)</f>
        <v>45000</v>
      </c>
      <c r="D218" s="39" t="str">
        <f ca="1">IFERROR(__xludf.DUMMYFUNCTION("""COMPUTED_VALUE"""),"Motos")</f>
        <v>Motos</v>
      </c>
      <c r="E218" s="40" t="str">
        <f ca="1">IFERROR(__xludf.DUMMYFUNCTION("""COMPUTED_VALUE"""),"https://docs.fivem.net/vehicles/defiler.webp")</f>
        <v>https://docs.fivem.net/vehicles/defiler.webp</v>
      </c>
    </row>
    <row r="219" spans="1:5" ht="15.75" customHeight="1" x14ac:dyDescent="0.4">
      <c r="A219" s="38" t="str">
        <f ca="1">IFERROR(__xludf.DUMMYFUNCTION("""COMPUTED_VALUE"""),"diablous")</f>
        <v>diablous</v>
      </c>
      <c r="B219" s="38" t="str">
        <f ca="1">IFERROR(__xludf.DUMMYFUNCTION("""COMPUTED_VALUE"""),"Diablous")</f>
        <v>Diablous</v>
      </c>
      <c r="C219" s="39">
        <f ca="1">IFERROR(__xludf.DUMMYFUNCTION("""COMPUTED_VALUE"""),45000)</f>
        <v>45000</v>
      </c>
      <c r="D219" s="39" t="str">
        <f ca="1">IFERROR(__xludf.DUMMYFUNCTION("""COMPUTED_VALUE"""),"Motos")</f>
        <v>Motos</v>
      </c>
      <c r="E219" s="40" t="str">
        <f ca="1">IFERROR(__xludf.DUMMYFUNCTION("""COMPUTED_VALUE"""),"https://docs.fivem.net/vehicles/diablous.webp")</f>
        <v>https://docs.fivem.net/vehicles/diablous.webp</v>
      </c>
    </row>
    <row r="220" spans="1:5" ht="15.75" customHeight="1" x14ac:dyDescent="0.4">
      <c r="A220" s="38" t="str">
        <f ca="1">IFERROR(__xludf.DUMMYFUNCTION("""COMPUTED_VALUE"""),"diablous2")</f>
        <v>diablous2</v>
      </c>
      <c r="B220" s="38" t="str">
        <f ca="1">IFERROR(__xludf.DUMMYFUNCTION("""COMPUTED_VALUE"""),"Diablous Custom")</f>
        <v>Diablous Custom</v>
      </c>
      <c r="C220" s="39">
        <f ca="1">IFERROR(__xludf.DUMMYFUNCTION("""COMPUTED_VALUE"""),52000)</f>
        <v>52000</v>
      </c>
      <c r="D220" s="39" t="str">
        <f ca="1">IFERROR(__xludf.DUMMYFUNCTION("""COMPUTED_VALUE"""),"Motos")</f>
        <v>Motos</v>
      </c>
      <c r="E220" s="40" t="str">
        <f ca="1">IFERROR(__xludf.DUMMYFUNCTION("""COMPUTED_VALUE"""),"https://docs.fivem.net/vehicles/diablous2.webp")</f>
        <v>https://docs.fivem.net/vehicles/diablous2.webp</v>
      </c>
    </row>
    <row r="221" spans="1:5" ht="15.75" customHeight="1" x14ac:dyDescent="0.4">
      <c r="A221" s="38" t="str">
        <f ca="1">IFERROR(__xludf.DUMMYFUNCTION("""COMPUTED_VALUE"""),"double")</f>
        <v>double</v>
      </c>
      <c r="B221" s="38" t="str">
        <f ca="1">IFERROR(__xludf.DUMMYFUNCTION("""COMPUTED_VALUE"""),"Double-T")</f>
        <v>Double-T</v>
      </c>
      <c r="C221" s="39">
        <f ca="1">IFERROR(__xludf.DUMMYFUNCTION("""COMPUTED_VALUE"""),52000)</f>
        <v>52000</v>
      </c>
      <c r="D221" s="39" t="str">
        <f ca="1">IFERROR(__xludf.DUMMYFUNCTION("""COMPUTED_VALUE"""),"Motos")</f>
        <v>Motos</v>
      </c>
      <c r="E221" s="40" t="str">
        <f ca="1">IFERROR(__xludf.DUMMYFUNCTION("""COMPUTED_VALUE"""),"https://docs.fivem.net/vehicles/double.webp")</f>
        <v>https://docs.fivem.net/vehicles/double.webp</v>
      </c>
    </row>
    <row r="222" spans="1:5" ht="15.75" customHeight="1" x14ac:dyDescent="0.4">
      <c r="A222" s="38" t="str">
        <f ca="1">IFERROR(__xludf.DUMMYFUNCTION("""COMPUTED_VALUE"""),"enduro")</f>
        <v>enduro</v>
      </c>
      <c r="B222" s="38" t="str">
        <f ca="1">IFERROR(__xludf.DUMMYFUNCTION("""COMPUTED_VALUE"""),"Enduro")</f>
        <v>Enduro</v>
      </c>
      <c r="C222" s="39">
        <f ca="1">IFERROR(__xludf.DUMMYFUNCTION("""COMPUTED_VALUE"""),20500)</f>
        <v>20500</v>
      </c>
      <c r="D222" s="39" t="str">
        <f ca="1">IFERROR(__xludf.DUMMYFUNCTION("""COMPUTED_VALUE"""),"Motos")</f>
        <v>Motos</v>
      </c>
      <c r="E222" s="40" t="str">
        <f ca="1">IFERROR(__xludf.DUMMYFUNCTION("""COMPUTED_VALUE"""),"https://docs.fivem.net/vehicles/enduro.webp")</f>
        <v>https://docs.fivem.net/vehicles/enduro.webp</v>
      </c>
    </row>
    <row r="223" spans="1:5" ht="15.75" customHeight="1" x14ac:dyDescent="0.4">
      <c r="A223" s="38" t="str">
        <f ca="1">IFERROR(__xludf.DUMMYFUNCTION("""COMPUTED_VALUE"""),"esskey")</f>
        <v>esskey</v>
      </c>
      <c r="B223" s="38" t="str">
        <f ca="1">IFERROR(__xludf.DUMMYFUNCTION("""COMPUTED_VALUE"""),"Esskey")</f>
        <v>Esskey</v>
      </c>
      <c r="C223" s="39">
        <f ca="1">IFERROR(__xludf.DUMMYFUNCTION("""COMPUTED_VALUE"""),26000)</f>
        <v>26000</v>
      </c>
      <c r="D223" s="39" t="str">
        <f ca="1">IFERROR(__xludf.DUMMYFUNCTION("""COMPUTED_VALUE"""),"Motos")</f>
        <v>Motos</v>
      </c>
      <c r="E223" s="40" t="str">
        <f ca="1">IFERROR(__xludf.DUMMYFUNCTION("""COMPUTED_VALUE"""),"https://docs.fivem.net/vehicles/esskey.webp")</f>
        <v>https://docs.fivem.net/vehicles/esskey.webp</v>
      </c>
    </row>
    <row r="224" spans="1:5" ht="15.75" customHeight="1" x14ac:dyDescent="0.4">
      <c r="A224" s="38" t="str">
        <f ca="1">IFERROR(__xludf.DUMMYFUNCTION("""COMPUTED_VALUE"""),"faggio")</f>
        <v>faggio</v>
      </c>
      <c r="B224" s="38" t="str">
        <f ca="1">IFERROR(__xludf.DUMMYFUNCTION("""COMPUTED_VALUE"""),"Faggio Sport")</f>
        <v>Faggio Sport</v>
      </c>
      <c r="C224" s="39">
        <f ca="1">IFERROR(__xludf.DUMMYFUNCTION("""COMPUTED_VALUE"""),3800)</f>
        <v>3800</v>
      </c>
      <c r="D224" s="39" t="str">
        <f ca="1">IFERROR(__xludf.DUMMYFUNCTION("""COMPUTED_VALUE"""),"Motos")</f>
        <v>Motos</v>
      </c>
      <c r="E224" s="40" t="str">
        <f ca="1">IFERROR(__xludf.DUMMYFUNCTION("""COMPUTED_VALUE"""),"https://docs.fivem.net/vehicles/faggio.webp")</f>
        <v>https://docs.fivem.net/vehicles/faggio.webp</v>
      </c>
    </row>
    <row r="225" spans="1:5" ht="15.75" customHeight="1" x14ac:dyDescent="0.4">
      <c r="A225" s="38" t="str">
        <f ca="1">IFERROR(__xludf.DUMMYFUNCTION("""COMPUTED_VALUE"""),"faggio2")</f>
        <v>faggio2</v>
      </c>
      <c r="B225" s="38" t="str">
        <f ca="1">IFERROR(__xludf.DUMMYFUNCTION("""COMPUTED_VALUE"""),"Faggio")</f>
        <v>Faggio</v>
      </c>
      <c r="C225" s="39">
        <f ca="1">IFERROR(__xludf.DUMMYFUNCTION("""COMPUTED_VALUE"""),2000)</f>
        <v>2000</v>
      </c>
      <c r="D225" s="39" t="str">
        <f ca="1">IFERROR(__xludf.DUMMYFUNCTION("""COMPUTED_VALUE"""),"Motos")</f>
        <v>Motos</v>
      </c>
      <c r="E225" s="40" t="str">
        <f ca="1">IFERROR(__xludf.DUMMYFUNCTION("""COMPUTED_VALUE"""),"https://docs.fivem.net/vehicles/faggio2.webp")</f>
        <v>https://docs.fivem.net/vehicles/faggio2.webp</v>
      </c>
    </row>
    <row r="226" spans="1:5" ht="15.75" customHeight="1" x14ac:dyDescent="0.4">
      <c r="A226" s="38" t="str">
        <f ca="1">IFERROR(__xludf.DUMMYFUNCTION("""COMPUTED_VALUE"""),"faggio3")</f>
        <v>faggio3</v>
      </c>
      <c r="B226" s="38" t="str">
        <f ca="1">IFERROR(__xludf.DUMMYFUNCTION("""COMPUTED_VALUE"""),"Faggio Mod")</f>
        <v>Faggio Mod</v>
      </c>
      <c r="C226" s="39">
        <f ca="1">IFERROR(__xludf.DUMMYFUNCTION("""COMPUTED_VALUE"""),3000)</f>
        <v>3000</v>
      </c>
      <c r="D226" s="39" t="str">
        <f ca="1">IFERROR(__xludf.DUMMYFUNCTION("""COMPUTED_VALUE"""),"Motos")</f>
        <v>Motos</v>
      </c>
      <c r="E226" s="40" t="str">
        <f ca="1">IFERROR(__xludf.DUMMYFUNCTION("""COMPUTED_VALUE"""),"https://docs.fivem.net/vehicles/faggio3.webp")</f>
        <v>https://docs.fivem.net/vehicles/faggio3.webp</v>
      </c>
    </row>
    <row r="227" spans="1:5" ht="15.75" customHeight="1" x14ac:dyDescent="0.4">
      <c r="A227" s="38" t="str">
        <f ca="1">IFERROR(__xludf.DUMMYFUNCTION("""COMPUTED_VALUE"""),"fcr")</f>
        <v>fcr</v>
      </c>
      <c r="B227" s="38" t="str">
        <f ca="1">IFERROR(__xludf.DUMMYFUNCTION("""COMPUTED_VALUE"""),"FCR 1000")</f>
        <v>FCR 1000</v>
      </c>
      <c r="C227" s="39">
        <f ca="1">IFERROR(__xludf.DUMMYFUNCTION("""COMPUTED_VALUE"""),32000)</f>
        <v>32000</v>
      </c>
      <c r="D227" s="39" t="str">
        <f ca="1">IFERROR(__xludf.DUMMYFUNCTION("""COMPUTED_VALUE"""),"Motos")</f>
        <v>Motos</v>
      </c>
      <c r="E227" s="40" t="str">
        <f ca="1">IFERROR(__xludf.DUMMYFUNCTION("""COMPUTED_VALUE"""),"https://docs.fivem.net/vehicles/fcr.webp")</f>
        <v>https://docs.fivem.net/vehicles/fcr.webp</v>
      </c>
    </row>
    <row r="228" spans="1:5" ht="15.75" customHeight="1" x14ac:dyDescent="0.4">
      <c r="A228" s="38" t="str">
        <f ca="1">IFERROR(__xludf.DUMMYFUNCTION("""COMPUTED_VALUE"""),"fcr2")</f>
        <v>fcr2</v>
      </c>
      <c r="B228" s="38" t="str">
        <f ca="1">IFERROR(__xludf.DUMMYFUNCTION("""COMPUTED_VALUE"""),"FCR 1000 Custom")</f>
        <v>FCR 1000 Custom</v>
      </c>
      <c r="C228" s="39">
        <f ca="1">IFERROR(__xludf.DUMMYFUNCTION("""COMPUTED_VALUE"""),29000)</f>
        <v>29000</v>
      </c>
      <c r="D228" s="39" t="str">
        <f ca="1">IFERROR(__xludf.DUMMYFUNCTION("""COMPUTED_VALUE"""),"Motos")</f>
        <v>Motos</v>
      </c>
      <c r="E228" s="40" t="str">
        <f ca="1">IFERROR(__xludf.DUMMYFUNCTION("""COMPUTED_VALUE"""),"https://docs.fivem.net/vehicles/fcr2.webp")</f>
        <v>https://docs.fivem.net/vehicles/fcr2.webp</v>
      </c>
    </row>
    <row r="229" spans="1:5" ht="15.75" customHeight="1" x14ac:dyDescent="0.4">
      <c r="A229" s="38" t="str">
        <f ca="1">IFERROR(__xludf.DUMMYFUNCTION("""COMPUTED_VALUE"""),"gargoyle")</f>
        <v>gargoyle</v>
      </c>
      <c r="B229" s="38" t="str">
        <f ca="1">IFERROR(__xludf.DUMMYFUNCTION("""COMPUTED_VALUE"""),"Gargoyle")</f>
        <v>Gargoyle</v>
      </c>
      <c r="C229" s="39">
        <f ca="1">IFERROR(__xludf.DUMMYFUNCTION("""COMPUTED_VALUE"""),75000)</f>
        <v>75000</v>
      </c>
      <c r="D229" s="39" t="str">
        <f ca="1">IFERROR(__xludf.DUMMYFUNCTION("""COMPUTED_VALUE"""),"Motos")</f>
        <v>Motos</v>
      </c>
      <c r="E229" s="40" t="str">
        <f ca="1">IFERROR(__xludf.DUMMYFUNCTION("""COMPUTED_VALUE"""),"https://docs.fivem.net/vehicles/gargoyle.webp")</f>
        <v>https://docs.fivem.net/vehicles/gargoyle.webp</v>
      </c>
    </row>
    <row r="230" spans="1:5" ht="15.75" customHeight="1" x14ac:dyDescent="0.4">
      <c r="A230" s="38" t="str">
        <f ca="1">IFERROR(__xludf.DUMMYFUNCTION("""COMPUTED_VALUE"""),"hakuchou")</f>
        <v>hakuchou</v>
      </c>
      <c r="B230" s="38" t="str">
        <f ca="1">IFERROR(__xludf.DUMMYFUNCTION("""COMPUTED_VALUE"""),"Hakuchou")</f>
        <v>Hakuchou</v>
      </c>
      <c r="C230" s="39">
        <f ca="1">IFERROR(__xludf.DUMMYFUNCTION("""COMPUTED_VALUE"""),125000)</f>
        <v>125000</v>
      </c>
      <c r="D230" s="39" t="str">
        <f ca="1">IFERROR(__xludf.DUMMYFUNCTION("""COMPUTED_VALUE"""),"Motos")</f>
        <v>Motos</v>
      </c>
      <c r="E230" s="40" t="str">
        <f ca="1">IFERROR(__xludf.DUMMYFUNCTION("""COMPUTED_VALUE"""),"https://docs.fivem.net/vehicles/hakuchou.webp")</f>
        <v>https://docs.fivem.net/vehicles/hakuchou.webp</v>
      </c>
    </row>
    <row r="231" spans="1:5" ht="15.75" customHeight="1" x14ac:dyDescent="0.4">
      <c r="A231" s="38" t="str">
        <f ca="1">IFERROR(__xludf.DUMMYFUNCTION("""COMPUTED_VALUE"""),"hakuchou2")</f>
        <v>hakuchou2</v>
      </c>
      <c r="B231" s="38" t="str">
        <f ca="1">IFERROR(__xludf.DUMMYFUNCTION("""COMPUTED_VALUE"""),"Hakuchou Drag")</f>
        <v>Hakuchou Drag</v>
      </c>
      <c r="C231" s="39">
        <f ca="1">IFERROR(__xludf.DUMMYFUNCTION("""COMPUTED_VALUE"""),140000)</f>
        <v>140000</v>
      </c>
      <c r="D231" s="39" t="str">
        <f ca="1">IFERROR(__xludf.DUMMYFUNCTION("""COMPUTED_VALUE"""),"Motos")</f>
        <v>Motos</v>
      </c>
      <c r="E231" s="40" t="str">
        <f ca="1">IFERROR(__xludf.DUMMYFUNCTION("""COMPUTED_VALUE"""),"https://docs.fivem.net/vehicles/hakuchou2.webp")</f>
        <v>https://docs.fivem.net/vehicles/hakuchou2.webp</v>
      </c>
    </row>
    <row r="232" spans="1:5" ht="15.75" customHeight="1" x14ac:dyDescent="0.4">
      <c r="A232" s="38" t="str">
        <f ca="1">IFERROR(__xludf.DUMMYFUNCTION("""COMPUTED_VALUE"""),"hexer")</f>
        <v>hexer</v>
      </c>
      <c r="B232" s="38" t="str">
        <f ca="1">IFERROR(__xludf.DUMMYFUNCTION("""COMPUTED_VALUE"""),"Hexer")</f>
        <v>Hexer</v>
      </c>
      <c r="C232" s="39">
        <f ca="1">IFERROR(__xludf.DUMMYFUNCTION("""COMPUTED_VALUE"""),16000)</f>
        <v>16000</v>
      </c>
      <c r="D232" s="39" t="str">
        <f ca="1">IFERROR(__xludf.DUMMYFUNCTION("""COMPUTED_VALUE"""),"Motos")</f>
        <v>Motos</v>
      </c>
      <c r="E232" s="40" t="str">
        <f ca="1">IFERROR(__xludf.DUMMYFUNCTION("""COMPUTED_VALUE"""),"https://docs.fivem.net/vehicles/hexer.webp")</f>
        <v>https://docs.fivem.net/vehicles/hexer.webp</v>
      </c>
    </row>
    <row r="233" spans="1:5" ht="15.75" customHeight="1" x14ac:dyDescent="0.4">
      <c r="A233" s="38" t="str">
        <f ca="1">IFERROR(__xludf.DUMMYFUNCTION("""COMPUTED_VALUE"""),"innovation")</f>
        <v>innovation</v>
      </c>
      <c r="B233" s="38" t="str">
        <f ca="1">IFERROR(__xludf.DUMMYFUNCTION("""COMPUTED_VALUE"""),"Innovation")</f>
        <v>Innovation</v>
      </c>
      <c r="C233" s="39">
        <f ca="1">IFERROR(__xludf.DUMMYFUNCTION("""COMPUTED_VALUE"""),55000)</f>
        <v>55000</v>
      </c>
      <c r="D233" s="39" t="str">
        <f ca="1">IFERROR(__xludf.DUMMYFUNCTION("""COMPUTED_VALUE"""),"Motos")</f>
        <v>Motos</v>
      </c>
      <c r="E233" s="40" t="str">
        <f ca="1">IFERROR(__xludf.DUMMYFUNCTION("""COMPUTED_VALUE"""),"https://docs.fivem.net/vehicles/innovation.webp")</f>
        <v>https://docs.fivem.net/vehicles/innovation.webp</v>
      </c>
    </row>
    <row r="234" spans="1:5" ht="15.75" customHeight="1" x14ac:dyDescent="0.4">
      <c r="A234" s="38" t="str">
        <f ca="1">IFERROR(__xludf.DUMMYFUNCTION("""COMPUTED_VALUE"""),"lectro")</f>
        <v>lectro</v>
      </c>
      <c r="B234" s="38" t="str">
        <f ca="1">IFERROR(__xludf.DUMMYFUNCTION("""COMPUTED_VALUE"""),"Lectro")</f>
        <v>Lectro</v>
      </c>
      <c r="C234" s="39">
        <f ca="1">IFERROR(__xludf.DUMMYFUNCTION("""COMPUTED_VALUE"""),65000)</f>
        <v>65000</v>
      </c>
      <c r="D234" s="39" t="str">
        <f ca="1">IFERROR(__xludf.DUMMYFUNCTION("""COMPUTED_VALUE"""),"Motos")</f>
        <v>Motos</v>
      </c>
      <c r="E234" s="40" t="str">
        <f ca="1">IFERROR(__xludf.DUMMYFUNCTION("""COMPUTED_VALUE"""),"https://docs.fivem.net/vehicles/lectro.webp")</f>
        <v>https://docs.fivem.net/vehicles/lectro.webp</v>
      </c>
    </row>
    <row r="235" spans="1:5" ht="15.75" customHeight="1" x14ac:dyDescent="0.4">
      <c r="A235" s="38" t="str">
        <f ca="1">IFERROR(__xludf.DUMMYFUNCTION("""COMPUTED_VALUE"""),"manchez")</f>
        <v>manchez</v>
      </c>
      <c r="B235" s="38" t="str">
        <f ca="1">IFERROR(__xludf.DUMMYFUNCTION("""COMPUTED_VALUE"""),"Manchez")</f>
        <v>Manchez</v>
      </c>
      <c r="C235" s="39">
        <f ca="1">IFERROR(__xludf.DUMMYFUNCTION("""COMPUTED_VALUE"""),32000)</f>
        <v>32000</v>
      </c>
      <c r="D235" s="39" t="str">
        <f ca="1">IFERROR(__xludf.DUMMYFUNCTION("""COMPUTED_VALUE"""),"Motos")</f>
        <v>Motos</v>
      </c>
      <c r="E235" s="40" t="str">
        <f ca="1">IFERROR(__xludf.DUMMYFUNCTION("""COMPUTED_VALUE"""),"https://docs.fivem.net/vehicles/manchez.webp")</f>
        <v>https://docs.fivem.net/vehicles/manchez.webp</v>
      </c>
    </row>
    <row r="236" spans="1:5" ht="15.75" customHeight="1" x14ac:dyDescent="0.4">
      <c r="A236" s="38" t="str">
        <f ca="1">IFERROR(__xludf.DUMMYFUNCTION("""COMPUTED_VALUE"""),"manchez2")</f>
        <v>manchez2</v>
      </c>
      <c r="B236" s="38" t="str">
        <f ca="1">IFERROR(__xludf.DUMMYFUNCTION("""COMPUTED_VALUE"""),"Manchez Scout")</f>
        <v>Manchez Scout</v>
      </c>
      <c r="C236" s="39">
        <f ca="1">IFERROR(__xludf.DUMMYFUNCTION("""COMPUTED_VALUE"""),47000)</f>
        <v>47000</v>
      </c>
      <c r="D236" s="39" t="str">
        <f ca="1">IFERROR(__xludf.DUMMYFUNCTION("""COMPUTED_VALUE"""),"Motos")</f>
        <v>Motos</v>
      </c>
      <c r="E236" s="40" t="str">
        <f ca="1">IFERROR(__xludf.DUMMYFUNCTION("""COMPUTED_VALUE"""),"https://docs.fivem.net/vehicles/manchez2.webp")</f>
        <v>https://docs.fivem.net/vehicles/manchez2.webp</v>
      </c>
    </row>
    <row r="237" spans="1:5" ht="15.75" customHeight="1" x14ac:dyDescent="0.4">
      <c r="A237" s="38" t="str">
        <f ca="1">IFERROR(__xludf.DUMMYFUNCTION("""COMPUTED_VALUE"""),"nemesis")</f>
        <v>nemesis</v>
      </c>
      <c r="B237" s="38" t="str">
        <f ca="1">IFERROR(__xludf.DUMMYFUNCTION("""COMPUTED_VALUE"""),"Nemesis")</f>
        <v>Nemesis</v>
      </c>
      <c r="C237" s="39">
        <f ca="1">IFERROR(__xludf.DUMMYFUNCTION("""COMPUTED_VALUE"""),29500)</f>
        <v>29500</v>
      </c>
      <c r="D237" s="39" t="str">
        <f ca="1">IFERROR(__xludf.DUMMYFUNCTION("""COMPUTED_VALUE"""),"Motos")</f>
        <v>Motos</v>
      </c>
      <c r="E237" s="40" t="str">
        <f ca="1">IFERROR(__xludf.DUMMYFUNCTION("""COMPUTED_VALUE"""),"https://docs.fivem.net/vehicles/nemesis.webp")</f>
        <v>https://docs.fivem.net/vehicles/nemesis.webp</v>
      </c>
    </row>
    <row r="238" spans="1:5" ht="15.75" customHeight="1" x14ac:dyDescent="0.4">
      <c r="A238" s="38" t="str">
        <f ca="1">IFERROR(__xludf.DUMMYFUNCTION("""COMPUTED_VALUE"""),"nightblade")</f>
        <v>nightblade</v>
      </c>
      <c r="B238" s="38" t="str">
        <f ca="1">IFERROR(__xludf.DUMMYFUNCTION("""COMPUTED_VALUE"""),"Nightblade")</f>
        <v>Nightblade</v>
      </c>
      <c r="C238" s="39">
        <f ca="1">IFERROR(__xludf.DUMMYFUNCTION("""COMPUTED_VALUE"""),72000)</f>
        <v>72000</v>
      </c>
      <c r="D238" s="39" t="str">
        <f ca="1">IFERROR(__xludf.DUMMYFUNCTION("""COMPUTED_VALUE"""),"Motos")</f>
        <v>Motos</v>
      </c>
      <c r="E238" s="40" t="str">
        <f ca="1">IFERROR(__xludf.DUMMYFUNCTION("""COMPUTED_VALUE"""),"https://docs.fivem.net/vehicles/nightblade.webp")</f>
        <v>https://docs.fivem.net/vehicles/nightblade.webp</v>
      </c>
    </row>
    <row r="239" spans="1:5" ht="15.75" customHeight="1" x14ac:dyDescent="0.4">
      <c r="A239" s="38" t="str">
        <f ca="1">IFERROR(__xludf.DUMMYFUNCTION("""COMPUTED_VALUE"""),"pcj")</f>
        <v>pcj</v>
      </c>
      <c r="B239" s="38" t="str">
        <f ca="1">IFERROR(__xludf.DUMMYFUNCTION("""COMPUTED_VALUE"""),"PCJ-600")</f>
        <v>PCJ-600</v>
      </c>
      <c r="C239" s="39">
        <f ca="1">IFERROR(__xludf.DUMMYFUNCTION("""COMPUTED_VALUE"""),32500)</f>
        <v>32500</v>
      </c>
      <c r="D239" s="39" t="str">
        <f ca="1">IFERROR(__xludf.DUMMYFUNCTION("""COMPUTED_VALUE"""),"Motos")</f>
        <v>Motos</v>
      </c>
      <c r="E239" s="40" t="str">
        <f ca="1">IFERROR(__xludf.DUMMYFUNCTION("""COMPUTED_VALUE"""),"https://docs.fivem.net/vehicles/pcj.webp")</f>
        <v>https://docs.fivem.net/vehicles/pcj.webp</v>
      </c>
    </row>
    <row r="240" spans="1:5" ht="15.75" customHeight="1" x14ac:dyDescent="0.4">
      <c r="A240" s="38" t="str">
        <f ca="1">IFERROR(__xludf.DUMMYFUNCTION("""COMPUTED_VALUE"""),"pizzaboy")</f>
        <v>pizzaboy</v>
      </c>
      <c r="B240" s="38" t="str">
        <f ca="1">IFERROR(__xludf.DUMMYFUNCTION("""COMPUTED_VALUE"""),"Pizza Boy")</f>
        <v>Pizza Boy</v>
      </c>
      <c r="C240" s="39">
        <f ca="1">IFERROR(__xludf.DUMMYFUNCTION("""COMPUTED_VALUE"""),3000)</f>
        <v>3000</v>
      </c>
      <c r="D240" s="39" t="str">
        <f ca="1">IFERROR(__xludf.DUMMYFUNCTION("""COMPUTED_VALUE"""),"Motos")</f>
        <v>Motos</v>
      </c>
      <c r="E240" s="40" t="str">
        <f ca="1">IFERROR(__xludf.DUMMYFUNCTION("""COMPUTED_VALUE"""),"https://docs.fivem.net/vehicles/pizzaboy.webp")</f>
        <v>https://docs.fivem.net/vehicles/pizzaboy.webp</v>
      </c>
    </row>
    <row r="241" spans="1:5" ht="15.75" customHeight="1" x14ac:dyDescent="0.4">
      <c r="A241" s="38" t="str">
        <f ca="1">IFERROR(__xludf.DUMMYFUNCTION("""COMPUTED_VALUE"""),"powersurge")</f>
        <v>powersurge</v>
      </c>
      <c r="B241" s="38" t="str">
        <f ca="1">IFERROR(__xludf.DUMMYFUNCTION("""COMPUTED_VALUE"""),"Powersurge")</f>
        <v>Powersurge</v>
      </c>
      <c r="C241" s="39">
        <f ca="1">IFERROR(__xludf.DUMMYFUNCTION("""COMPUTED_VALUE"""),85000)</f>
        <v>85000</v>
      </c>
      <c r="D241" s="39" t="str">
        <f ca="1">IFERROR(__xludf.DUMMYFUNCTION("""COMPUTED_VALUE"""),"Motos")</f>
        <v>Motos</v>
      </c>
      <c r="E241" s="40" t="str">
        <f ca="1">IFERROR(__xludf.DUMMYFUNCTION("""COMPUTED_VALUE"""),"https://docs.fivem.net/vehicles/powersurge.webp")</f>
        <v>https://docs.fivem.net/vehicles/powersurge.webp</v>
      </c>
    </row>
    <row r="242" spans="1:5" ht="15.75" customHeight="1" x14ac:dyDescent="0.4">
      <c r="A242" s="38" t="str">
        <f ca="1">IFERROR(__xludf.DUMMYFUNCTION("""COMPUTED_VALUE"""),"ratbike")</f>
        <v>ratbike</v>
      </c>
      <c r="B242" s="38" t="str">
        <f ca="1">IFERROR(__xludf.DUMMYFUNCTION("""COMPUTED_VALUE"""),"Rat Bike")</f>
        <v>Rat Bike</v>
      </c>
      <c r="C242" s="39">
        <f ca="1">IFERROR(__xludf.DUMMYFUNCTION("""COMPUTED_VALUE"""),3000)</f>
        <v>3000</v>
      </c>
      <c r="D242" s="39" t="str">
        <f ca="1">IFERROR(__xludf.DUMMYFUNCTION("""COMPUTED_VALUE"""),"Motos")</f>
        <v>Motos</v>
      </c>
      <c r="E242" s="40" t="str">
        <f ca="1">IFERROR(__xludf.DUMMYFUNCTION("""COMPUTED_VALUE"""),"https://docs.fivem.net/vehicles/ratbike.webp")</f>
        <v>https://docs.fivem.net/vehicles/ratbike.webp</v>
      </c>
    </row>
    <row r="243" spans="1:5" ht="15.75" customHeight="1" x14ac:dyDescent="0.4">
      <c r="A243" s="38" t="str">
        <f ca="1">IFERROR(__xludf.DUMMYFUNCTION("""COMPUTED_VALUE"""),"reever")</f>
        <v>reever</v>
      </c>
      <c r="B243" s="38" t="str">
        <f ca="1">IFERROR(__xludf.DUMMYFUNCTION("""COMPUTED_VALUE"""),"Reever")</f>
        <v>Reever</v>
      </c>
      <c r="C243" s="39">
        <f ca="1">IFERROR(__xludf.DUMMYFUNCTION("""COMPUTED_VALUE"""),45000)</f>
        <v>45000</v>
      </c>
      <c r="D243" s="39" t="str">
        <f ca="1">IFERROR(__xludf.DUMMYFUNCTION("""COMPUTED_VALUE"""),"Motos")</f>
        <v>Motos</v>
      </c>
      <c r="E243" s="40" t="str">
        <f ca="1">IFERROR(__xludf.DUMMYFUNCTION("""COMPUTED_VALUE"""),"https://docs.fivem.net/vehicles/reever.webp")</f>
        <v>https://docs.fivem.net/vehicles/reever.webp</v>
      </c>
    </row>
    <row r="244" spans="1:5" ht="15.75" customHeight="1" x14ac:dyDescent="0.4">
      <c r="A244" s="38" t="str">
        <f ca="1">IFERROR(__xludf.DUMMYFUNCTION("""COMPUTED_VALUE"""),"ruffian")</f>
        <v>ruffian</v>
      </c>
      <c r="B244" s="38" t="str">
        <f ca="1">IFERROR(__xludf.DUMMYFUNCTION("""COMPUTED_VALUE"""),"Ruffian")</f>
        <v>Ruffian</v>
      </c>
      <c r="C244" s="39">
        <f ca="1">IFERROR(__xludf.DUMMYFUNCTION("""COMPUTED_VALUE"""),19500)</f>
        <v>19500</v>
      </c>
      <c r="D244" s="39" t="str">
        <f ca="1">IFERROR(__xludf.DUMMYFUNCTION("""COMPUTED_VALUE"""),"Motos")</f>
        <v>Motos</v>
      </c>
      <c r="E244" s="40" t="str">
        <f ca="1">IFERROR(__xludf.DUMMYFUNCTION("""COMPUTED_VALUE"""),"https://docs.fivem.net/vehicles/ruffian.webp")</f>
        <v>https://docs.fivem.net/vehicles/ruffian.webp</v>
      </c>
    </row>
    <row r="245" spans="1:5" ht="15.75" customHeight="1" x14ac:dyDescent="0.4">
      <c r="A245" s="38" t="str">
        <f ca="1">IFERROR(__xludf.DUMMYFUNCTION("""COMPUTED_VALUE"""),"sanchez")</f>
        <v>sanchez</v>
      </c>
      <c r="B245" s="38" t="str">
        <f ca="1">IFERROR(__xludf.DUMMYFUNCTION("""COMPUTED_VALUE"""),"Sanchez Livery")</f>
        <v>Sanchez Livery</v>
      </c>
      <c r="C245" s="39">
        <f ca="1">IFERROR(__xludf.DUMMYFUNCTION("""COMPUTED_VALUE"""),27500)</f>
        <v>27500</v>
      </c>
      <c r="D245" s="39" t="str">
        <f ca="1">IFERROR(__xludf.DUMMYFUNCTION("""COMPUTED_VALUE"""),"Motos")</f>
        <v>Motos</v>
      </c>
      <c r="E245" s="40" t="str">
        <f ca="1">IFERROR(__xludf.DUMMYFUNCTION("""COMPUTED_VALUE"""),"https://docs.fivem.net/vehicles/sanchez.webp")</f>
        <v>https://docs.fivem.net/vehicles/sanchez.webp</v>
      </c>
    </row>
    <row r="246" spans="1:5" ht="15.75" customHeight="1" x14ac:dyDescent="0.4">
      <c r="A246" s="38" t="str">
        <f ca="1">IFERROR(__xludf.DUMMYFUNCTION("""COMPUTED_VALUE"""),"sanchez2")</f>
        <v>sanchez2</v>
      </c>
      <c r="B246" s="38" t="str">
        <f ca="1">IFERROR(__xludf.DUMMYFUNCTION("""COMPUTED_VALUE"""),"Sanchez")</f>
        <v>Sanchez</v>
      </c>
      <c r="C246" s="39">
        <f ca="1">IFERROR(__xludf.DUMMYFUNCTION("""COMPUTED_VALUE"""),30000)</f>
        <v>30000</v>
      </c>
      <c r="D246" s="39" t="str">
        <f ca="1">IFERROR(__xludf.DUMMYFUNCTION("""COMPUTED_VALUE"""),"Motos")</f>
        <v>Motos</v>
      </c>
      <c r="E246" s="40" t="str">
        <f ca="1">IFERROR(__xludf.DUMMYFUNCTION("""COMPUTED_VALUE"""),"https://docs.fivem.net/vehicles/sanchez2.webp")</f>
        <v>https://docs.fivem.net/vehicles/sanchez2.webp</v>
      </c>
    </row>
    <row r="247" spans="1:5" ht="15.75" customHeight="1" x14ac:dyDescent="0.4">
      <c r="A247" s="38" t="str">
        <f ca="1">IFERROR(__xludf.DUMMYFUNCTION("""COMPUTED_VALUE"""),"sanctus")</f>
        <v>sanctus</v>
      </c>
      <c r="B247" s="38" t="str">
        <f ca="1">IFERROR(__xludf.DUMMYFUNCTION("""COMPUTED_VALUE"""),"Sanctus")</f>
        <v>Sanctus</v>
      </c>
      <c r="C247" s="39">
        <f ca="1">IFERROR(__xludf.DUMMYFUNCTION("""COMPUTED_VALUE"""),98000)</f>
        <v>98000</v>
      </c>
      <c r="D247" s="39" t="str">
        <f ca="1">IFERROR(__xludf.DUMMYFUNCTION("""COMPUTED_VALUE"""),"Motos")</f>
        <v>Motos</v>
      </c>
      <c r="E247" s="40" t="str">
        <f ca="1">IFERROR(__xludf.DUMMYFUNCTION("""COMPUTED_VALUE"""),"https://docs.fivem.net/vehicles/sanctus.webp")</f>
        <v>https://docs.fivem.net/vehicles/sanctus.webp</v>
      </c>
    </row>
    <row r="248" spans="1:5" ht="15.75" customHeight="1" x14ac:dyDescent="0.4">
      <c r="A248" s="38" t="str">
        <f ca="1">IFERROR(__xludf.DUMMYFUNCTION("""COMPUTED_VALUE"""),"shinobi")</f>
        <v>shinobi</v>
      </c>
      <c r="B248" s="38" t="str">
        <f ca="1">IFERROR(__xludf.DUMMYFUNCTION("""COMPUTED_VALUE"""),"Shinobi")</f>
        <v>Shinobi</v>
      </c>
      <c r="C248" s="39">
        <f ca="1">IFERROR(__xludf.DUMMYFUNCTION("""COMPUTED_VALUE"""),100000)</f>
        <v>100000</v>
      </c>
      <c r="D248" s="39" t="str">
        <f ca="1">IFERROR(__xludf.DUMMYFUNCTION("""COMPUTED_VALUE"""),"Motos")</f>
        <v>Motos</v>
      </c>
      <c r="E248" s="40" t="str">
        <f ca="1">IFERROR(__xludf.DUMMYFUNCTION("""COMPUTED_VALUE"""),"https://docs.fivem.net/vehicles/shinobi.webp")</f>
        <v>https://docs.fivem.net/vehicles/shinobi.webp</v>
      </c>
    </row>
    <row r="249" spans="1:5" ht="15.75" customHeight="1" x14ac:dyDescent="0.4">
      <c r="A249" s="38" t="str">
        <f ca="1">IFERROR(__xludf.DUMMYFUNCTION("""COMPUTED_VALUE"""),"shotaro")</f>
        <v>shotaro</v>
      </c>
      <c r="B249" s="38" t="str">
        <f ca="1">IFERROR(__xludf.DUMMYFUNCTION("""COMPUTED_VALUE"""),"Shotaro")</f>
        <v>Shotaro</v>
      </c>
      <c r="C249" s="39">
        <f ca="1">IFERROR(__xludf.DUMMYFUNCTION("""COMPUTED_VALUE"""),250000)</f>
        <v>250000</v>
      </c>
      <c r="D249" s="39" t="str">
        <f ca="1">IFERROR(__xludf.DUMMYFUNCTION("""COMPUTED_VALUE"""),"Motos")</f>
        <v>Motos</v>
      </c>
      <c r="E249" s="40" t="str">
        <f ca="1">IFERROR(__xludf.DUMMYFUNCTION("""COMPUTED_VALUE"""),"https://docs.fivem.net/vehicles/shotaro.webp")</f>
        <v>https://docs.fivem.net/vehicles/shotaro.webp</v>
      </c>
    </row>
    <row r="250" spans="1:5" ht="15.75" customHeight="1" x14ac:dyDescent="0.4">
      <c r="A250" s="38" t="str">
        <f ca="1">IFERROR(__xludf.DUMMYFUNCTION("""COMPUTED_VALUE"""),"sovereign")</f>
        <v>sovereign</v>
      </c>
      <c r="B250" s="38" t="str">
        <f ca="1">IFERROR(__xludf.DUMMYFUNCTION("""COMPUTED_VALUE"""),"Sovereign")</f>
        <v>Sovereign</v>
      </c>
      <c r="C250" s="39">
        <f ca="1">IFERROR(__xludf.DUMMYFUNCTION("""COMPUTED_VALUE"""),18000)</f>
        <v>18000</v>
      </c>
      <c r="D250" s="39" t="str">
        <f ca="1">IFERROR(__xludf.DUMMYFUNCTION("""COMPUTED_VALUE"""),"Motos")</f>
        <v>Motos</v>
      </c>
      <c r="E250" s="40" t="str">
        <f ca="1">IFERROR(__xludf.DUMMYFUNCTION("""COMPUTED_VALUE"""),"https://docs.fivem.net/vehicles/sovereign.webp")</f>
        <v>https://docs.fivem.net/vehicles/sovereign.webp</v>
      </c>
    </row>
    <row r="251" spans="1:5" ht="15.75" customHeight="1" x14ac:dyDescent="0.4">
      <c r="A251" s="38" t="str">
        <f ca="1">IFERROR(__xludf.DUMMYFUNCTION("""COMPUTED_VALUE"""),"stryder")</f>
        <v>stryder</v>
      </c>
      <c r="B251" s="38" t="str">
        <f ca="1">IFERROR(__xludf.DUMMYFUNCTION("""COMPUTED_VALUE"""),"Stryder")</f>
        <v>Stryder</v>
      </c>
      <c r="C251" s="39">
        <f ca="1">IFERROR(__xludf.DUMMYFUNCTION("""COMPUTED_VALUE"""),40000)</f>
        <v>40000</v>
      </c>
      <c r="D251" s="39" t="str">
        <f ca="1">IFERROR(__xludf.DUMMYFUNCTION("""COMPUTED_VALUE"""),"Motos")</f>
        <v>Motos</v>
      </c>
      <c r="E251" s="40" t="str">
        <f ca="1">IFERROR(__xludf.DUMMYFUNCTION("""COMPUTED_VALUE"""),"https://docs.fivem.net/vehicles/stryder.webp")</f>
        <v>https://docs.fivem.net/vehicles/stryder.webp</v>
      </c>
    </row>
    <row r="252" spans="1:5" ht="15.75" customHeight="1" x14ac:dyDescent="0.4">
      <c r="A252" s="38" t="str">
        <f ca="1">IFERROR(__xludf.DUMMYFUNCTION("""COMPUTED_VALUE"""),"thrust")</f>
        <v>thrust</v>
      </c>
      <c r="B252" s="38" t="str">
        <f ca="1">IFERROR(__xludf.DUMMYFUNCTION("""COMPUTED_VALUE"""),"Thrust")</f>
        <v>Thrust</v>
      </c>
      <c r="C252" s="39">
        <f ca="1">IFERROR(__xludf.DUMMYFUNCTION("""COMPUTED_VALUE"""),19000)</f>
        <v>19000</v>
      </c>
      <c r="D252" s="39" t="str">
        <f ca="1">IFERROR(__xludf.DUMMYFUNCTION("""COMPUTED_VALUE"""),"Motos")</f>
        <v>Motos</v>
      </c>
      <c r="E252" s="40" t="str">
        <f ca="1">IFERROR(__xludf.DUMMYFUNCTION("""COMPUTED_VALUE"""),"https://docs.fivem.net/vehicles/thrust.webp")</f>
        <v>https://docs.fivem.net/vehicles/thrust.webp</v>
      </c>
    </row>
    <row r="253" spans="1:5" ht="15.75" customHeight="1" x14ac:dyDescent="0.4">
      <c r="A253" s="38" t="str">
        <f ca="1">IFERROR(__xludf.DUMMYFUNCTION("""COMPUTED_VALUE"""),"vader")</f>
        <v>vader</v>
      </c>
      <c r="B253" s="38" t="str">
        <f ca="1">IFERROR(__xludf.DUMMYFUNCTION("""COMPUTED_VALUE"""),"Vader")</f>
        <v>Vader</v>
      </c>
      <c r="C253" s="39">
        <f ca="1">IFERROR(__xludf.DUMMYFUNCTION("""COMPUTED_VALUE"""),32500)</f>
        <v>32500</v>
      </c>
      <c r="D253" s="39" t="str">
        <f ca="1">IFERROR(__xludf.DUMMYFUNCTION("""COMPUTED_VALUE"""),"Motos")</f>
        <v>Motos</v>
      </c>
      <c r="E253" s="40" t="str">
        <f ca="1">IFERROR(__xludf.DUMMYFUNCTION("""COMPUTED_VALUE"""),"https://docs.fivem.net/vehicles/vader.webp")</f>
        <v>https://docs.fivem.net/vehicles/vader.webp</v>
      </c>
    </row>
    <row r="254" spans="1:5" ht="15.75" customHeight="1" x14ac:dyDescent="0.4">
      <c r="A254" s="38" t="str">
        <f ca="1">IFERROR(__xludf.DUMMYFUNCTION("""COMPUTED_VALUE"""),"vindicator")</f>
        <v>vindicator</v>
      </c>
      <c r="B254" s="38" t="str">
        <f ca="1">IFERROR(__xludf.DUMMYFUNCTION("""COMPUTED_VALUE"""),"Vindicator")</f>
        <v>Vindicator</v>
      </c>
      <c r="C254" s="39">
        <f ca="1">IFERROR(__xludf.DUMMYFUNCTION("""COMPUTED_VALUE"""),18000)</f>
        <v>18000</v>
      </c>
      <c r="D254" s="39" t="str">
        <f ca="1">IFERROR(__xludf.DUMMYFUNCTION("""COMPUTED_VALUE"""),"Motos")</f>
        <v>Motos</v>
      </c>
      <c r="E254" s="40" t="str">
        <f ca="1">IFERROR(__xludf.DUMMYFUNCTION("""COMPUTED_VALUE"""),"https://docs.fivem.net/vehicles/vindicator.webp")</f>
        <v>https://docs.fivem.net/vehicles/vindicator.webp</v>
      </c>
    </row>
    <row r="255" spans="1:5" ht="15.75" customHeight="1" x14ac:dyDescent="0.4">
      <c r="A255" s="38" t="str">
        <f ca="1">IFERROR(__xludf.DUMMYFUNCTION("""COMPUTED_VALUE"""),"vortex")</f>
        <v>vortex</v>
      </c>
      <c r="B255" s="38" t="str">
        <f ca="1">IFERROR(__xludf.DUMMYFUNCTION("""COMPUTED_VALUE"""),"Vortex")</f>
        <v>Vortex</v>
      </c>
      <c r="C255" s="39">
        <f ca="1">IFERROR(__xludf.DUMMYFUNCTION("""COMPUTED_VALUE"""),33500)</f>
        <v>33500</v>
      </c>
      <c r="D255" s="39" t="str">
        <f ca="1">IFERROR(__xludf.DUMMYFUNCTION("""COMPUTED_VALUE"""),"Motos")</f>
        <v>Motos</v>
      </c>
      <c r="E255" s="40" t="str">
        <f ca="1">IFERROR(__xludf.DUMMYFUNCTION("""COMPUTED_VALUE"""),"https://docs.fivem.net/vehicles/vortex.webp")</f>
        <v>https://docs.fivem.net/vehicles/vortex.webp</v>
      </c>
    </row>
    <row r="256" spans="1:5" ht="15.75" customHeight="1" x14ac:dyDescent="0.4">
      <c r="A256" s="38" t="str">
        <f ca="1">IFERROR(__xludf.DUMMYFUNCTION("""COMPUTED_VALUE"""),"wolfsbane")</f>
        <v>wolfsbane</v>
      </c>
      <c r="B256" s="38" t="str">
        <f ca="1">IFERROR(__xludf.DUMMYFUNCTION("""COMPUTED_VALUE"""),"Wolfsbane")</f>
        <v>Wolfsbane</v>
      </c>
      <c r="C256" s="39">
        <f ca="1">IFERROR(__xludf.DUMMYFUNCTION("""COMPUTED_VALUE"""),21000)</f>
        <v>21000</v>
      </c>
      <c r="D256" s="39" t="str">
        <f ca="1">IFERROR(__xludf.DUMMYFUNCTION("""COMPUTED_VALUE"""),"Motos")</f>
        <v>Motos</v>
      </c>
      <c r="E256" s="40" t="str">
        <f ca="1">IFERROR(__xludf.DUMMYFUNCTION("""COMPUTED_VALUE"""),"https://docs.fivem.net/vehicles/wolfsbane.webp")</f>
        <v>https://docs.fivem.net/vehicles/wolfsbane.webp</v>
      </c>
    </row>
    <row r="257" spans="1:5" ht="15.75" customHeight="1" x14ac:dyDescent="0.4">
      <c r="A257" s="38" t="str">
        <f ca="1">IFERROR(__xludf.DUMMYFUNCTION("""COMPUTED_VALUE"""),"zombiea")</f>
        <v>zombiea</v>
      </c>
      <c r="B257" s="38" t="str">
        <f ca="1">IFERROR(__xludf.DUMMYFUNCTION("""COMPUTED_VALUE"""),"Zombie Bobber")</f>
        <v>Zombie Bobber</v>
      </c>
      <c r="C257" s="39">
        <f ca="1">IFERROR(__xludf.DUMMYFUNCTION("""COMPUTED_VALUE"""),38500)</f>
        <v>38500</v>
      </c>
      <c r="D257" s="39" t="str">
        <f ca="1">IFERROR(__xludf.DUMMYFUNCTION("""COMPUTED_VALUE"""),"Motos")</f>
        <v>Motos</v>
      </c>
      <c r="E257" s="40" t="str">
        <f ca="1">IFERROR(__xludf.DUMMYFUNCTION("""COMPUTED_VALUE"""),"https://docs.fivem.net/vehicles/zombiea.webp")</f>
        <v>https://docs.fivem.net/vehicles/zombiea.webp</v>
      </c>
    </row>
    <row r="258" spans="1:5" ht="15.75" customHeight="1" x14ac:dyDescent="0.4">
      <c r="A258" s="38" t="str">
        <f ca="1">IFERROR(__xludf.DUMMYFUNCTION("""COMPUTED_VALUE"""),"zombieb")</f>
        <v>zombieb</v>
      </c>
      <c r="B258" s="38" t="str">
        <f ca="1">IFERROR(__xludf.DUMMYFUNCTION("""COMPUTED_VALUE"""),"Zombie Chopper")</f>
        <v>Zombie Chopper</v>
      </c>
      <c r="C258" s="39">
        <f ca="1">IFERROR(__xludf.DUMMYFUNCTION("""COMPUTED_VALUE"""),48000)</f>
        <v>48000</v>
      </c>
      <c r="D258" s="39" t="str">
        <f ca="1">IFERROR(__xludf.DUMMYFUNCTION("""COMPUTED_VALUE"""),"Motos")</f>
        <v>Motos</v>
      </c>
      <c r="E258" s="40" t="str">
        <f ca="1">IFERROR(__xludf.DUMMYFUNCTION("""COMPUTED_VALUE"""),"https://docs.fivem.net/vehicles/zombieb.webp")</f>
        <v>https://docs.fivem.net/vehicles/zombieb.webp</v>
      </c>
    </row>
    <row r="259" spans="1:5" ht="15.75" customHeight="1" x14ac:dyDescent="0.4">
      <c r="A259" s="38" t="str">
        <f ca="1">IFERROR(__xludf.DUMMYFUNCTION("""COMPUTED_VALUE"""),"blade")</f>
        <v>blade</v>
      </c>
      <c r="B259" s="38" t="str">
        <f ca="1">IFERROR(__xludf.DUMMYFUNCTION("""COMPUTED_VALUE"""),"Blade")</f>
        <v>Blade</v>
      </c>
      <c r="C259" s="39">
        <f ca="1">IFERROR(__xludf.DUMMYFUNCTION("""COMPUTED_VALUE"""),28500)</f>
        <v>28500</v>
      </c>
      <c r="D259" s="39" t="str">
        <f ca="1">IFERROR(__xludf.DUMMYFUNCTION("""COMPUTED_VALUE"""),"Muscle")</f>
        <v>Muscle</v>
      </c>
      <c r="E259" s="40" t="str">
        <f ca="1">IFERROR(__xludf.DUMMYFUNCTION("""COMPUTED_VALUE"""),"https://docs.fivem.net/vehicles/blade.webp")</f>
        <v>https://docs.fivem.net/vehicles/blade.webp</v>
      </c>
    </row>
    <row r="260" spans="1:5" ht="15.75" customHeight="1" x14ac:dyDescent="0.4">
      <c r="A260" s="38" t="str">
        <f ca="1">IFERROR(__xludf.DUMMYFUNCTION("""COMPUTED_VALUE"""),"brigham")</f>
        <v>brigham</v>
      </c>
      <c r="B260" s="38" t="str">
        <f ca="1">IFERROR(__xludf.DUMMYFUNCTION("""COMPUTED_VALUE"""),"Brigham")</f>
        <v>Brigham</v>
      </c>
      <c r="C260" s="39">
        <f ca="1">IFERROR(__xludf.DUMMYFUNCTION("""COMPUTED_VALUE"""),26500)</f>
        <v>26500</v>
      </c>
      <c r="D260" s="39" t="str">
        <f ca="1">IFERROR(__xludf.DUMMYFUNCTION("""COMPUTED_VALUE"""),"Muscle")</f>
        <v>Muscle</v>
      </c>
      <c r="E260" s="40" t="str">
        <f ca="1">IFERROR(__xludf.DUMMYFUNCTION("""COMPUTED_VALUE"""),"https://docs.fivem.net/vehicles/brigham.webp")</f>
        <v>https://docs.fivem.net/vehicles/brigham.webp</v>
      </c>
    </row>
    <row r="261" spans="1:5" ht="15.75" customHeight="1" x14ac:dyDescent="0.4">
      <c r="A261" s="38" t="str">
        <f ca="1">IFERROR(__xludf.DUMMYFUNCTION("""COMPUTED_VALUE"""),"buccaneer")</f>
        <v>buccaneer</v>
      </c>
      <c r="B261" s="38" t="str">
        <f ca="1">IFERROR(__xludf.DUMMYFUNCTION("""COMPUTED_VALUE"""),"Buccaneer")</f>
        <v>Buccaneer</v>
      </c>
      <c r="C261" s="39">
        <f ca="1">IFERROR(__xludf.DUMMYFUNCTION("""COMPUTED_VALUE"""),19000)</f>
        <v>19000</v>
      </c>
      <c r="D261" s="39" t="str">
        <f ca="1">IFERROR(__xludf.DUMMYFUNCTION("""COMPUTED_VALUE"""),"Muscle")</f>
        <v>Muscle</v>
      </c>
      <c r="E261" s="40" t="str">
        <f ca="1">IFERROR(__xludf.DUMMYFUNCTION("""COMPUTED_VALUE"""),"https://docs.fivem.net/vehicles/buccaneer.webp")</f>
        <v>https://docs.fivem.net/vehicles/buccaneer.webp</v>
      </c>
    </row>
    <row r="262" spans="1:5" ht="15.75" customHeight="1" x14ac:dyDescent="0.4">
      <c r="A262" s="38" t="str">
        <f ca="1">IFERROR(__xludf.DUMMYFUNCTION("""COMPUTED_VALUE"""),"buccaneer2")</f>
        <v>buccaneer2</v>
      </c>
      <c r="B262" s="38" t="str">
        <f ca="1">IFERROR(__xludf.DUMMYFUNCTION("""COMPUTED_VALUE"""),"Buccaneer Rider")</f>
        <v>Buccaneer Rider</v>
      </c>
      <c r="C262" s="39">
        <f ca="1">IFERROR(__xludf.DUMMYFUNCTION("""COMPUTED_VALUE"""),22500)</f>
        <v>22500</v>
      </c>
      <c r="D262" s="39" t="str">
        <f ca="1">IFERROR(__xludf.DUMMYFUNCTION("""COMPUTED_VALUE"""),"Muscle")</f>
        <v>Muscle</v>
      </c>
      <c r="E262" s="40" t="str">
        <f ca="1">IFERROR(__xludf.DUMMYFUNCTION("""COMPUTED_VALUE"""),"https://docs.fivem.net/vehicles/buccaneer2.webp")</f>
        <v>https://docs.fivem.net/vehicles/buccaneer2.webp</v>
      </c>
    </row>
    <row r="263" spans="1:5" ht="15.75" customHeight="1" x14ac:dyDescent="0.4">
      <c r="A263" s="38" t="str">
        <f ca="1">IFERROR(__xludf.DUMMYFUNCTION("""COMPUTED_VALUE"""),"buffalo")</f>
        <v>buffalo</v>
      </c>
      <c r="B263" s="38" t="str">
        <f ca="1">IFERROR(__xludf.DUMMYFUNCTION("""COMPUTED_VALUE"""),"Buffalo")</f>
        <v>Buffalo</v>
      </c>
      <c r="C263" s="39">
        <f ca="1">IFERROR(__xludf.DUMMYFUNCTION("""COMPUTED_VALUE"""),45000)</f>
        <v>45000</v>
      </c>
      <c r="D263" s="39" t="str">
        <f ca="1">IFERROR(__xludf.DUMMYFUNCTION("""COMPUTED_VALUE"""),"Muscle")</f>
        <v>Muscle</v>
      </c>
      <c r="E263" s="40" t="str">
        <f ca="1">IFERROR(__xludf.DUMMYFUNCTION("""COMPUTED_VALUE"""),"https://docs.fivem.net/vehicles/buffalo.webp")</f>
        <v>https://docs.fivem.net/vehicles/buffalo.webp</v>
      </c>
    </row>
    <row r="264" spans="1:5" ht="15.75" customHeight="1" x14ac:dyDescent="0.4">
      <c r="A264" s="38" t="str">
        <f ca="1">IFERROR(__xludf.DUMMYFUNCTION("""COMPUTED_VALUE"""),"buffalo2")</f>
        <v>buffalo2</v>
      </c>
      <c r="B264" s="38" t="str">
        <f ca="1">IFERROR(__xludf.DUMMYFUNCTION("""COMPUTED_VALUE"""),"Buffalo S")</f>
        <v>Buffalo S</v>
      </c>
      <c r="C264" s="39">
        <f ca="1">IFERROR(__xludf.DUMMYFUNCTION("""COMPUTED_VALUE"""),55000)</f>
        <v>55000</v>
      </c>
      <c r="D264" s="39" t="str">
        <f ca="1">IFERROR(__xludf.DUMMYFUNCTION("""COMPUTED_VALUE"""),"Muscle")</f>
        <v>Muscle</v>
      </c>
      <c r="E264" s="40" t="str">
        <f ca="1">IFERROR(__xludf.DUMMYFUNCTION("""COMPUTED_VALUE"""),"https://docs.fivem.net/vehicles/buffalo2.webp")</f>
        <v>https://docs.fivem.net/vehicles/buffalo2.webp</v>
      </c>
    </row>
    <row r="265" spans="1:5" ht="15.75" customHeight="1" x14ac:dyDescent="0.4">
      <c r="A265" s="38" t="str">
        <f ca="1">IFERROR(__xludf.DUMMYFUNCTION("""COMPUTED_VALUE"""),"buffalo4")</f>
        <v>buffalo4</v>
      </c>
      <c r="B265" s="38" t="str">
        <f ca="1">IFERROR(__xludf.DUMMYFUNCTION("""COMPUTED_VALUE"""),"Buffalo STX")</f>
        <v>Buffalo STX</v>
      </c>
      <c r="C265" s="39">
        <f ca="1">IFERROR(__xludf.DUMMYFUNCTION("""COMPUTED_VALUE"""),92000)</f>
        <v>92000</v>
      </c>
      <c r="D265" s="39" t="str">
        <f ca="1">IFERROR(__xludf.DUMMYFUNCTION("""COMPUTED_VALUE"""),"Muscle")</f>
        <v>Muscle</v>
      </c>
      <c r="E265" s="40" t="str">
        <f ca="1">IFERROR(__xludf.DUMMYFUNCTION("""COMPUTED_VALUE"""),"https://docs.fivem.net/vehicles/buffalo4.webp")</f>
        <v>https://docs.fivem.net/vehicles/buffalo4.webp</v>
      </c>
    </row>
    <row r="266" spans="1:5" ht="15.75" customHeight="1" x14ac:dyDescent="0.4">
      <c r="A266" s="38" t="str">
        <f ca="1">IFERROR(__xludf.DUMMYFUNCTION("""COMPUTED_VALUE"""),"buffalo5")</f>
        <v>buffalo5</v>
      </c>
      <c r="B266" s="38" t="str">
        <f ca="1">IFERROR(__xludf.DUMMYFUNCTION("""COMPUTED_VALUE"""),"Buffalo EVX")</f>
        <v>Buffalo EVX</v>
      </c>
      <c r="C266" s="39">
        <f ca="1">IFERROR(__xludf.DUMMYFUNCTION("""COMPUTED_VALUE"""),98000)</f>
        <v>98000</v>
      </c>
      <c r="D266" s="39" t="str">
        <f ca="1">IFERROR(__xludf.DUMMYFUNCTION("""COMPUTED_VALUE"""),"Muscle")</f>
        <v>Muscle</v>
      </c>
      <c r="E266" s="40" t="str">
        <f ca="1">IFERROR(__xludf.DUMMYFUNCTION("""COMPUTED_VALUE"""),"https://docs.fivem.net/vehicles/buffalo5.webp")</f>
        <v>https://docs.fivem.net/vehicles/buffalo5.webp</v>
      </c>
    </row>
    <row r="267" spans="1:5" ht="15.75" customHeight="1" x14ac:dyDescent="0.4">
      <c r="A267" s="38" t="str">
        <f ca="1">IFERROR(__xludf.DUMMYFUNCTION("""COMPUTED_VALUE"""),"chino")</f>
        <v>chino</v>
      </c>
      <c r="B267" s="38" t="str">
        <f ca="1">IFERROR(__xludf.DUMMYFUNCTION("""COMPUTED_VALUE"""),"Chino")</f>
        <v>Chino</v>
      </c>
      <c r="C267" s="39">
        <f ca="1">IFERROR(__xludf.DUMMYFUNCTION("""COMPUTED_VALUE"""),12000)</f>
        <v>12000</v>
      </c>
      <c r="D267" s="39" t="str">
        <f ca="1">IFERROR(__xludf.DUMMYFUNCTION("""COMPUTED_VALUE"""),"Muscle")</f>
        <v>Muscle</v>
      </c>
      <c r="E267" s="40" t="str">
        <f ca="1">IFERROR(__xludf.DUMMYFUNCTION("""COMPUTED_VALUE"""),"https://docs.fivem.net/vehicles/chino.webp")</f>
        <v>https://docs.fivem.net/vehicles/chino.webp</v>
      </c>
    </row>
    <row r="268" spans="1:5" ht="15.75" customHeight="1" x14ac:dyDescent="0.4">
      <c r="A268" s="38" t="str">
        <f ca="1">IFERROR(__xludf.DUMMYFUNCTION("""COMPUTED_VALUE"""),"chino2")</f>
        <v>chino2</v>
      </c>
      <c r="B268" s="38" t="str">
        <f ca="1">IFERROR(__xludf.DUMMYFUNCTION("""COMPUTED_VALUE"""),"Chino Luxe")</f>
        <v>Chino Luxe</v>
      </c>
      <c r="C268" s="39">
        <f ca="1">IFERROR(__xludf.DUMMYFUNCTION("""COMPUTED_VALUE"""),19000)</f>
        <v>19000</v>
      </c>
      <c r="D268" s="39" t="str">
        <f ca="1">IFERROR(__xludf.DUMMYFUNCTION("""COMPUTED_VALUE"""),"Muscle")</f>
        <v>Muscle</v>
      </c>
      <c r="E268" s="40" t="str">
        <f ca="1">IFERROR(__xludf.DUMMYFUNCTION("""COMPUTED_VALUE"""),"https://docs.fivem.net/vehicles/chino2.webp")</f>
        <v>https://docs.fivem.net/vehicles/chino2.webp</v>
      </c>
    </row>
    <row r="269" spans="1:5" ht="15.75" customHeight="1" x14ac:dyDescent="0.4">
      <c r="A269" s="38" t="str">
        <f ca="1">IFERROR(__xludf.DUMMYFUNCTION("""COMPUTED_VALUE"""),"clique")</f>
        <v>clique</v>
      </c>
      <c r="B269" s="38" t="str">
        <f ca="1">IFERROR(__xludf.DUMMYFUNCTION("""COMPUTED_VALUE"""),"Clique")</f>
        <v>Clique</v>
      </c>
      <c r="C269" s="39">
        <f ca="1">IFERROR(__xludf.DUMMYFUNCTION("""COMPUTED_VALUE"""),34500)</f>
        <v>34500</v>
      </c>
      <c r="D269" s="39" t="str">
        <f ca="1">IFERROR(__xludf.DUMMYFUNCTION("""COMPUTED_VALUE"""),"Muscle")</f>
        <v>Muscle</v>
      </c>
      <c r="E269" s="40" t="str">
        <f ca="1">IFERROR(__xludf.DUMMYFUNCTION("""COMPUTED_VALUE"""),"https://docs.fivem.net/vehicles/clique.webp")</f>
        <v>https://docs.fivem.net/vehicles/clique.webp</v>
      </c>
    </row>
    <row r="270" spans="1:5" ht="15.75" customHeight="1" x14ac:dyDescent="0.4">
      <c r="A270" s="38" t="str">
        <f ca="1">IFERROR(__xludf.DUMMYFUNCTION("""COMPUTED_VALUE"""),"clique2")</f>
        <v>clique2</v>
      </c>
      <c r="B270" s="38" t="str">
        <f ca="1">IFERROR(__xludf.DUMMYFUNCTION("""COMPUTED_VALUE"""),"Clique Wagon")</f>
        <v>Clique Wagon</v>
      </c>
      <c r="C270" s="39">
        <f ca="1">IFERROR(__xludf.DUMMYFUNCTION("""COMPUTED_VALUE"""),21000)</f>
        <v>21000</v>
      </c>
      <c r="D270" s="39" t="str">
        <f ca="1">IFERROR(__xludf.DUMMYFUNCTION("""COMPUTED_VALUE"""),"Muscle")</f>
        <v>Muscle</v>
      </c>
      <c r="E270" s="40" t="str">
        <f ca="1">IFERROR(__xludf.DUMMYFUNCTION("""COMPUTED_VALUE"""),"https://docs.fivem.net/vehicles/clique2.webp")</f>
        <v>https://docs.fivem.net/vehicles/clique2.webp</v>
      </c>
    </row>
    <row r="271" spans="1:5" ht="15.75" customHeight="1" x14ac:dyDescent="0.4">
      <c r="A271" s="38" t="str">
        <f ca="1">IFERROR(__xludf.DUMMYFUNCTION("""COMPUTED_VALUE"""),"deviant")</f>
        <v>deviant</v>
      </c>
      <c r="B271" s="38" t="str">
        <f ca="1">IFERROR(__xludf.DUMMYFUNCTION("""COMPUTED_VALUE"""),"Deviant")</f>
        <v>Deviant</v>
      </c>
      <c r="C271" s="39">
        <f ca="1">IFERROR(__xludf.DUMMYFUNCTION("""COMPUTED_VALUE"""),46000)</f>
        <v>46000</v>
      </c>
      <c r="D271" s="39" t="str">
        <f ca="1">IFERROR(__xludf.DUMMYFUNCTION("""COMPUTED_VALUE"""),"Muscle")</f>
        <v>Muscle</v>
      </c>
      <c r="E271" s="40" t="str">
        <f ca="1">IFERROR(__xludf.DUMMYFUNCTION("""COMPUTED_VALUE"""),"https://docs.fivem.net/vehicles/deviant.webp")</f>
        <v>https://docs.fivem.net/vehicles/deviant.webp</v>
      </c>
    </row>
    <row r="272" spans="1:5" ht="15.75" customHeight="1" x14ac:dyDescent="0.4">
      <c r="A272" s="38" t="str">
        <f ca="1">IFERROR(__xludf.DUMMYFUNCTION("""COMPUTED_VALUE"""),"dominator")</f>
        <v>dominator</v>
      </c>
      <c r="B272" s="38" t="str">
        <f ca="1">IFERROR(__xludf.DUMMYFUNCTION("""COMPUTED_VALUE"""),"Dominator")</f>
        <v>Dominator</v>
      </c>
      <c r="C272" s="39">
        <f ca="1">IFERROR(__xludf.DUMMYFUNCTION("""COMPUTED_VALUE"""),56500)</f>
        <v>56500</v>
      </c>
      <c r="D272" s="39" t="str">
        <f ca="1">IFERROR(__xludf.DUMMYFUNCTION("""COMPUTED_VALUE"""),"Muscle")</f>
        <v>Muscle</v>
      </c>
      <c r="E272" s="40" t="str">
        <f ca="1">IFERROR(__xludf.DUMMYFUNCTION("""COMPUTED_VALUE"""),"https://docs.fivem.net/vehicles/dominator.webp")</f>
        <v>https://docs.fivem.net/vehicles/dominator.webp</v>
      </c>
    </row>
    <row r="273" spans="1:5" ht="15.75" customHeight="1" x14ac:dyDescent="0.4">
      <c r="A273" s="38" t="str">
        <f ca="1">IFERROR(__xludf.DUMMYFUNCTION("""COMPUTED_VALUE"""),"dominator2")</f>
        <v>dominator2</v>
      </c>
      <c r="B273" s="38" t="str">
        <f ca="1">IFERROR(__xludf.DUMMYFUNCTION("""COMPUTED_VALUE"""),"Dominator Pibwasser")</f>
        <v>Dominator Pibwasser</v>
      </c>
      <c r="C273" s="39">
        <f ca="1">IFERROR(__xludf.DUMMYFUNCTION("""COMPUTED_VALUE"""),58000)</f>
        <v>58000</v>
      </c>
      <c r="D273" s="39" t="str">
        <f ca="1">IFERROR(__xludf.DUMMYFUNCTION("""COMPUTED_VALUE"""),"Muscle")</f>
        <v>Muscle</v>
      </c>
      <c r="E273" s="40" t="str">
        <f ca="1">IFERROR(__xludf.DUMMYFUNCTION("""COMPUTED_VALUE"""),"https://docs.fivem.net/vehicles/dominator2.webp")</f>
        <v>https://docs.fivem.net/vehicles/dominator2.webp</v>
      </c>
    </row>
    <row r="274" spans="1:5" ht="15.75" customHeight="1" x14ac:dyDescent="0.4">
      <c r="A274" s="38" t="str">
        <f ca="1">IFERROR(__xludf.DUMMYFUNCTION("""COMPUTED_VALUE"""),"dominator3")</f>
        <v>dominator3</v>
      </c>
      <c r="B274" s="38" t="str">
        <f ca="1">IFERROR(__xludf.DUMMYFUNCTION("""COMPUTED_VALUE"""),"Dominator GTX")</f>
        <v>Dominator GTX</v>
      </c>
      <c r="C274" s="39">
        <f ca="1">IFERROR(__xludf.DUMMYFUNCTION("""COMPUTED_VALUE"""),54000)</f>
        <v>54000</v>
      </c>
      <c r="D274" s="39" t="str">
        <f ca="1">IFERROR(__xludf.DUMMYFUNCTION("""COMPUTED_VALUE"""),"Muscle")</f>
        <v>Muscle</v>
      </c>
      <c r="E274" s="40" t="str">
        <f ca="1">IFERROR(__xludf.DUMMYFUNCTION("""COMPUTED_VALUE"""),"https://docs.fivem.net/vehicles/dominator3.webp")</f>
        <v>https://docs.fivem.net/vehicles/dominator3.webp</v>
      </c>
    </row>
    <row r="275" spans="1:5" ht="15.75" customHeight="1" x14ac:dyDescent="0.4">
      <c r="A275" s="38" t="str">
        <f ca="1">IFERROR(__xludf.DUMMYFUNCTION("""COMPUTED_VALUE"""),"dominator4")</f>
        <v>dominator4</v>
      </c>
      <c r="B275" s="38" t="str">
        <f ca="1">IFERROR(__xludf.DUMMYFUNCTION("""COMPUTED_VALUE"""),"Dominator Arena")</f>
        <v>Dominator Arena</v>
      </c>
      <c r="C275" s="39">
        <f ca="1">IFERROR(__xludf.DUMMYFUNCTION("""COMPUTED_VALUE"""),75000)</f>
        <v>75000</v>
      </c>
      <c r="D275" s="39" t="str">
        <f ca="1">IFERROR(__xludf.DUMMYFUNCTION("""COMPUTED_VALUE"""),"Muscle")</f>
        <v>Muscle</v>
      </c>
      <c r="E275" s="40" t="str">
        <f ca="1">IFERROR(__xludf.DUMMYFUNCTION("""COMPUTED_VALUE"""),"https://s2.ezgif.com/tmp/ezgif-2f6de6a1563b402c.webp")</f>
        <v>https://s2.ezgif.com/tmp/ezgif-2f6de6a1563b402c.webp</v>
      </c>
    </row>
    <row r="276" spans="1:5" ht="15.75" customHeight="1" x14ac:dyDescent="0.4">
      <c r="A276" s="38" t="str">
        <f ca="1">IFERROR(__xludf.DUMMYFUNCTION("""COMPUTED_VALUE"""),"dominator7")</f>
        <v>dominator7</v>
      </c>
      <c r="B276" s="38" t="str">
        <f ca="1">IFERROR(__xludf.DUMMYFUNCTION("""COMPUTED_VALUE"""),"Dominator ASP")</f>
        <v>Dominator ASP</v>
      </c>
      <c r="C276" s="39">
        <f ca="1">IFERROR(__xludf.DUMMYFUNCTION("""COMPUTED_VALUE"""),57000)</f>
        <v>57000</v>
      </c>
      <c r="D276" s="39" t="str">
        <f ca="1">IFERROR(__xludf.DUMMYFUNCTION("""COMPUTED_VALUE"""),"Muscle")</f>
        <v>Muscle</v>
      </c>
      <c r="E276" s="40" t="str">
        <f ca="1">IFERROR(__xludf.DUMMYFUNCTION("""COMPUTED_VALUE"""),"https://docs.fivem.net/vehicles/dominator7.webp")</f>
        <v>https://docs.fivem.net/vehicles/dominator7.webp</v>
      </c>
    </row>
    <row r="277" spans="1:5" ht="15.75" customHeight="1" x14ac:dyDescent="0.4">
      <c r="A277" s="38" t="str">
        <f ca="1">IFERROR(__xludf.DUMMYFUNCTION("""COMPUTED_VALUE"""),"dominator8")</f>
        <v>dominator8</v>
      </c>
      <c r="B277" s="38" t="str">
        <f ca="1">IFERROR(__xludf.DUMMYFUNCTION("""COMPUTED_VALUE"""),"Dominator GTT")</f>
        <v>Dominator GTT</v>
      </c>
      <c r="C277" s="39">
        <f ca="1">IFERROR(__xludf.DUMMYFUNCTION("""COMPUTED_VALUE"""),59000)</f>
        <v>59000</v>
      </c>
      <c r="D277" s="39" t="str">
        <f ca="1">IFERROR(__xludf.DUMMYFUNCTION("""COMPUTED_VALUE"""),"Muscle")</f>
        <v>Muscle</v>
      </c>
      <c r="E277" s="40" t="str">
        <f ca="1">IFERROR(__xludf.DUMMYFUNCTION("""COMPUTED_VALUE"""),"https://docs.fivem.net/vehicles/dominator8.webp")</f>
        <v>https://docs.fivem.net/vehicles/dominator8.webp</v>
      </c>
    </row>
    <row r="278" spans="1:5" ht="15.75" customHeight="1" x14ac:dyDescent="0.4">
      <c r="A278" s="38" t="str">
        <f ca="1">IFERROR(__xludf.DUMMYFUNCTION("""COMPUTED_VALUE"""),"dominator9")</f>
        <v>dominator9</v>
      </c>
      <c r="B278" s="38" t="str">
        <f ca="1">IFERROR(__xludf.DUMMYFUNCTION("""COMPUTED_VALUE"""),"Dominator GT")</f>
        <v>Dominator GT</v>
      </c>
      <c r="C278" s="39">
        <f ca="1">IFERROR(__xludf.DUMMYFUNCTION("""COMPUTED_VALUE"""),81000)</f>
        <v>81000</v>
      </c>
      <c r="D278" s="39" t="str">
        <f ca="1">IFERROR(__xludf.DUMMYFUNCTION("""COMPUTED_VALUE"""),"Muscle")</f>
        <v>Muscle</v>
      </c>
      <c r="E278" s="40" t="str">
        <f ca="1">IFERROR(__xludf.DUMMYFUNCTION("""COMPUTED_VALUE"""),"https://docs.fivem.net/vehicles/dominator9.webp")</f>
        <v>https://docs.fivem.net/vehicles/dominator9.webp</v>
      </c>
    </row>
    <row r="279" spans="1:5" ht="15.75" customHeight="1" x14ac:dyDescent="0.4">
      <c r="A279" s="38" t="str">
        <f ca="1">IFERROR(__xludf.DUMMYFUNCTION("""COMPUTED_VALUE"""),"dukes")</f>
        <v>dukes</v>
      </c>
      <c r="B279" s="38" t="str">
        <f ca="1">IFERROR(__xludf.DUMMYFUNCTION("""COMPUTED_VALUE"""),"Dukes")</f>
        <v>Dukes</v>
      </c>
      <c r="C279" s="39">
        <f ca="1">IFERROR(__xludf.DUMMYFUNCTION("""COMPUTED_VALUE"""),25000)</f>
        <v>25000</v>
      </c>
      <c r="D279" s="39" t="str">
        <f ca="1">IFERROR(__xludf.DUMMYFUNCTION("""COMPUTED_VALUE"""),"Muscle")</f>
        <v>Muscle</v>
      </c>
      <c r="E279" s="40" t="str">
        <f ca="1">IFERROR(__xludf.DUMMYFUNCTION("""COMPUTED_VALUE"""),"https://docs.fivem.net/vehicles/dukes.webp")</f>
        <v>https://docs.fivem.net/vehicles/dukes.webp</v>
      </c>
    </row>
    <row r="280" spans="1:5" ht="15.75" customHeight="1" x14ac:dyDescent="0.4">
      <c r="A280" s="38" t="str">
        <f ca="1">IFERROR(__xludf.DUMMYFUNCTION("""COMPUTED_VALUE"""),"dukes3")</f>
        <v>dukes3</v>
      </c>
      <c r="B280" s="38" t="str">
        <f ca="1">IFERROR(__xludf.DUMMYFUNCTION("""COMPUTED_VALUE"""),"Beater Dukes")</f>
        <v>Beater Dukes</v>
      </c>
      <c r="C280" s="39">
        <f ca="1">IFERROR(__xludf.DUMMYFUNCTION("""COMPUTED_VALUE"""),43000)</f>
        <v>43000</v>
      </c>
      <c r="D280" s="39" t="str">
        <f ca="1">IFERROR(__xludf.DUMMYFUNCTION("""COMPUTED_VALUE"""),"Muscle")</f>
        <v>Muscle</v>
      </c>
      <c r="E280" s="40" t="str">
        <f ca="1">IFERROR(__xludf.DUMMYFUNCTION("""COMPUTED_VALUE"""),"https://docs.fivem.net/vehicles/dukes3.webp")</f>
        <v>https://docs.fivem.net/vehicles/dukes3.webp</v>
      </c>
    </row>
    <row r="281" spans="1:5" ht="15.75" customHeight="1" x14ac:dyDescent="0.4">
      <c r="A281" s="38" t="str">
        <f ca="1">IFERROR(__xludf.DUMMYFUNCTION("""COMPUTED_VALUE"""),"ellie")</f>
        <v>ellie</v>
      </c>
      <c r="B281" s="38" t="str">
        <f ca="1">IFERROR(__xludf.DUMMYFUNCTION("""COMPUTED_VALUE"""),"Ellie")</f>
        <v>Ellie</v>
      </c>
      <c r="C281" s="39">
        <f ca="1">IFERROR(__xludf.DUMMYFUNCTION("""COMPUTED_VALUE"""),42500)</f>
        <v>42500</v>
      </c>
      <c r="D281" s="39" t="str">
        <f ca="1">IFERROR(__xludf.DUMMYFUNCTION("""COMPUTED_VALUE"""),"Muscle")</f>
        <v>Muscle</v>
      </c>
      <c r="E281" s="40" t="str">
        <f ca="1">IFERROR(__xludf.DUMMYFUNCTION("""COMPUTED_VALUE"""),"https://docs.fivem.net/vehicles/ellie.webp")</f>
        <v>https://docs.fivem.net/vehicles/ellie.webp</v>
      </c>
    </row>
    <row r="282" spans="1:5" ht="15.75" customHeight="1" x14ac:dyDescent="0.4">
      <c r="A282" s="38" t="str">
        <f ca="1">IFERROR(__xludf.DUMMYFUNCTION("""COMPUTED_VALUE"""),"faction")</f>
        <v>faction</v>
      </c>
      <c r="B282" s="38" t="str">
        <f ca="1">IFERROR(__xludf.DUMMYFUNCTION("""COMPUTED_VALUE"""),"Faction")</f>
        <v>Faction</v>
      </c>
      <c r="C282" s="39">
        <f ca="1">IFERROR(__xludf.DUMMYFUNCTION("""COMPUTED_VALUE"""),27000)</f>
        <v>27000</v>
      </c>
      <c r="D282" s="39" t="str">
        <f ca="1">IFERROR(__xludf.DUMMYFUNCTION("""COMPUTED_VALUE"""),"Muscle")</f>
        <v>Muscle</v>
      </c>
      <c r="E282" s="40" t="str">
        <f ca="1">IFERROR(__xludf.DUMMYFUNCTION("""COMPUTED_VALUE"""),"https://docs.fivem.net/vehicles/faction.webp")</f>
        <v>https://docs.fivem.net/vehicles/faction.webp</v>
      </c>
    </row>
    <row r="283" spans="1:5" ht="15.75" customHeight="1" x14ac:dyDescent="0.4">
      <c r="A283" s="38" t="str">
        <f ca="1">IFERROR(__xludf.DUMMYFUNCTION("""COMPUTED_VALUE"""),"faction2")</f>
        <v>faction2</v>
      </c>
      <c r="B283" s="38" t="str">
        <f ca="1">IFERROR(__xludf.DUMMYFUNCTION("""COMPUTED_VALUE"""),"Faction Rider")</f>
        <v>Faction Rider</v>
      </c>
      <c r="C283" s="39">
        <f ca="1">IFERROR(__xludf.DUMMYFUNCTION("""COMPUTED_VALUE"""),19500)</f>
        <v>19500</v>
      </c>
      <c r="D283" s="39" t="str">
        <f ca="1">IFERROR(__xludf.DUMMYFUNCTION("""COMPUTED_VALUE"""),"Muscle")</f>
        <v>Muscle</v>
      </c>
      <c r="E283" s="40" t="str">
        <f ca="1">IFERROR(__xludf.DUMMYFUNCTION("""COMPUTED_VALUE"""),"https://docs.fivem.net/vehicles/faction2.webp")</f>
        <v>https://docs.fivem.net/vehicles/faction2.webp</v>
      </c>
    </row>
    <row r="284" spans="1:5" ht="15.75" customHeight="1" x14ac:dyDescent="0.4">
      <c r="A284" s="38" t="str">
        <f ca="1">IFERROR(__xludf.DUMMYFUNCTION("""COMPUTED_VALUE"""),"faction3")</f>
        <v>faction3</v>
      </c>
      <c r="B284" s="38" t="str">
        <f ca="1">IFERROR(__xludf.DUMMYFUNCTION("""COMPUTED_VALUE"""),"Faction Custom Donk")</f>
        <v>Faction Custom Donk</v>
      </c>
      <c r="C284" s="39">
        <f ca="1">IFERROR(__xludf.DUMMYFUNCTION("""COMPUTED_VALUE"""),20000)</f>
        <v>20000</v>
      </c>
      <c r="D284" s="39" t="str">
        <f ca="1">IFERROR(__xludf.DUMMYFUNCTION("""COMPUTED_VALUE"""),"Muscle")</f>
        <v>Muscle</v>
      </c>
      <c r="E284" s="40" t="str">
        <f ca="1">IFERROR(__xludf.DUMMYFUNCTION("""COMPUTED_VALUE"""),"https://docs.fivem.net/vehicles/faction3.webp")</f>
        <v>https://docs.fivem.net/vehicles/faction3.webp</v>
      </c>
    </row>
    <row r="285" spans="1:5" ht="15.75" customHeight="1" x14ac:dyDescent="0.4">
      <c r="A285" s="38" t="str">
        <f ca="1">IFERROR(__xludf.DUMMYFUNCTION("""COMPUTED_VALUE"""),"gauntlet")</f>
        <v>gauntlet</v>
      </c>
      <c r="B285" s="38" t="str">
        <f ca="1">IFERROR(__xludf.DUMMYFUNCTION("""COMPUTED_VALUE"""),"Gauntlet")</f>
        <v>Gauntlet</v>
      </c>
      <c r="C285" s="39">
        <f ca="1">IFERROR(__xludf.DUMMYFUNCTION("""COMPUTED_VALUE"""),37500)</f>
        <v>37500</v>
      </c>
      <c r="D285" s="39" t="str">
        <f ca="1">IFERROR(__xludf.DUMMYFUNCTION("""COMPUTED_VALUE"""),"Muscle")</f>
        <v>Muscle</v>
      </c>
      <c r="E285" s="40" t="str">
        <f ca="1">IFERROR(__xludf.DUMMYFUNCTION("""COMPUTED_VALUE"""),"https://docs.fivem.net/vehicles/gauntlet.webp")</f>
        <v>https://docs.fivem.net/vehicles/gauntlet.webp</v>
      </c>
    </row>
    <row r="286" spans="1:5" ht="15.75" customHeight="1" x14ac:dyDescent="0.4">
      <c r="A286" s="38" t="str">
        <f ca="1">IFERROR(__xludf.DUMMYFUNCTION("""COMPUTED_VALUE"""),"gauntlet2")</f>
        <v>gauntlet2</v>
      </c>
      <c r="B286" s="38" t="str">
        <f ca="1">IFERROR(__xludf.DUMMYFUNCTION("""COMPUTED_VALUE"""),"Redwood Gauntlet")</f>
        <v>Redwood Gauntlet</v>
      </c>
      <c r="C286" s="39">
        <f ca="1">IFERROR(__xludf.DUMMYFUNCTION("""COMPUTED_VALUE"""),38500)</f>
        <v>38500</v>
      </c>
      <c r="D286" s="39" t="str">
        <f ca="1">IFERROR(__xludf.DUMMYFUNCTION("""COMPUTED_VALUE"""),"Muscle")</f>
        <v>Muscle</v>
      </c>
      <c r="E286" s="40" t="str">
        <f ca="1">IFERROR(__xludf.DUMMYFUNCTION("""COMPUTED_VALUE"""),"https://docs.fivem.net/vehicles/gauntlet2.webp")</f>
        <v>https://docs.fivem.net/vehicles/gauntlet2.webp</v>
      </c>
    </row>
    <row r="287" spans="1:5" ht="15.75" customHeight="1" x14ac:dyDescent="0.4">
      <c r="A287" s="38" t="str">
        <f ca="1">IFERROR(__xludf.DUMMYFUNCTION("""COMPUTED_VALUE"""),"gauntlet3")</f>
        <v>gauntlet3</v>
      </c>
      <c r="B287" s="38" t="str">
        <f ca="1">IFERROR(__xludf.DUMMYFUNCTION("""COMPUTED_VALUE"""),"Gauntlet Classic")</f>
        <v>Gauntlet Classic</v>
      </c>
      <c r="C287" s="39">
        <f ca="1">IFERROR(__xludf.DUMMYFUNCTION("""COMPUTED_VALUE"""),32000)</f>
        <v>32000</v>
      </c>
      <c r="D287" s="39" t="str">
        <f ca="1">IFERROR(__xludf.DUMMYFUNCTION("""COMPUTED_VALUE"""),"Muscle")</f>
        <v>Muscle</v>
      </c>
      <c r="E287" s="40" t="str">
        <f ca="1">IFERROR(__xludf.DUMMYFUNCTION("""COMPUTED_VALUE"""),"https://docs.fivem.net/vehicles/gauntlet3.webp")</f>
        <v>https://docs.fivem.net/vehicles/gauntlet3.webp</v>
      </c>
    </row>
    <row r="288" spans="1:5" ht="15.75" customHeight="1" x14ac:dyDescent="0.4">
      <c r="A288" s="38" t="str">
        <f ca="1">IFERROR(__xludf.DUMMYFUNCTION("""COMPUTED_VALUE"""),"gauntlet4")</f>
        <v>gauntlet4</v>
      </c>
      <c r="B288" s="38" t="str">
        <f ca="1">IFERROR(__xludf.DUMMYFUNCTION("""COMPUTED_VALUE"""),"Gauntlet Hellfire")</f>
        <v>Gauntlet Hellfire</v>
      </c>
      <c r="C288" s="39">
        <f ca="1">IFERROR(__xludf.DUMMYFUNCTION("""COMPUTED_VALUE"""),78000)</f>
        <v>78000</v>
      </c>
      <c r="D288" s="39" t="str">
        <f ca="1">IFERROR(__xludf.DUMMYFUNCTION("""COMPUTED_VALUE"""),"Muscle")</f>
        <v>Muscle</v>
      </c>
      <c r="E288" s="40" t="str">
        <f ca="1">IFERROR(__xludf.DUMMYFUNCTION("""COMPUTED_VALUE"""),"https://docs.fivem.net/vehicles/gauntlet4.webp")</f>
        <v>https://docs.fivem.net/vehicles/gauntlet4.webp</v>
      </c>
    </row>
    <row r="289" spans="1:5" ht="15.75" customHeight="1" x14ac:dyDescent="0.4">
      <c r="A289" s="38" t="str">
        <f ca="1">IFERROR(__xludf.DUMMYFUNCTION("""COMPUTED_VALUE"""),"gauntlet5")</f>
        <v>gauntlet5</v>
      </c>
      <c r="B289" s="38" t="str">
        <f ca="1">IFERROR(__xludf.DUMMYFUNCTION("""COMPUTED_VALUE"""),"Gauntlet Classic Custom")</f>
        <v>Gauntlet Classic Custom</v>
      </c>
      <c r="C289" s="39">
        <f ca="1">IFERROR(__xludf.DUMMYFUNCTION("""COMPUTED_VALUE"""),64500)</f>
        <v>64500</v>
      </c>
      <c r="D289" s="39" t="str">
        <f ca="1">IFERROR(__xludf.DUMMYFUNCTION("""COMPUTED_VALUE"""),"Muscle")</f>
        <v>Muscle</v>
      </c>
      <c r="E289" s="40" t="str">
        <f ca="1">IFERROR(__xludf.DUMMYFUNCTION("""COMPUTED_VALUE"""),"https://docs.fivem.net/vehicles/gauntlet5.webp")</f>
        <v>https://docs.fivem.net/vehicles/gauntlet5.webp</v>
      </c>
    </row>
    <row r="290" spans="1:5" ht="15.75" customHeight="1" x14ac:dyDescent="0.4">
      <c r="A290" s="38" t="str">
        <f ca="1">IFERROR(__xludf.DUMMYFUNCTION("""COMPUTED_VALUE"""),"greenwood")</f>
        <v>greenwood</v>
      </c>
      <c r="B290" s="38" t="str">
        <f ca="1">IFERROR(__xludf.DUMMYFUNCTION("""COMPUTED_VALUE"""),"Greenwood")</f>
        <v>Greenwood</v>
      </c>
      <c r="C290" s="39">
        <f ca="1">IFERROR(__xludf.DUMMYFUNCTION("""COMPUTED_VALUE"""),43000)</f>
        <v>43000</v>
      </c>
      <c r="D290" s="39" t="str">
        <f ca="1">IFERROR(__xludf.DUMMYFUNCTION("""COMPUTED_VALUE"""),"Muscle")</f>
        <v>Muscle</v>
      </c>
      <c r="E290" s="40" t="str">
        <f ca="1">IFERROR(__xludf.DUMMYFUNCTION("""COMPUTED_VALUE"""),"https://docs.fivem.net/vehicles/greenwood.webp")</f>
        <v>https://docs.fivem.net/vehicles/greenwood.webp</v>
      </c>
    </row>
    <row r="291" spans="1:5" ht="15.75" customHeight="1" x14ac:dyDescent="0.4">
      <c r="A291" s="38" t="str">
        <f ca="1">IFERROR(__xludf.DUMMYFUNCTION("""COMPUTED_VALUE"""),"hermes")</f>
        <v>hermes</v>
      </c>
      <c r="B291" s="38" t="str">
        <f ca="1">IFERROR(__xludf.DUMMYFUNCTION("""COMPUTED_VALUE"""),"Hermes")</f>
        <v>Hermes</v>
      </c>
      <c r="C291" s="39">
        <f ca="1">IFERROR(__xludf.DUMMYFUNCTION("""COMPUTED_VALUE"""),33500)</f>
        <v>33500</v>
      </c>
      <c r="D291" s="39" t="str">
        <f ca="1">IFERROR(__xludf.DUMMYFUNCTION("""COMPUTED_VALUE"""),"Muscle")</f>
        <v>Muscle</v>
      </c>
      <c r="E291" s="40" t="str">
        <f ca="1">IFERROR(__xludf.DUMMYFUNCTION("""COMPUTED_VALUE"""),"https://docs.fivem.net/vehicles/hermes.webp")</f>
        <v>https://docs.fivem.net/vehicles/hermes.webp</v>
      </c>
    </row>
    <row r="292" spans="1:5" ht="15.75" customHeight="1" x14ac:dyDescent="0.4">
      <c r="A292" s="38" t="str">
        <f ca="1">IFERROR(__xludf.DUMMYFUNCTION("""COMPUTED_VALUE"""),"hotknife")</f>
        <v>hotknife</v>
      </c>
      <c r="B292" s="38" t="str">
        <f ca="1">IFERROR(__xludf.DUMMYFUNCTION("""COMPUTED_VALUE"""),"Hotknife")</f>
        <v>Hotknife</v>
      </c>
      <c r="C292" s="39">
        <f ca="1">IFERROR(__xludf.DUMMYFUNCTION("""COMPUTED_VALUE"""),68000)</f>
        <v>68000</v>
      </c>
      <c r="D292" s="39" t="str">
        <f ca="1">IFERROR(__xludf.DUMMYFUNCTION("""COMPUTED_VALUE"""),"Muscle")</f>
        <v>Muscle</v>
      </c>
      <c r="E292" s="40" t="str">
        <f ca="1">IFERROR(__xludf.DUMMYFUNCTION("""COMPUTED_VALUE"""),"https://docs.fivem.net/vehicles/hotknife.webp")</f>
        <v>https://docs.fivem.net/vehicles/hotknife.webp</v>
      </c>
    </row>
    <row r="293" spans="1:5" ht="15.75" customHeight="1" x14ac:dyDescent="0.4">
      <c r="A293" s="38" t="str">
        <f ca="1">IFERROR(__xludf.DUMMYFUNCTION("""COMPUTED_VALUE"""),"hustler")</f>
        <v>hustler</v>
      </c>
      <c r="B293" s="38" t="str">
        <f ca="1">IFERROR(__xludf.DUMMYFUNCTION("""COMPUTED_VALUE"""),"Hustler")</f>
        <v>Hustler</v>
      </c>
      <c r="C293" s="39">
        <f ca="1">IFERROR(__xludf.DUMMYFUNCTION("""COMPUTED_VALUE"""),63500)</f>
        <v>63500</v>
      </c>
      <c r="D293" s="39" t="str">
        <f ca="1">IFERROR(__xludf.DUMMYFUNCTION("""COMPUTED_VALUE"""),"Muscle")</f>
        <v>Muscle</v>
      </c>
      <c r="E293" s="40" t="str">
        <f ca="1">IFERROR(__xludf.DUMMYFUNCTION("""COMPUTED_VALUE"""),"https://docs.fivem.net/vehicles/hustler.webp")</f>
        <v>https://docs.fivem.net/vehicles/hustler.webp</v>
      </c>
    </row>
    <row r="294" spans="1:5" ht="15.75" customHeight="1" x14ac:dyDescent="0.4">
      <c r="A294" s="38" t="str">
        <f ca="1">IFERROR(__xludf.DUMMYFUNCTION("""COMPUTED_VALUE"""),"impaler")</f>
        <v>impaler</v>
      </c>
      <c r="B294" s="38" t="str">
        <f ca="1">IFERROR(__xludf.DUMMYFUNCTION("""COMPUTED_VALUE"""),"Impaler")</f>
        <v>Impaler</v>
      </c>
      <c r="C294" s="39">
        <f ca="1">IFERROR(__xludf.DUMMYFUNCTION("""COMPUTED_VALUE"""),32000)</f>
        <v>32000</v>
      </c>
      <c r="D294" s="39" t="str">
        <f ca="1">IFERROR(__xludf.DUMMYFUNCTION("""COMPUTED_VALUE"""),"Muscle")</f>
        <v>Muscle</v>
      </c>
      <c r="E294" s="40" t="str">
        <f ca="1">IFERROR(__xludf.DUMMYFUNCTION("""COMPUTED_VALUE"""),"https://docs.fivem.net/vehicles/impaler.webp")</f>
        <v>https://docs.fivem.net/vehicles/impaler.webp</v>
      </c>
    </row>
    <row r="295" spans="1:5" ht="15.75" customHeight="1" x14ac:dyDescent="0.4">
      <c r="A295" s="38" t="str">
        <f ca="1">IFERROR(__xludf.DUMMYFUNCTION("""COMPUTED_VALUE"""),"impaler2")</f>
        <v>impaler2</v>
      </c>
      <c r="B295" s="38" t="str">
        <f ca="1">IFERROR(__xludf.DUMMYFUNCTION("""COMPUTED_VALUE"""),"Impaler Arena")</f>
        <v>Impaler Arena</v>
      </c>
      <c r="C295" s="39">
        <f ca="1">IFERROR(__xludf.DUMMYFUNCTION("""COMPUTED_VALUE"""),36000)</f>
        <v>36000</v>
      </c>
      <c r="D295" s="39" t="str">
        <f ca="1">IFERROR(__xludf.DUMMYFUNCTION("""COMPUTED_VALUE"""),"Muscle")</f>
        <v>Muscle</v>
      </c>
      <c r="E295" s="40" t="str">
        <f ca="1">IFERROR(__xludf.DUMMYFUNCTION("""COMPUTED_VALUE"""),"https://docs.fivem.net/vehicles/impaler2.webp")</f>
        <v>https://docs.fivem.net/vehicles/impaler2.webp</v>
      </c>
    </row>
    <row r="296" spans="1:5" ht="15.75" customHeight="1" x14ac:dyDescent="0.4">
      <c r="A296" s="38" t="str">
        <f ca="1">IFERROR(__xludf.DUMMYFUNCTION("""COMPUTED_VALUE"""),"impaler3")</f>
        <v>impaler3</v>
      </c>
      <c r="B296" s="38" t="str">
        <f ca="1">IFERROR(__xludf.DUMMYFUNCTION("""COMPUTED_VALUE"""),"Impaler Future Shock")</f>
        <v>Impaler Future Shock</v>
      </c>
      <c r="C296" s="39">
        <f ca="1">IFERROR(__xludf.DUMMYFUNCTION("""COMPUTED_VALUE"""),36500)</f>
        <v>36500</v>
      </c>
      <c r="D296" s="39" t="str">
        <f ca="1">IFERROR(__xludf.DUMMYFUNCTION("""COMPUTED_VALUE"""),"Muscle")</f>
        <v>Muscle</v>
      </c>
      <c r="E296" s="40" t="str">
        <f ca="1">IFERROR(__xludf.DUMMYFUNCTION("""COMPUTED_VALUE"""),"https://docs.fivem.net/vehicles/impaler3.webp")</f>
        <v>https://docs.fivem.net/vehicles/impaler3.webp</v>
      </c>
    </row>
    <row r="297" spans="1:5" ht="15.75" customHeight="1" x14ac:dyDescent="0.4">
      <c r="A297" s="38" t="str">
        <f ca="1">IFERROR(__xludf.DUMMYFUNCTION("""COMPUTED_VALUE"""),"impaler4")</f>
        <v>impaler4</v>
      </c>
      <c r="B297" s="38" t="str">
        <f ca="1">IFERROR(__xludf.DUMMYFUNCTION("""COMPUTED_VALUE"""),"Impaler Nightmare")</f>
        <v>Impaler Nightmare</v>
      </c>
      <c r="C297" s="39">
        <f ca="1">IFERROR(__xludf.DUMMYFUNCTION("""COMPUTED_VALUE"""),38000)</f>
        <v>38000</v>
      </c>
      <c r="D297" s="39" t="str">
        <f ca="1">IFERROR(__xludf.DUMMYFUNCTION("""COMPUTED_VALUE"""),"Muscle")</f>
        <v>Muscle</v>
      </c>
      <c r="E297" s="40" t="str">
        <f ca="1">IFERROR(__xludf.DUMMYFUNCTION("""COMPUTED_VALUE"""),"https://docs.fivem.net/vehicles/impaler4.webp")</f>
        <v>https://docs.fivem.net/vehicles/impaler4.webp</v>
      </c>
    </row>
    <row r="298" spans="1:5" ht="15.75" customHeight="1" x14ac:dyDescent="0.4">
      <c r="A298" s="38" t="str">
        <f ca="1">IFERROR(__xludf.DUMMYFUNCTION("""COMPUTED_VALUE"""),"impaler6")</f>
        <v>impaler6</v>
      </c>
      <c r="B298" s="38" t="str">
        <f ca="1">IFERROR(__xludf.DUMMYFUNCTION("""COMPUTED_VALUE"""),"Impaler LX")</f>
        <v>Impaler LX</v>
      </c>
      <c r="C298" s="39">
        <f ca="1">IFERROR(__xludf.DUMMYFUNCTION("""COMPUTED_VALUE"""),36000)</f>
        <v>36000</v>
      </c>
      <c r="D298" s="39" t="str">
        <f ca="1">IFERROR(__xludf.DUMMYFUNCTION("""COMPUTED_VALUE"""),"Muscle")</f>
        <v>Muscle</v>
      </c>
      <c r="E298" s="40" t="str">
        <f ca="1">IFERROR(__xludf.DUMMYFUNCTION("""COMPUTED_VALUE"""),"https://docs.fivem.net/vehicles/impaler6.webp")</f>
        <v>https://docs.fivem.net/vehicles/impaler6.webp</v>
      </c>
    </row>
    <row r="299" spans="1:5" ht="15.75" customHeight="1" x14ac:dyDescent="0.4">
      <c r="A299" s="38" t="str">
        <f ca="1">IFERROR(__xludf.DUMMYFUNCTION("""COMPUTED_VALUE"""),"imperator")</f>
        <v>imperator</v>
      </c>
      <c r="B299" s="38" t="str">
        <f ca="1">IFERROR(__xludf.DUMMYFUNCTION("""COMPUTED_VALUE"""),"Imperator Arena")</f>
        <v>Imperator Arena</v>
      </c>
      <c r="C299" s="39">
        <f ca="1">IFERROR(__xludf.DUMMYFUNCTION("""COMPUTED_VALUE"""),36500)</f>
        <v>36500</v>
      </c>
      <c r="D299" s="39" t="str">
        <f ca="1">IFERROR(__xludf.DUMMYFUNCTION("""COMPUTED_VALUE"""),"Muscle")</f>
        <v>Muscle</v>
      </c>
      <c r="E299" s="40" t="str">
        <f ca="1">IFERROR(__xludf.DUMMYFUNCTION("""COMPUTED_VALUE"""),"https://docs.fivem.net/vehicles/imperator.webp")</f>
        <v>https://docs.fivem.net/vehicles/imperator.webp</v>
      </c>
    </row>
    <row r="300" spans="1:5" ht="15.75" customHeight="1" x14ac:dyDescent="0.4">
      <c r="A300" s="38" t="str">
        <f ca="1">IFERROR(__xludf.DUMMYFUNCTION("""COMPUTED_VALUE"""),"imperator2")</f>
        <v>imperator2</v>
      </c>
      <c r="B300" s="38" t="str">
        <f ca="1">IFERROR(__xludf.DUMMYFUNCTION("""COMPUTED_VALUE"""),"imperator Future Shock")</f>
        <v>imperator Future Shock</v>
      </c>
      <c r="C300" s="39">
        <f ca="1">IFERROR(__xludf.DUMMYFUNCTION("""COMPUTED_VALUE"""),38500)</f>
        <v>38500</v>
      </c>
      <c r="D300" s="39" t="str">
        <f ca="1">IFERROR(__xludf.DUMMYFUNCTION("""COMPUTED_VALUE"""),"Muscle")</f>
        <v>Muscle</v>
      </c>
      <c r="E300" s="40" t="str">
        <f ca="1">IFERROR(__xludf.DUMMYFUNCTION("""COMPUTED_VALUE"""),"https://docs.fivem.net/vehicles/imperator2.webp")</f>
        <v>https://docs.fivem.net/vehicles/imperator2.webp</v>
      </c>
    </row>
    <row r="301" spans="1:5" ht="15.75" customHeight="1" x14ac:dyDescent="0.4">
      <c r="A301" s="38" t="str">
        <f ca="1">IFERROR(__xludf.DUMMYFUNCTION("""COMPUTED_VALUE"""),"imperator3")</f>
        <v>imperator3</v>
      </c>
      <c r="B301" s="38" t="str">
        <f ca="1">IFERROR(__xludf.DUMMYFUNCTION("""COMPUTED_VALUE"""),"Imperator Nightmare")</f>
        <v>Imperator Nightmare</v>
      </c>
      <c r="C301" s="39">
        <f ca="1">IFERROR(__xludf.DUMMYFUNCTION("""COMPUTED_VALUE"""),40000)</f>
        <v>40000</v>
      </c>
      <c r="D301" s="39" t="str">
        <f ca="1">IFERROR(__xludf.DUMMYFUNCTION("""COMPUTED_VALUE"""),"Muscle")</f>
        <v>Muscle</v>
      </c>
      <c r="E301" s="40" t="str">
        <f ca="1">IFERROR(__xludf.DUMMYFUNCTION("""COMPUTED_VALUE"""),"https://docs.fivem.net/vehicles/imperator3.webp")</f>
        <v>https://docs.fivem.net/vehicles/imperator3.webp</v>
      </c>
    </row>
    <row r="302" spans="1:5" ht="15.75" customHeight="1" x14ac:dyDescent="0.4">
      <c r="A302" s="38" t="str">
        <f ca="1">IFERROR(__xludf.DUMMYFUNCTION("""COMPUTED_VALUE"""),"lurcher")</f>
        <v>lurcher</v>
      </c>
      <c r="B302" s="38" t="str">
        <f ca="1">IFERROR(__xludf.DUMMYFUNCTION("""COMPUTED_VALUE"""),"Lurcher")</f>
        <v>Lurcher</v>
      </c>
      <c r="C302" s="39">
        <f ca="1">IFERROR(__xludf.DUMMYFUNCTION("""COMPUTED_VALUE"""),25000)</f>
        <v>25000</v>
      </c>
      <c r="D302" s="39" t="str">
        <f ca="1">IFERROR(__xludf.DUMMYFUNCTION("""COMPUTED_VALUE"""),"Muscle")</f>
        <v>Muscle</v>
      </c>
      <c r="E302" s="40" t="str">
        <f ca="1">IFERROR(__xludf.DUMMYFUNCTION("""COMPUTED_VALUE"""),"https://docs.fivem.net/vehicles/lurcher.webp")</f>
        <v>https://docs.fivem.net/vehicles/lurcher.webp</v>
      </c>
    </row>
    <row r="303" spans="1:5" ht="15.75" customHeight="1" x14ac:dyDescent="0.4">
      <c r="A303" s="38" t="str">
        <f ca="1">IFERROR(__xludf.DUMMYFUNCTION("""COMPUTED_VALUE"""),"manana")</f>
        <v>manana</v>
      </c>
      <c r="B303" s="38" t="str">
        <f ca="1">IFERROR(__xludf.DUMMYFUNCTION("""COMPUTED_VALUE"""),"Manana")</f>
        <v>Manana</v>
      </c>
      <c r="C303" s="39">
        <f ca="1">IFERROR(__xludf.DUMMYFUNCTION("""COMPUTED_VALUE"""),12500)</f>
        <v>12500</v>
      </c>
      <c r="D303" s="39" t="str">
        <f ca="1">IFERROR(__xludf.DUMMYFUNCTION("""COMPUTED_VALUE"""),"Muscle")</f>
        <v>Muscle</v>
      </c>
      <c r="E303" s="40" t="str">
        <f ca="1">IFERROR(__xludf.DUMMYFUNCTION("""COMPUTED_VALUE"""),"https://docs.fivem.net/vehicles/manana.webp")</f>
        <v>https://docs.fivem.net/vehicles/manana.webp</v>
      </c>
    </row>
    <row r="304" spans="1:5" ht="15.75" customHeight="1" x14ac:dyDescent="0.4">
      <c r="A304" s="38" t="str">
        <f ca="1">IFERROR(__xludf.DUMMYFUNCTION("""COMPUTED_VALUE"""),"manana2")</f>
        <v>manana2</v>
      </c>
      <c r="B304" s="38" t="str">
        <f ca="1">IFERROR(__xludf.DUMMYFUNCTION("""COMPUTED_VALUE"""),"Manana Custom")</f>
        <v>Manana Custom</v>
      </c>
      <c r="C304" s="39">
        <f ca="1">IFERROR(__xludf.DUMMYFUNCTION("""COMPUTED_VALUE"""),18000)</f>
        <v>18000</v>
      </c>
      <c r="D304" s="39" t="str">
        <f ca="1">IFERROR(__xludf.DUMMYFUNCTION("""COMPUTED_VALUE"""),"Muscle")</f>
        <v>Muscle</v>
      </c>
      <c r="E304" s="40" t="str">
        <f ca="1">IFERROR(__xludf.DUMMYFUNCTION("""COMPUTED_VALUE"""),"https://docs.fivem.net/vehicles/manana2.webp")</f>
        <v>https://docs.fivem.net/vehicles/manana2.webp</v>
      </c>
    </row>
    <row r="305" spans="1:5" ht="15.75" customHeight="1" x14ac:dyDescent="0.4">
      <c r="A305" s="38" t="str">
        <f ca="1">IFERROR(__xludf.DUMMYFUNCTION("""COMPUTED_VALUE"""),"nightshade")</f>
        <v>nightshade</v>
      </c>
      <c r="B305" s="38" t="str">
        <f ca="1">IFERROR(__xludf.DUMMYFUNCTION("""COMPUTED_VALUE"""),"Nightshade")</f>
        <v>Nightshade</v>
      </c>
      <c r="C305" s="39">
        <f ca="1">IFERROR(__xludf.DUMMYFUNCTION("""COMPUTED_VALUE"""),42000)</f>
        <v>42000</v>
      </c>
      <c r="D305" s="39" t="str">
        <f ca="1">IFERROR(__xludf.DUMMYFUNCTION("""COMPUTED_VALUE"""),"Muscle")</f>
        <v>Muscle</v>
      </c>
      <c r="E305" s="40" t="str">
        <f ca="1">IFERROR(__xludf.DUMMYFUNCTION("""COMPUTED_VALUE"""),"https://docs.fivem.net/vehicles/nightshade.webp")</f>
        <v>https://docs.fivem.net/vehicles/nightshade.webp</v>
      </c>
    </row>
    <row r="306" spans="1:5" ht="15.75" customHeight="1" x14ac:dyDescent="0.4">
      <c r="A306" s="38" t="str">
        <f ca="1">IFERROR(__xludf.DUMMYFUNCTION("""COMPUTED_VALUE"""),"phoenix")</f>
        <v>phoenix</v>
      </c>
      <c r="B306" s="38" t="str">
        <f ca="1">IFERROR(__xludf.DUMMYFUNCTION("""COMPUTED_VALUE"""),"Phoenix")</f>
        <v>Phoenix</v>
      </c>
      <c r="C306" s="39">
        <f ca="1">IFERROR(__xludf.DUMMYFUNCTION("""COMPUTED_VALUE"""),47500)</f>
        <v>47500</v>
      </c>
      <c r="D306" s="39" t="str">
        <f ca="1">IFERROR(__xludf.DUMMYFUNCTION("""COMPUTED_VALUE"""),"Muscle")</f>
        <v>Muscle</v>
      </c>
      <c r="E306" s="40" t="str">
        <f ca="1">IFERROR(__xludf.DUMMYFUNCTION("""COMPUTED_VALUE"""),"https://docs.fivem.net/vehicles/phoenix.webp")</f>
        <v>https://docs.fivem.net/vehicles/phoenix.webp</v>
      </c>
    </row>
    <row r="307" spans="1:5" ht="15.75" customHeight="1" x14ac:dyDescent="0.4">
      <c r="A307" s="38" t="str">
        <f ca="1">IFERROR(__xludf.DUMMYFUNCTION("""COMPUTED_VALUE"""),"picador")</f>
        <v>picador</v>
      </c>
      <c r="B307" s="38" t="str">
        <f ca="1">IFERROR(__xludf.DUMMYFUNCTION("""COMPUTED_VALUE"""),"Picador")</f>
        <v>Picador</v>
      </c>
      <c r="C307" s="39">
        <f ca="1">IFERROR(__xludf.DUMMYFUNCTION("""COMPUTED_VALUE"""),4200)</f>
        <v>4200</v>
      </c>
      <c r="D307" s="39" t="str">
        <f ca="1">IFERROR(__xludf.DUMMYFUNCTION("""COMPUTED_VALUE"""),"Muscle")</f>
        <v>Muscle</v>
      </c>
      <c r="E307" s="40" t="str">
        <f ca="1">IFERROR(__xludf.DUMMYFUNCTION("""COMPUTED_VALUE"""),"https://docs.fivem.net/vehicles/picador.webp")</f>
        <v>https://docs.fivem.net/vehicles/picador.webp</v>
      </c>
    </row>
    <row r="308" spans="1:5" ht="15.75" customHeight="1" x14ac:dyDescent="0.4">
      <c r="A308" s="38" t="str">
        <f ca="1">IFERROR(__xludf.DUMMYFUNCTION("""COMPUTED_VALUE"""),"ratloader2")</f>
        <v>ratloader2</v>
      </c>
      <c r="B308" s="38" t="str">
        <f ca="1">IFERROR(__xludf.DUMMYFUNCTION("""COMPUTED_VALUE"""),"Ratloader")</f>
        <v>Ratloader</v>
      </c>
      <c r="C308" s="39">
        <f ca="1">IFERROR(__xludf.DUMMYFUNCTION("""COMPUTED_VALUE"""),4500)</f>
        <v>4500</v>
      </c>
      <c r="D308" s="39" t="str">
        <f ca="1">IFERROR(__xludf.DUMMYFUNCTION("""COMPUTED_VALUE"""),"Muscle")</f>
        <v>Muscle</v>
      </c>
      <c r="E308" s="40" t="str">
        <f ca="1">IFERROR(__xludf.DUMMYFUNCTION("""COMPUTED_VALUE"""),"https://docs.fivem.net/vehicles/ratloader2.webp")</f>
        <v>https://docs.fivem.net/vehicles/ratloader2.webp</v>
      </c>
    </row>
    <row r="309" spans="1:5" ht="15.75" customHeight="1" x14ac:dyDescent="0.4">
      <c r="A309" s="38" t="str">
        <f ca="1">IFERROR(__xludf.DUMMYFUNCTION("""COMPUTED_VALUE"""),"ruiner")</f>
        <v>ruiner</v>
      </c>
      <c r="B309" s="38" t="str">
        <f ca="1">IFERROR(__xludf.DUMMYFUNCTION("""COMPUTED_VALUE"""),"Ruiner")</f>
        <v>Ruiner</v>
      </c>
      <c r="C309" s="39">
        <f ca="1">IFERROR(__xludf.DUMMYFUNCTION("""COMPUTED_VALUE"""),38000)</f>
        <v>38000</v>
      </c>
      <c r="D309" s="39" t="str">
        <f ca="1">IFERROR(__xludf.DUMMYFUNCTION("""COMPUTED_VALUE"""),"Muscle")</f>
        <v>Muscle</v>
      </c>
      <c r="E309" s="40" t="str">
        <f ca="1">IFERROR(__xludf.DUMMYFUNCTION("""COMPUTED_VALUE"""),"https://docs.fivem.net/vehicles/ruiner.webp")</f>
        <v>https://docs.fivem.net/vehicles/ruiner.webp</v>
      </c>
    </row>
    <row r="310" spans="1:5" ht="15.75" customHeight="1" x14ac:dyDescent="0.4">
      <c r="A310" s="38" t="str">
        <f ca="1">IFERROR(__xludf.DUMMYFUNCTION("""COMPUTED_VALUE"""),"ruiner4")</f>
        <v>ruiner4</v>
      </c>
      <c r="B310" s="38" t="str">
        <f ca="1">IFERROR(__xludf.DUMMYFUNCTION("""COMPUTED_VALUE"""),"Ruiner ZZ-8")</f>
        <v>Ruiner ZZ-8</v>
      </c>
      <c r="C310" s="39">
        <f ca="1">IFERROR(__xludf.DUMMYFUNCTION("""COMPUTED_VALUE"""),42000)</f>
        <v>42000</v>
      </c>
      <c r="D310" s="39" t="str">
        <f ca="1">IFERROR(__xludf.DUMMYFUNCTION("""COMPUTED_VALUE"""),"Muscle")</f>
        <v>Muscle</v>
      </c>
      <c r="E310" s="40" t="str">
        <f ca="1">IFERROR(__xludf.DUMMYFUNCTION("""COMPUTED_VALUE"""),"https://docs.fivem.net/vehicles/ruiner4.webp")</f>
        <v>https://docs.fivem.net/vehicles/ruiner4.webp</v>
      </c>
    </row>
    <row r="311" spans="1:5" ht="15.75" customHeight="1" x14ac:dyDescent="0.4">
      <c r="A311" s="38" t="str">
        <f ca="1">IFERROR(__xludf.DUMMYFUNCTION("""COMPUTED_VALUE"""),"sabregt")</f>
        <v>sabregt</v>
      </c>
      <c r="B311" s="38" t="str">
        <f ca="1">IFERROR(__xludf.DUMMYFUNCTION("""COMPUTED_VALUE"""),"Sabre GT")</f>
        <v>Sabre GT</v>
      </c>
      <c r="C311" s="39">
        <f ca="1">IFERROR(__xludf.DUMMYFUNCTION("""COMPUTED_VALUE"""),29500)</f>
        <v>29500</v>
      </c>
      <c r="D311" s="39" t="str">
        <f ca="1">IFERROR(__xludf.DUMMYFUNCTION("""COMPUTED_VALUE"""),"Muscle")</f>
        <v>Muscle</v>
      </c>
      <c r="E311" s="40" t="str">
        <f ca="1">IFERROR(__xludf.DUMMYFUNCTION("""COMPUTED_VALUE"""),"https://docs.fivem.net/vehicles/sabregt.webp")</f>
        <v>https://docs.fivem.net/vehicles/sabregt.webp</v>
      </c>
    </row>
    <row r="312" spans="1:5" ht="15.75" customHeight="1" x14ac:dyDescent="0.4">
      <c r="A312" s="38" t="str">
        <f ca="1">IFERROR(__xludf.DUMMYFUNCTION("""COMPUTED_VALUE"""),"sabregt2")</f>
        <v>sabregt2</v>
      </c>
      <c r="B312" s="38" t="str">
        <f ca="1">IFERROR(__xludf.DUMMYFUNCTION("""COMPUTED_VALUE"""),"Sabre GT Turbo")</f>
        <v>Sabre GT Turbo</v>
      </c>
      <c r="C312" s="39">
        <f ca="1">IFERROR(__xludf.DUMMYFUNCTION("""COMPUTED_VALUE"""),31500)</f>
        <v>31500</v>
      </c>
      <c r="D312" s="39" t="str">
        <f ca="1">IFERROR(__xludf.DUMMYFUNCTION("""COMPUTED_VALUE"""),"Muscle")</f>
        <v>Muscle</v>
      </c>
      <c r="E312" s="40" t="str">
        <f ca="1">IFERROR(__xludf.DUMMYFUNCTION("""COMPUTED_VALUE"""),"https://docs.fivem.net/vehicles/sabregt2.webp")</f>
        <v>https://docs.fivem.net/vehicles/sabregt2.webp</v>
      </c>
    </row>
    <row r="313" spans="1:5" ht="15.75" customHeight="1" x14ac:dyDescent="0.4">
      <c r="A313" s="38" t="str">
        <f ca="1">IFERROR(__xludf.DUMMYFUNCTION("""COMPUTED_VALUE"""),"slamvan")</f>
        <v>slamvan</v>
      </c>
      <c r="B313" s="38" t="str">
        <f ca="1">IFERROR(__xludf.DUMMYFUNCTION("""COMPUTED_VALUE"""),"Slam Van")</f>
        <v>Slam Van</v>
      </c>
      <c r="C313" s="39">
        <f ca="1">IFERROR(__xludf.DUMMYFUNCTION("""COMPUTED_VALUE"""),4500)</f>
        <v>4500</v>
      </c>
      <c r="D313" s="39" t="str">
        <f ca="1">IFERROR(__xludf.DUMMYFUNCTION("""COMPUTED_VALUE"""),"Muscle")</f>
        <v>Muscle</v>
      </c>
      <c r="E313" s="40" t="str">
        <f ca="1">IFERROR(__xludf.DUMMYFUNCTION("""COMPUTED_VALUE"""),"https://docs.fivem.net/vehicles/slamvan.webp")</f>
        <v>https://docs.fivem.net/vehicles/slamvan.webp</v>
      </c>
    </row>
    <row r="314" spans="1:5" ht="15.75" customHeight="1" x14ac:dyDescent="0.4">
      <c r="A314" s="38" t="str">
        <f ca="1">IFERROR(__xludf.DUMMYFUNCTION("""COMPUTED_VALUE"""),"slamvan2")</f>
        <v>slamvan2</v>
      </c>
      <c r="B314" s="38" t="str">
        <f ca="1">IFERROR(__xludf.DUMMYFUNCTION("""COMPUTED_VALUE"""),"Lost Slam Van")</f>
        <v>Lost Slam Van</v>
      </c>
      <c r="C314" s="39">
        <f ca="1">IFERROR(__xludf.DUMMYFUNCTION("""COMPUTED_VALUE"""),13500)</f>
        <v>13500</v>
      </c>
      <c r="D314" s="39" t="str">
        <f ca="1">IFERROR(__xludf.DUMMYFUNCTION("""COMPUTED_VALUE"""),"Muscle")</f>
        <v>Muscle</v>
      </c>
      <c r="E314" s="41" t="str">
        <f ca="1">IFERROR(__xludf.DUMMYFUNCTION("""COMPUTED_VALUE"""),"https://docs.fivem.net/vehicles/slamvan2.webp")</f>
        <v>https://docs.fivem.net/vehicles/slamvan2.webp</v>
      </c>
    </row>
    <row r="315" spans="1:5" ht="15.75" customHeight="1" x14ac:dyDescent="0.4">
      <c r="A315" s="38" t="str">
        <f ca="1">IFERROR(__xludf.DUMMYFUNCTION("""COMPUTED_VALUE"""),"slamvan3")</f>
        <v>slamvan3</v>
      </c>
      <c r="B315" s="38" t="str">
        <f ca="1">IFERROR(__xludf.DUMMYFUNCTION("""COMPUTED_VALUE"""),"Slam Van Custom")</f>
        <v>Slam Van Custom</v>
      </c>
      <c r="C315" s="39">
        <f ca="1">IFERROR(__xludf.DUMMYFUNCTION("""COMPUTED_VALUE"""),12000)</f>
        <v>12000</v>
      </c>
      <c r="D315" s="39" t="str">
        <f ca="1">IFERROR(__xludf.DUMMYFUNCTION("""COMPUTED_VALUE"""),"Muscle")</f>
        <v>Muscle</v>
      </c>
      <c r="E315" s="40" t="str">
        <f ca="1">IFERROR(__xludf.DUMMYFUNCTION("""COMPUTED_VALUE"""),"https://docs.fivem.net/vehicles/slamvan3.webp")</f>
        <v>https://docs.fivem.net/vehicles/slamvan3.webp</v>
      </c>
    </row>
    <row r="316" spans="1:5" ht="15.75" customHeight="1" x14ac:dyDescent="0.4">
      <c r="A316" s="38" t="str">
        <f ca="1">IFERROR(__xludf.DUMMYFUNCTION("""COMPUTED_VALUE"""),"stalion")</f>
        <v>stalion</v>
      </c>
      <c r="B316" s="38" t="str">
        <f ca="1">IFERROR(__xludf.DUMMYFUNCTION("""COMPUTED_VALUE"""),"Stallion")</f>
        <v>Stallion</v>
      </c>
      <c r="C316" s="39">
        <f ca="1">IFERROR(__xludf.DUMMYFUNCTION("""COMPUTED_VALUE"""),43000)</f>
        <v>43000</v>
      </c>
      <c r="D316" s="39" t="str">
        <f ca="1">IFERROR(__xludf.DUMMYFUNCTION("""COMPUTED_VALUE"""),"Muscle")</f>
        <v>Muscle</v>
      </c>
      <c r="E316" s="40" t="str">
        <f ca="1">IFERROR(__xludf.DUMMYFUNCTION("""COMPUTED_VALUE"""),"https://docs.fivem.net/vehicles/stalion.webp")</f>
        <v>https://docs.fivem.net/vehicles/stalion.webp</v>
      </c>
    </row>
    <row r="317" spans="1:5" ht="15.75" customHeight="1" x14ac:dyDescent="0.4">
      <c r="A317" s="38" t="str">
        <f ca="1">IFERROR(__xludf.DUMMYFUNCTION("""COMPUTED_VALUE"""),"stalion2")</f>
        <v>stalion2</v>
      </c>
      <c r="B317" s="38" t="str">
        <f ca="1">IFERROR(__xludf.DUMMYFUNCTION("""COMPUTED_VALUE"""),"Stallion Burgershot")</f>
        <v>Stallion Burgershot</v>
      </c>
      <c r="C317" s="39">
        <f ca="1">IFERROR(__xludf.DUMMYFUNCTION("""COMPUTED_VALUE"""),45000)</f>
        <v>45000</v>
      </c>
      <c r="D317" s="39" t="str">
        <f ca="1">IFERROR(__xludf.DUMMYFUNCTION("""COMPUTED_VALUE"""),"Muscle")</f>
        <v>Muscle</v>
      </c>
      <c r="E317" s="40" t="str">
        <f ca="1">IFERROR(__xludf.DUMMYFUNCTION("""COMPUTED_VALUE"""),"https://docs.fivem.net/vehicles/stalion2.webp")</f>
        <v>https://docs.fivem.net/vehicles/stalion2.webp</v>
      </c>
    </row>
    <row r="318" spans="1:5" ht="15.75" customHeight="1" x14ac:dyDescent="0.4">
      <c r="A318" s="38" t="str">
        <f ca="1">IFERROR(__xludf.DUMMYFUNCTION("""COMPUTED_VALUE"""),"tampa")</f>
        <v>tampa</v>
      </c>
      <c r="B318" s="38" t="str">
        <f ca="1">IFERROR(__xludf.DUMMYFUNCTION("""COMPUTED_VALUE"""),"Tampa")</f>
        <v>Tampa</v>
      </c>
      <c r="C318" s="39">
        <f ca="1">IFERROR(__xludf.DUMMYFUNCTION("""COMPUTED_VALUE"""),32500)</f>
        <v>32500</v>
      </c>
      <c r="D318" s="39" t="str">
        <f ca="1">IFERROR(__xludf.DUMMYFUNCTION("""COMPUTED_VALUE"""),"Muscle")</f>
        <v>Muscle</v>
      </c>
      <c r="E318" s="40" t="str">
        <f ca="1">IFERROR(__xludf.DUMMYFUNCTION("""COMPUTED_VALUE"""),"https://docs.fivem.net/vehicles/tampa.webp")</f>
        <v>https://docs.fivem.net/vehicles/tampa.webp</v>
      </c>
    </row>
    <row r="319" spans="1:5" ht="15.75" customHeight="1" x14ac:dyDescent="0.4">
      <c r="A319" s="38" t="str">
        <f ca="1">IFERROR(__xludf.DUMMYFUNCTION("""COMPUTED_VALUE"""),"tampa2")</f>
        <v>tampa2</v>
      </c>
      <c r="B319" s="38" t="str">
        <f ca="1">IFERROR(__xludf.DUMMYFUNCTION("""COMPUTED_VALUE"""),"Tampa Custom")</f>
        <v>Tampa Custom</v>
      </c>
      <c r="C319" s="39">
        <f ca="1">IFERROR(__xludf.DUMMYFUNCTION("""COMPUTED_VALUE"""),68000)</f>
        <v>68000</v>
      </c>
      <c r="D319" s="39" t="str">
        <f ca="1">IFERROR(__xludf.DUMMYFUNCTION("""COMPUTED_VALUE"""),"Muscle")</f>
        <v>Muscle</v>
      </c>
      <c r="E319" s="40" t="str">
        <f ca="1">IFERROR(__xludf.DUMMYFUNCTION("""COMPUTED_VALUE"""),"https://docs.fivem.net/vehicles/tampa2.webp")</f>
        <v>https://docs.fivem.net/vehicles/tampa2.webp</v>
      </c>
    </row>
    <row r="320" spans="1:5" ht="15.75" customHeight="1" x14ac:dyDescent="0.4">
      <c r="A320" s="38" t="str">
        <f ca="1">IFERROR(__xludf.DUMMYFUNCTION("""COMPUTED_VALUE"""),"tulip")</f>
        <v>tulip</v>
      </c>
      <c r="B320" s="38" t="str">
        <f ca="1">IFERROR(__xludf.DUMMYFUNCTION("""COMPUTED_VALUE"""),"Tulip")</f>
        <v>Tulip</v>
      </c>
      <c r="C320" s="39">
        <f ca="1">IFERROR(__xludf.DUMMYFUNCTION("""COMPUTED_VALUE"""),24000)</f>
        <v>24000</v>
      </c>
      <c r="D320" s="39" t="str">
        <f ca="1">IFERROR(__xludf.DUMMYFUNCTION("""COMPUTED_VALUE"""),"Muscle")</f>
        <v>Muscle</v>
      </c>
      <c r="E320" s="40" t="str">
        <f ca="1">IFERROR(__xludf.DUMMYFUNCTION("""COMPUTED_VALUE"""),"https://docs.fivem.net/vehicles/tulip.webp")</f>
        <v>https://docs.fivem.net/vehicles/tulip.webp</v>
      </c>
    </row>
    <row r="321" spans="1:5" ht="15.75" customHeight="1" x14ac:dyDescent="0.4">
      <c r="A321" s="38" t="str">
        <f ca="1">IFERROR(__xludf.DUMMYFUNCTION("""COMPUTED_VALUE"""),"tulip2")</f>
        <v>tulip2</v>
      </c>
      <c r="B321" s="38" t="str">
        <f ca="1">IFERROR(__xludf.DUMMYFUNCTION("""COMPUTED_VALUE"""),"Tulip M-100")</f>
        <v>Tulip M-100</v>
      </c>
      <c r="C321" s="39">
        <f ca="1">IFERROR(__xludf.DUMMYFUNCTION("""COMPUTED_VALUE"""),26000)</f>
        <v>26000</v>
      </c>
      <c r="D321" s="39" t="str">
        <f ca="1">IFERROR(__xludf.DUMMYFUNCTION("""COMPUTED_VALUE"""),"Muscle")</f>
        <v>Muscle</v>
      </c>
      <c r="E321" s="40" t="str">
        <f ca="1">IFERROR(__xludf.DUMMYFUNCTION("""COMPUTED_VALUE"""),"https://docs.fivem.net/vehicles/tulip2.webp")</f>
        <v>https://docs.fivem.net/vehicles/tulip2.webp</v>
      </c>
    </row>
    <row r="322" spans="1:5" ht="15.75" customHeight="1" x14ac:dyDescent="0.4">
      <c r="A322" s="38" t="str">
        <f ca="1">IFERROR(__xludf.DUMMYFUNCTION("""COMPUTED_VALUE"""),"vamos")</f>
        <v>vamos</v>
      </c>
      <c r="B322" s="38" t="str">
        <f ca="1">IFERROR(__xludf.DUMMYFUNCTION("""COMPUTED_VALUE"""),"Vamos")</f>
        <v>Vamos</v>
      </c>
      <c r="C322" s="39">
        <f ca="1">IFERROR(__xludf.DUMMYFUNCTION("""COMPUTED_VALUE"""),18000)</f>
        <v>18000</v>
      </c>
      <c r="D322" s="39" t="str">
        <f ca="1">IFERROR(__xludf.DUMMYFUNCTION("""COMPUTED_VALUE"""),"Muscle")</f>
        <v>Muscle</v>
      </c>
      <c r="E322" s="40" t="str">
        <f ca="1">IFERROR(__xludf.DUMMYFUNCTION("""COMPUTED_VALUE"""),"https://docs.fivem.net/vehicles/vamos.webp")</f>
        <v>https://docs.fivem.net/vehicles/vamos.webp</v>
      </c>
    </row>
    <row r="323" spans="1:5" ht="15.75" customHeight="1" x14ac:dyDescent="0.4">
      <c r="A323" s="38" t="str">
        <f ca="1">IFERROR(__xludf.DUMMYFUNCTION("""COMPUTED_VALUE"""),"vigero")</f>
        <v>vigero</v>
      </c>
      <c r="B323" s="38" t="str">
        <f ca="1">IFERROR(__xludf.DUMMYFUNCTION("""COMPUTED_VALUE"""),"Vigero")</f>
        <v>Vigero</v>
      </c>
      <c r="C323" s="39">
        <f ca="1">IFERROR(__xludf.DUMMYFUNCTION("""COMPUTED_VALUE"""),39500)</f>
        <v>39500</v>
      </c>
      <c r="D323" s="39" t="str">
        <f ca="1">IFERROR(__xludf.DUMMYFUNCTION("""COMPUTED_VALUE"""),"Muscle")</f>
        <v>Muscle</v>
      </c>
      <c r="E323" s="40" t="str">
        <f ca="1">IFERROR(__xludf.DUMMYFUNCTION("""COMPUTED_VALUE"""),"https://docs.fivem.net/vehicles/vigero.webp")</f>
        <v>https://docs.fivem.net/vehicles/vigero.webp</v>
      </c>
    </row>
    <row r="324" spans="1:5" ht="15.75" customHeight="1" x14ac:dyDescent="0.4">
      <c r="A324" s="38" t="str">
        <f ca="1">IFERROR(__xludf.DUMMYFUNCTION("""COMPUTED_VALUE"""),"vigero2")</f>
        <v>vigero2</v>
      </c>
      <c r="B324" s="38" t="str">
        <f ca="1">IFERROR(__xludf.DUMMYFUNCTION("""COMPUTED_VALUE"""),"Vigero ZX")</f>
        <v>Vigero ZX</v>
      </c>
      <c r="C324" s="39">
        <f ca="1">IFERROR(__xludf.DUMMYFUNCTION("""COMPUTED_VALUE"""),80500)</f>
        <v>80500</v>
      </c>
      <c r="D324" s="39" t="str">
        <f ca="1">IFERROR(__xludf.DUMMYFUNCTION("""COMPUTED_VALUE"""),"Muscle")</f>
        <v>Muscle</v>
      </c>
      <c r="E324" s="40" t="str">
        <f ca="1">IFERROR(__xludf.DUMMYFUNCTION("""COMPUTED_VALUE"""),"https://docs.fivem.net/vehicles/vigero2.webp")</f>
        <v>https://docs.fivem.net/vehicles/vigero2.webp</v>
      </c>
    </row>
    <row r="325" spans="1:5" ht="15.75" customHeight="1" x14ac:dyDescent="0.4">
      <c r="A325" s="38" t="str">
        <f ca="1">IFERROR(__xludf.DUMMYFUNCTION("""COMPUTED_VALUE"""),"vigero3")</f>
        <v>vigero3</v>
      </c>
      <c r="B325" s="38" t="str">
        <f ca="1">IFERROR(__xludf.DUMMYFUNCTION("""COMPUTED_VALUE"""),"Vigero ZX Convertible")</f>
        <v>Vigero ZX Convertible</v>
      </c>
      <c r="C325" s="39">
        <f ca="1">IFERROR(__xludf.DUMMYFUNCTION("""COMPUTED_VALUE"""),84500)</f>
        <v>84500</v>
      </c>
      <c r="D325" s="39" t="str">
        <f ca="1">IFERROR(__xludf.DUMMYFUNCTION("""COMPUTED_VALUE"""),"Muscle")</f>
        <v>Muscle</v>
      </c>
      <c r="E325" s="40" t="str">
        <f ca="1">IFERROR(__xludf.DUMMYFUNCTION("""COMPUTED_VALUE"""),"https://docs.fivem.net/vehicles/vigero3.webp")</f>
        <v>https://docs.fivem.net/vehicles/vigero3.webp</v>
      </c>
    </row>
    <row r="326" spans="1:5" ht="15.75" customHeight="1" x14ac:dyDescent="0.4">
      <c r="A326" s="38" t="str">
        <f ca="1">IFERROR(__xludf.DUMMYFUNCTION("""COMPUTED_VALUE"""),"virgo")</f>
        <v>virgo</v>
      </c>
      <c r="B326" s="38" t="str">
        <f ca="1">IFERROR(__xludf.DUMMYFUNCTION("""COMPUTED_VALUE"""),"Virgo")</f>
        <v>Virgo</v>
      </c>
      <c r="C326" s="39">
        <f ca="1">IFERROR(__xludf.DUMMYFUNCTION("""COMPUTED_VALUE"""),18000)</f>
        <v>18000</v>
      </c>
      <c r="D326" s="39" t="str">
        <f ca="1">IFERROR(__xludf.DUMMYFUNCTION("""COMPUTED_VALUE"""),"Muscle")</f>
        <v>Muscle</v>
      </c>
      <c r="E326" s="40" t="str">
        <f ca="1">IFERROR(__xludf.DUMMYFUNCTION("""COMPUTED_VALUE"""),"https://docs.fivem.net/vehicles/virgo.webp")</f>
        <v>https://docs.fivem.net/vehicles/virgo.webp</v>
      </c>
    </row>
    <row r="327" spans="1:5" ht="15.75" customHeight="1" x14ac:dyDescent="0.4">
      <c r="A327" s="38" t="str">
        <f ca="1">IFERROR(__xludf.DUMMYFUNCTION("""COMPUTED_VALUE"""),"virgo2")</f>
        <v>virgo2</v>
      </c>
      <c r="B327" s="38" t="str">
        <f ca="1">IFERROR(__xludf.DUMMYFUNCTION("""COMPUTED_VALUE"""),"Virgo Classic Custom")</f>
        <v>Virgo Classic Custom</v>
      </c>
      <c r="C327" s="39">
        <f ca="1">IFERROR(__xludf.DUMMYFUNCTION("""COMPUTED_VALUE"""),16500)</f>
        <v>16500</v>
      </c>
      <c r="D327" s="39" t="str">
        <f ca="1">IFERROR(__xludf.DUMMYFUNCTION("""COMPUTED_VALUE"""),"Muscle")</f>
        <v>Muscle</v>
      </c>
      <c r="E327" s="40" t="str">
        <f ca="1">IFERROR(__xludf.DUMMYFUNCTION("""COMPUTED_VALUE"""),"https://docs.fivem.net/vehicles/virgo2.webp")</f>
        <v>https://docs.fivem.net/vehicles/virgo2.webp</v>
      </c>
    </row>
    <row r="328" spans="1:5" ht="15.75" customHeight="1" x14ac:dyDescent="0.4">
      <c r="A328" s="38" t="str">
        <f ca="1">IFERROR(__xludf.DUMMYFUNCTION("""COMPUTED_VALUE"""),"virgo3")</f>
        <v>virgo3</v>
      </c>
      <c r="B328" s="38" t="str">
        <f ca="1">IFERROR(__xludf.DUMMYFUNCTION("""COMPUTED_VALUE"""),"Virgo Classic")</f>
        <v>Virgo Classic</v>
      </c>
      <c r="C328" s="39">
        <f ca="1">IFERROR(__xludf.DUMMYFUNCTION("""COMPUTED_VALUE"""),16000)</f>
        <v>16000</v>
      </c>
      <c r="D328" s="39" t="str">
        <f ca="1">IFERROR(__xludf.DUMMYFUNCTION("""COMPUTED_VALUE"""),"Muscle")</f>
        <v>Muscle</v>
      </c>
      <c r="E328" s="40" t="str">
        <f ca="1">IFERROR(__xludf.DUMMYFUNCTION("""COMPUTED_VALUE"""),"https://docs.fivem.net/vehicles/virgo3.webp")</f>
        <v>https://docs.fivem.net/vehicles/virgo3.webp</v>
      </c>
    </row>
    <row r="329" spans="1:5" ht="15.75" customHeight="1" x14ac:dyDescent="0.4">
      <c r="A329" s="38" t="str">
        <f ca="1">IFERROR(__xludf.DUMMYFUNCTION("""COMPUTED_VALUE"""),"voodoo")</f>
        <v>voodoo</v>
      </c>
      <c r="B329" s="38" t="str">
        <f ca="1">IFERROR(__xludf.DUMMYFUNCTION("""COMPUTED_VALUE"""),"Voodoo")</f>
        <v>Voodoo</v>
      </c>
      <c r="C329" s="39">
        <f ca="1">IFERROR(__xludf.DUMMYFUNCTION("""COMPUTED_VALUE"""),21000)</f>
        <v>21000</v>
      </c>
      <c r="D329" s="39" t="str">
        <f ca="1">IFERROR(__xludf.DUMMYFUNCTION("""COMPUTED_VALUE"""),"Muscle")</f>
        <v>Muscle</v>
      </c>
      <c r="E329" s="40" t="str">
        <f ca="1">IFERROR(__xludf.DUMMYFUNCTION("""COMPUTED_VALUE"""),"https://docs.fivem.net/vehicles/voodoo.webp")</f>
        <v>https://docs.fivem.net/vehicles/voodoo.webp</v>
      </c>
    </row>
    <row r="330" spans="1:5" ht="15.75" customHeight="1" x14ac:dyDescent="0.4">
      <c r="A330" s="38" t="str">
        <f ca="1">IFERROR(__xludf.DUMMYFUNCTION("""COMPUTED_VALUE"""),"weevil2")</f>
        <v>weevil2</v>
      </c>
      <c r="B330" s="38" t="str">
        <f ca="1">IFERROR(__xludf.DUMMYFUNCTION("""COMPUTED_VALUE"""),"Weevil Custom")</f>
        <v>Weevil Custom</v>
      </c>
      <c r="C330" s="39">
        <f ca="1">IFERROR(__xludf.DUMMYFUNCTION("""COMPUTED_VALUE"""),84500)</f>
        <v>84500</v>
      </c>
      <c r="D330" s="39" t="str">
        <f ca="1">IFERROR(__xludf.DUMMYFUNCTION("""COMPUTED_VALUE"""),"Muscle")</f>
        <v>Muscle</v>
      </c>
      <c r="E330" s="40" t="str">
        <f ca="1">IFERROR(__xludf.DUMMYFUNCTION("""COMPUTED_VALUE"""),"https://docs.fivem.net/vehicles/weevil2.webp")</f>
        <v>https://docs.fivem.net/vehicles/weevil2.webp</v>
      </c>
    </row>
    <row r="331" spans="1:5" ht="15.75" customHeight="1" x14ac:dyDescent="0.4">
      <c r="A331" s="38" t="str">
        <f ca="1">IFERROR(__xludf.DUMMYFUNCTION("""COMPUTED_VALUE"""),"yosemite")</f>
        <v>yosemite</v>
      </c>
      <c r="B331" s="38" t="str">
        <f ca="1">IFERROR(__xludf.DUMMYFUNCTION("""COMPUTED_VALUE"""),"Yosemite")</f>
        <v>Yosemite</v>
      </c>
      <c r="C331" s="39">
        <f ca="1">IFERROR(__xludf.DUMMYFUNCTION("""COMPUTED_VALUE"""),37500)</f>
        <v>37500</v>
      </c>
      <c r="D331" s="39" t="str">
        <f ca="1">IFERROR(__xludf.DUMMYFUNCTION("""COMPUTED_VALUE"""),"Muscle")</f>
        <v>Muscle</v>
      </c>
      <c r="E331" s="40" t="str">
        <f ca="1">IFERROR(__xludf.DUMMYFUNCTION("""COMPUTED_VALUE"""),"https://docs.fivem.net/vehicles/yosemite.webp")</f>
        <v>https://docs.fivem.net/vehicles/yosemite.webp</v>
      </c>
    </row>
    <row r="332" spans="1:5" ht="15.75" customHeight="1" x14ac:dyDescent="0.4">
      <c r="A332" s="38" t="str">
        <f ca="1">IFERROR(__xludf.DUMMYFUNCTION("""COMPUTED_VALUE"""),"yosemite2")</f>
        <v>yosemite2</v>
      </c>
      <c r="B332" s="38" t="str">
        <f ca="1">IFERROR(__xludf.DUMMYFUNCTION("""COMPUTED_VALUE"""),"Yosemite Drift")</f>
        <v>Yosemite Drift</v>
      </c>
      <c r="C332" s="39">
        <f ca="1">IFERROR(__xludf.DUMMYFUNCTION("""COMPUTED_VALUE"""),44000)</f>
        <v>44000</v>
      </c>
      <c r="D332" s="39" t="str">
        <f ca="1">IFERROR(__xludf.DUMMYFUNCTION("""COMPUTED_VALUE"""),"Muscle")</f>
        <v>Muscle</v>
      </c>
      <c r="E332" s="40" t="str">
        <f ca="1">IFERROR(__xludf.DUMMYFUNCTION("""COMPUTED_VALUE"""),"https://docs.fivem.net/vehicles/yosemite2.webp")</f>
        <v>https://docs.fivem.net/vehicles/yosemite2.webp</v>
      </c>
    </row>
    <row r="333" spans="1:5" ht="15.75" customHeight="1" x14ac:dyDescent="0.4">
      <c r="A333" s="38" t="str">
        <f ca="1">IFERROR(__xludf.DUMMYFUNCTION("""COMPUTED_VALUE"""),"asea")</f>
        <v>asea</v>
      </c>
      <c r="B333" s="38" t="str">
        <f ca="1">IFERROR(__xludf.DUMMYFUNCTION("""COMPUTED_VALUE"""),"Asea")</f>
        <v>Asea</v>
      </c>
      <c r="C333" s="39">
        <f ca="1">IFERROR(__xludf.DUMMYFUNCTION("""COMPUTED_VALUE"""),3850)</f>
        <v>3850</v>
      </c>
      <c r="D333" s="39" t="str">
        <f ca="1">IFERROR(__xludf.DUMMYFUNCTION("""COMPUTED_VALUE"""),"Sedans")</f>
        <v>Sedans</v>
      </c>
      <c r="E333" s="40" t="str">
        <f ca="1">IFERROR(__xludf.DUMMYFUNCTION("""COMPUTED_VALUE"""),"https://docs.fivem.net/vehicles/asea.webp")</f>
        <v>https://docs.fivem.net/vehicles/asea.webp</v>
      </c>
    </row>
    <row r="334" spans="1:5" ht="15.75" customHeight="1" x14ac:dyDescent="0.4">
      <c r="A334" s="38" t="str">
        <f ca="1">IFERROR(__xludf.DUMMYFUNCTION("""COMPUTED_VALUE"""),"asterope")</f>
        <v>asterope</v>
      </c>
      <c r="B334" s="38" t="str">
        <f ca="1">IFERROR(__xludf.DUMMYFUNCTION("""COMPUTED_VALUE"""),"Asterope")</f>
        <v>Asterope</v>
      </c>
      <c r="C334" s="39">
        <f ca="1">IFERROR(__xludf.DUMMYFUNCTION("""COMPUTED_VALUE"""),4500)</f>
        <v>4500</v>
      </c>
      <c r="D334" s="39" t="str">
        <f ca="1">IFERROR(__xludf.DUMMYFUNCTION("""COMPUTED_VALUE"""),"Sedans")</f>
        <v>Sedans</v>
      </c>
      <c r="E334" s="40" t="str">
        <f ca="1">IFERROR(__xludf.DUMMYFUNCTION("""COMPUTED_VALUE"""),"https://docs.fivem.net/vehicles/asterope.webp")</f>
        <v>https://docs.fivem.net/vehicles/asterope.webp</v>
      </c>
    </row>
    <row r="335" spans="1:5" ht="15.75" customHeight="1" x14ac:dyDescent="0.4">
      <c r="A335" s="38" t="str">
        <f ca="1">IFERROR(__xludf.DUMMYFUNCTION("""COMPUTED_VALUE"""),"asterope2")</f>
        <v>asterope2</v>
      </c>
      <c r="B335" s="38" t="str">
        <f ca="1">IFERROR(__xludf.DUMMYFUNCTION("""COMPUTED_VALUE"""),"Asterope GZ")</f>
        <v>Asterope GZ</v>
      </c>
      <c r="C335" s="39">
        <f ca="1">IFERROR(__xludf.DUMMYFUNCTION("""COMPUTED_VALUE"""),9500)</f>
        <v>9500</v>
      </c>
      <c r="D335" s="39" t="str">
        <f ca="1">IFERROR(__xludf.DUMMYFUNCTION("""COMPUTED_VALUE"""),"Sedans")</f>
        <v>Sedans</v>
      </c>
      <c r="E335" s="40" t="str">
        <f ca="1">IFERROR(__xludf.DUMMYFUNCTION("""COMPUTED_VALUE"""),"https://docs.fivem.net/vehicles/asterope2.webp")</f>
        <v>https://docs.fivem.net/vehicles/asterope2.webp</v>
      </c>
    </row>
    <row r="336" spans="1:5" ht="15.75" customHeight="1" x14ac:dyDescent="0.4">
      <c r="A336" s="38" t="str">
        <f ca="1">IFERROR(__xludf.DUMMYFUNCTION("""COMPUTED_VALUE"""),"cinquemila")</f>
        <v>cinquemila</v>
      </c>
      <c r="B336" s="38" t="str">
        <f ca="1">IFERROR(__xludf.DUMMYFUNCTION("""COMPUTED_VALUE"""),"Lampadati")</f>
        <v>Lampadati</v>
      </c>
      <c r="C336" s="39">
        <f ca="1">IFERROR(__xludf.DUMMYFUNCTION("""COMPUTED_VALUE"""),95000)</f>
        <v>95000</v>
      </c>
      <c r="D336" s="39" t="str">
        <f ca="1">IFERROR(__xludf.DUMMYFUNCTION("""COMPUTED_VALUE"""),"Sedans")</f>
        <v>Sedans</v>
      </c>
      <c r="E336" s="40" t="str">
        <f ca="1">IFERROR(__xludf.DUMMYFUNCTION("""COMPUTED_VALUE"""),"https://docs.fivem.net/vehicles/cinquemila.webp")</f>
        <v>https://docs.fivem.net/vehicles/cinquemila.webp</v>
      </c>
    </row>
    <row r="337" spans="1:5" ht="15.75" customHeight="1" x14ac:dyDescent="0.4">
      <c r="A337" s="38" t="str">
        <f ca="1">IFERROR(__xludf.DUMMYFUNCTION("""COMPUTED_VALUE"""),"deity")</f>
        <v>deity</v>
      </c>
      <c r="B337" s="38" t="str">
        <f ca="1">IFERROR(__xludf.DUMMYFUNCTION("""COMPUTED_VALUE"""),"Deity")</f>
        <v>Deity</v>
      </c>
      <c r="C337" s="39">
        <f ca="1">IFERROR(__xludf.DUMMYFUNCTION("""COMPUTED_VALUE"""),78000)</f>
        <v>78000</v>
      </c>
      <c r="D337" s="39" t="str">
        <f ca="1">IFERROR(__xludf.DUMMYFUNCTION("""COMPUTED_VALUE"""),"Sedans")</f>
        <v>Sedans</v>
      </c>
      <c r="E337" s="40" t="str">
        <f ca="1">IFERROR(__xludf.DUMMYFUNCTION("""COMPUTED_VALUE"""),"https://docs.fivem.net/vehicles/deity.webp")</f>
        <v>https://docs.fivem.net/vehicles/deity.webp</v>
      </c>
    </row>
    <row r="338" spans="1:5" ht="15.75" customHeight="1" x14ac:dyDescent="0.4">
      <c r="A338" s="38" t="str">
        <f ca="1">IFERROR(__xludf.DUMMYFUNCTION("""COMPUTED_VALUE"""),"emperor")</f>
        <v>emperor</v>
      </c>
      <c r="B338" s="38" t="str">
        <f ca="1">IFERROR(__xludf.DUMMYFUNCTION("""COMPUTED_VALUE"""),"Emperor")</f>
        <v>Emperor</v>
      </c>
      <c r="C338" s="39">
        <f ca="1">IFERROR(__xludf.DUMMYFUNCTION("""COMPUTED_VALUE"""),18000)</f>
        <v>18000</v>
      </c>
      <c r="D338" s="39" t="str">
        <f ca="1">IFERROR(__xludf.DUMMYFUNCTION("""COMPUTED_VALUE"""),"Sedans")</f>
        <v>Sedans</v>
      </c>
      <c r="E338" s="40" t="str">
        <f ca="1">IFERROR(__xludf.DUMMYFUNCTION("""COMPUTED_VALUE"""),"https://docs.fivem.net/vehicles/emperor.webp")</f>
        <v>https://docs.fivem.net/vehicles/emperor.webp</v>
      </c>
    </row>
    <row r="339" spans="1:5" ht="15.75" customHeight="1" x14ac:dyDescent="0.4">
      <c r="A339" s="38" t="str">
        <f ca="1">IFERROR(__xludf.DUMMYFUNCTION("""COMPUTED_VALUE"""),"eudora")</f>
        <v>eudora</v>
      </c>
      <c r="B339" s="38" t="str">
        <f ca="1">IFERROR(__xludf.DUMMYFUNCTION("""COMPUTED_VALUE"""),"Eudora")</f>
        <v>Eudora</v>
      </c>
      <c r="C339" s="39">
        <f ca="1">IFERROR(__xludf.DUMMYFUNCTION("""COMPUTED_VALUE"""),16000)</f>
        <v>16000</v>
      </c>
      <c r="D339" s="39" t="str">
        <f ca="1">IFERROR(__xludf.DUMMYFUNCTION("""COMPUTED_VALUE"""),"Sedans")</f>
        <v>Sedans</v>
      </c>
      <c r="E339" s="40" t="str">
        <f ca="1">IFERROR(__xludf.DUMMYFUNCTION("""COMPUTED_VALUE"""),"https://docs.fivem.net/vehicles/eudora.webp")</f>
        <v>https://docs.fivem.net/vehicles/eudora.webp</v>
      </c>
    </row>
    <row r="340" spans="1:5" ht="15.75" customHeight="1" x14ac:dyDescent="0.4">
      <c r="A340" s="38" t="str">
        <f ca="1">IFERROR(__xludf.DUMMYFUNCTION("""COMPUTED_VALUE"""),"fugitive")</f>
        <v>fugitive</v>
      </c>
      <c r="B340" s="38" t="str">
        <f ca="1">IFERROR(__xludf.DUMMYFUNCTION("""COMPUTED_VALUE"""),"Fugitive")</f>
        <v>Fugitive</v>
      </c>
      <c r="C340" s="39">
        <f ca="1">IFERROR(__xludf.DUMMYFUNCTION("""COMPUTED_VALUE"""),32000)</f>
        <v>32000</v>
      </c>
      <c r="D340" s="39" t="str">
        <f ca="1">IFERROR(__xludf.DUMMYFUNCTION("""COMPUTED_VALUE"""),"Sedans")</f>
        <v>Sedans</v>
      </c>
      <c r="E340" s="40" t="str">
        <f ca="1">IFERROR(__xludf.DUMMYFUNCTION("""COMPUTED_VALUE"""),"https://docs.fivem.net/vehicles/fugitive.webp")</f>
        <v>https://docs.fivem.net/vehicles/fugitive.webp</v>
      </c>
    </row>
    <row r="341" spans="1:5" ht="15.75" customHeight="1" x14ac:dyDescent="0.4">
      <c r="A341" s="38" t="str">
        <f ca="1">IFERROR(__xludf.DUMMYFUNCTION("""COMPUTED_VALUE"""),"glendale")</f>
        <v>glendale</v>
      </c>
      <c r="B341" s="38" t="str">
        <f ca="1">IFERROR(__xludf.DUMMYFUNCTION("""COMPUTED_VALUE"""),"Glendale")</f>
        <v>Glendale</v>
      </c>
      <c r="C341" s="39">
        <f ca="1">IFERROR(__xludf.DUMMYFUNCTION("""COMPUTED_VALUE"""),25000)</f>
        <v>25000</v>
      </c>
      <c r="D341" s="39" t="str">
        <f ca="1">IFERROR(__xludf.DUMMYFUNCTION("""COMPUTED_VALUE"""),"Sedans")</f>
        <v>Sedans</v>
      </c>
      <c r="E341" s="40" t="str">
        <f ca="1">IFERROR(__xludf.DUMMYFUNCTION("""COMPUTED_VALUE"""),"https://docs.fivem.net/vehicles/glendale.webp")</f>
        <v>https://docs.fivem.net/vehicles/glendale.webp</v>
      </c>
    </row>
    <row r="342" spans="1:5" ht="15.75" customHeight="1" x14ac:dyDescent="0.4">
      <c r="A342" s="38" t="str">
        <f ca="1">IFERROR(__xludf.DUMMYFUNCTION("""COMPUTED_VALUE"""),"glendale2")</f>
        <v>glendale2</v>
      </c>
      <c r="B342" s="38" t="str">
        <f ca="1">IFERROR(__xludf.DUMMYFUNCTION("""COMPUTED_VALUE"""),"Glendale Custom")</f>
        <v>Glendale Custom</v>
      </c>
      <c r="C342" s="39">
        <f ca="1">IFERROR(__xludf.DUMMYFUNCTION("""COMPUTED_VALUE"""),27000)</f>
        <v>27000</v>
      </c>
      <c r="D342" s="39" t="str">
        <f ca="1">IFERROR(__xludf.DUMMYFUNCTION("""COMPUTED_VALUE"""),"Sedans")</f>
        <v>Sedans</v>
      </c>
      <c r="E342" s="40" t="str">
        <f ca="1">IFERROR(__xludf.DUMMYFUNCTION("""COMPUTED_VALUE"""),"https://docs.fivem.net/vehicles/glendale2.webp")</f>
        <v>https://docs.fivem.net/vehicles/glendale2.webp</v>
      </c>
    </row>
    <row r="343" spans="1:5" ht="15.75" customHeight="1" x14ac:dyDescent="0.4">
      <c r="A343" s="38" t="str">
        <f ca="1">IFERROR(__xludf.DUMMYFUNCTION("""COMPUTED_VALUE"""),"impaler5")</f>
        <v>impaler5</v>
      </c>
      <c r="B343" s="38" t="str">
        <f ca="1">IFERROR(__xludf.DUMMYFUNCTION("""COMPUTED_VALUE"""),"Impaler SZ")</f>
        <v>Impaler SZ</v>
      </c>
      <c r="C343" s="39">
        <f ca="1">IFERROR(__xludf.DUMMYFUNCTION("""COMPUTED_VALUE"""),8800)</f>
        <v>8800</v>
      </c>
      <c r="D343" s="39" t="str">
        <f ca="1">IFERROR(__xludf.DUMMYFUNCTION("""COMPUTED_VALUE"""),"Sedans")</f>
        <v>Sedans</v>
      </c>
      <c r="E343" s="40" t="str">
        <f ca="1">IFERROR(__xludf.DUMMYFUNCTION("""COMPUTED_VALUE"""),"https://docs.fivem.net/vehicles/impaler5.webp")</f>
        <v>https://docs.fivem.net/vehicles/impaler5.webp</v>
      </c>
    </row>
    <row r="344" spans="1:5" ht="15.75" customHeight="1" x14ac:dyDescent="0.4">
      <c r="A344" s="38" t="str">
        <f ca="1">IFERROR(__xludf.DUMMYFUNCTION("""COMPUTED_VALUE"""),"ingot")</f>
        <v>ingot</v>
      </c>
      <c r="B344" s="38" t="str">
        <f ca="1">IFERROR(__xludf.DUMMYFUNCTION("""COMPUTED_VALUE"""),"Ingot")</f>
        <v>Ingot</v>
      </c>
      <c r="C344" s="39">
        <f ca="1">IFERROR(__xludf.DUMMYFUNCTION("""COMPUTED_VALUE"""),4900)</f>
        <v>4900</v>
      </c>
      <c r="D344" s="39" t="str">
        <f ca="1">IFERROR(__xludf.DUMMYFUNCTION("""COMPUTED_VALUE"""),"Sedans")</f>
        <v>Sedans</v>
      </c>
      <c r="E344" s="40" t="str">
        <f ca="1">IFERROR(__xludf.DUMMYFUNCTION("""COMPUTED_VALUE"""),"https://docs.fivem.net/vehicles/ingot.webp")</f>
        <v>https://docs.fivem.net/vehicles/ingot.webp</v>
      </c>
    </row>
    <row r="345" spans="1:5" ht="15.75" customHeight="1" x14ac:dyDescent="0.4">
      <c r="A345" s="38" t="str">
        <f ca="1">IFERROR(__xludf.DUMMYFUNCTION("""COMPUTED_VALUE"""),"intruder")</f>
        <v>intruder</v>
      </c>
      <c r="B345" s="38" t="str">
        <f ca="1">IFERROR(__xludf.DUMMYFUNCTION("""COMPUTED_VALUE"""),"Intruder")</f>
        <v>Intruder</v>
      </c>
      <c r="C345" s="39">
        <f ca="1">IFERROR(__xludf.DUMMYFUNCTION("""COMPUTED_VALUE"""),29500)</f>
        <v>29500</v>
      </c>
      <c r="D345" s="39" t="str">
        <f ca="1">IFERROR(__xludf.DUMMYFUNCTION("""COMPUTED_VALUE"""),"Sedans")</f>
        <v>Sedans</v>
      </c>
      <c r="E345" s="40" t="str">
        <f ca="1">IFERROR(__xludf.DUMMYFUNCTION("""COMPUTED_VALUE"""),"https://docs.fivem.net/vehicles/intruder.webp")</f>
        <v>https://docs.fivem.net/vehicles/intruder.webp</v>
      </c>
    </row>
    <row r="346" spans="1:5" ht="15.75" customHeight="1" x14ac:dyDescent="0.4">
      <c r="A346" s="38" t="str">
        <f ca="1">IFERROR(__xludf.DUMMYFUNCTION("""COMPUTED_VALUE"""),"oracle")</f>
        <v>oracle</v>
      </c>
      <c r="B346" s="38" t="str">
        <f ca="1">IFERROR(__xludf.DUMMYFUNCTION("""COMPUTED_VALUE"""),"Oracle")</f>
        <v>Oracle</v>
      </c>
      <c r="C346" s="39">
        <f ca="1">IFERROR(__xludf.DUMMYFUNCTION("""COMPUTED_VALUE"""),28000)</f>
        <v>28000</v>
      </c>
      <c r="D346" s="39" t="str">
        <f ca="1">IFERROR(__xludf.DUMMYFUNCTION("""COMPUTED_VALUE"""),"Sedans")</f>
        <v>Sedans</v>
      </c>
      <c r="E346" s="40" t="str">
        <f ca="1">IFERROR(__xludf.DUMMYFUNCTION("""COMPUTED_VALUE"""),"https://docs.fivem.net/vehicles/oracle.webp")</f>
        <v>https://docs.fivem.net/vehicles/oracle.webp</v>
      </c>
    </row>
    <row r="347" spans="1:5" ht="15.75" customHeight="1" x14ac:dyDescent="0.4">
      <c r="A347" s="38" t="str">
        <f ca="1">IFERROR(__xludf.DUMMYFUNCTION("""COMPUTED_VALUE"""),"premier")</f>
        <v>premier</v>
      </c>
      <c r="B347" s="38" t="str">
        <f ca="1">IFERROR(__xludf.DUMMYFUNCTION("""COMPUTED_VALUE"""),"Premier")</f>
        <v>Premier</v>
      </c>
      <c r="C347" s="39">
        <f ca="1">IFERROR(__xludf.DUMMYFUNCTION("""COMPUTED_VALUE"""),22000)</f>
        <v>22000</v>
      </c>
      <c r="D347" s="39" t="str">
        <f ca="1">IFERROR(__xludf.DUMMYFUNCTION("""COMPUTED_VALUE"""),"Sedans")</f>
        <v>Sedans</v>
      </c>
      <c r="E347" s="40" t="str">
        <f ca="1">IFERROR(__xludf.DUMMYFUNCTION("""COMPUTED_VALUE"""),"https://docs.fivem.net/vehicles/premier.webp")</f>
        <v>https://docs.fivem.net/vehicles/premier.webp</v>
      </c>
    </row>
    <row r="348" spans="1:5" ht="15.75" customHeight="1" x14ac:dyDescent="0.4">
      <c r="A348" s="38" t="str">
        <f ca="1">IFERROR(__xludf.DUMMYFUNCTION("""COMPUTED_VALUE"""),"primo")</f>
        <v>primo</v>
      </c>
      <c r="B348" s="38" t="str">
        <f ca="1">IFERROR(__xludf.DUMMYFUNCTION("""COMPUTED_VALUE"""),"Primo")</f>
        <v>Primo</v>
      </c>
      <c r="C348" s="39">
        <f ca="1">IFERROR(__xludf.DUMMYFUNCTION("""COMPUTED_VALUE"""),4500)</f>
        <v>4500</v>
      </c>
      <c r="D348" s="39" t="str">
        <f ca="1">IFERROR(__xludf.DUMMYFUNCTION("""COMPUTED_VALUE"""),"Sedans")</f>
        <v>Sedans</v>
      </c>
      <c r="E348" s="40" t="str">
        <f ca="1">IFERROR(__xludf.DUMMYFUNCTION("""COMPUTED_VALUE"""),"https://docs.fivem.net/vehicles/primo.webp")</f>
        <v>https://docs.fivem.net/vehicles/primo.webp</v>
      </c>
    </row>
    <row r="349" spans="1:5" ht="15.75" customHeight="1" x14ac:dyDescent="0.4">
      <c r="A349" s="38" t="str">
        <f ca="1">IFERROR(__xludf.DUMMYFUNCTION("""COMPUTED_VALUE"""),"primo2")</f>
        <v>primo2</v>
      </c>
      <c r="B349" s="38" t="str">
        <f ca="1">IFERROR(__xludf.DUMMYFUNCTION("""COMPUTED_VALUE"""),"Primo Custom")</f>
        <v>Primo Custom</v>
      </c>
      <c r="C349" s="39">
        <f ca="1">IFERROR(__xludf.DUMMYFUNCTION("""COMPUTED_VALUE"""),7500)</f>
        <v>7500</v>
      </c>
      <c r="D349" s="39" t="str">
        <f ca="1">IFERROR(__xludf.DUMMYFUNCTION("""COMPUTED_VALUE"""),"Sedans")</f>
        <v>Sedans</v>
      </c>
      <c r="E349" s="40" t="str">
        <f ca="1">IFERROR(__xludf.DUMMYFUNCTION("""COMPUTED_VALUE"""),"https://docs.fivem.net/vehicles/primo2.webp")</f>
        <v>https://docs.fivem.net/vehicles/primo2.webp</v>
      </c>
    </row>
    <row r="350" spans="1:5" ht="15.75" customHeight="1" x14ac:dyDescent="0.4">
      <c r="A350" s="38" t="str">
        <f ca="1">IFERROR(__xludf.DUMMYFUNCTION("""COMPUTED_VALUE"""),"regina")</f>
        <v>regina</v>
      </c>
      <c r="B350" s="38" t="str">
        <f ca="1">IFERROR(__xludf.DUMMYFUNCTION("""COMPUTED_VALUE"""),"Regina")</f>
        <v>Regina</v>
      </c>
      <c r="C350" s="39">
        <f ca="1">IFERROR(__xludf.DUMMYFUNCTION("""COMPUTED_VALUE"""),7000)</f>
        <v>7000</v>
      </c>
      <c r="D350" s="39" t="str">
        <f ca="1">IFERROR(__xludf.DUMMYFUNCTION("""COMPUTED_VALUE"""),"Sedans")</f>
        <v>Sedans</v>
      </c>
      <c r="E350" s="40" t="str">
        <f ca="1">IFERROR(__xludf.DUMMYFUNCTION("""COMPUTED_VALUE"""),"https://docs.fivem.net/vehicles/regina.webp")</f>
        <v>https://docs.fivem.net/vehicles/regina.webp</v>
      </c>
    </row>
    <row r="351" spans="1:5" ht="15.75" customHeight="1" x14ac:dyDescent="0.4">
      <c r="A351" s="38" t="str">
        <f ca="1">IFERROR(__xludf.DUMMYFUNCTION("""COMPUTED_VALUE"""),"rhinehart")</f>
        <v>rhinehart</v>
      </c>
      <c r="B351" s="38" t="str">
        <f ca="1">IFERROR(__xludf.DUMMYFUNCTION("""COMPUTED_VALUE"""),"Rhinehart")</f>
        <v>Rhinehart</v>
      </c>
      <c r="C351" s="39">
        <f ca="1">IFERROR(__xludf.DUMMYFUNCTION("""COMPUTED_VALUE"""),46000)</f>
        <v>46000</v>
      </c>
      <c r="D351" s="39" t="str">
        <f ca="1">IFERROR(__xludf.DUMMYFUNCTION("""COMPUTED_VALUE"""),"Sedans")</f>
        <v>Sedans</v>
      </c>
      <c r="E351" s="40" t="str">
        <f ca="1">IFERROR(__xludf.DUMMYFUNCTION("""COMPUTED_VALUE"""),"https://docs.fivem.net/vehicles/rhinehart.webp")</f>
        <v>https://docs.fivem.net/vehicles/rhinehart.webp</v>
      </c>
    </row>
    <row r="352" spans="1:5" ht="15.75" customHeight="1" x14ac:dyDescent="0.4">
      <c r="A352" s="38" t="str">
        <f ca="1">IFERROR(__xludf.DUMMYFUNCTION("""COMPUTED_VALUE"""),"schafter2")</f>
        <v>schafter2</v>
      </c>
      <c r="B352" s="38" t="str">
        <f ca="1">IFERROR(__xludf.DUMMYFUNCTION("""COMPUTED_VALUE"""),"Schafter")</f>
        <v>Schafter</v>
      </c>
      <c r="C352" s="39">
        <f ca="1">IFERROR(__xludf.DUMMYFUNCTION("""COMPUTED_VALUE"""),38000)</f>
        <v>38000</v>
      </c>
      <c r="D352" s="39" t="str">
        <f ca="1">IFERROR(__xludf.DUMMYFUNCTION("""COMPUTED_VALUE"""),"Sedans")</f>
        <v>Sedans</v>
      </c>
      <c r="E352" s="40" t="str">
        <f ca="1">IFERROR(__xludf.DUMMYFUNCTION("""COMPUTED_VALUE"""),"https://docs.fivem.net/vehicles/schafter2.webp")</f>
        <v>https://docs.fivem.net/vehicles/schafter2.webp</v>
      </c>
    </row>
    <row r="353" spans="1:5" ht="15.75" customHeight="1" x14ac:dyDescent="0.4">
      <c r="A353" s="38" t="str">
        <f ca="1">IFERROR(__xludf.DUMMYFUNCTION("""COMPUTED_VALUE"""),"stafford")</f>
        <v>stafford</v>
      </c>
      <c r="B353" s="38" t="str">
        <f ca="1">IFERROR(__xludf.DUMMYFUNCTION("""COMPUTED_VALUE"""),"Stafford")</f>
        <v>Stafford</v>
      </c>
      <c r="C353" s="39">
        <f ca="1">IFERROR(__xludf.DUMMYFUNCTION("""COMPUTED_VALUE"""),36000)</f>
        <v>36000</v>
      </c>
      <c r="D353" s="39" t="str">
        <f ca="1">IFERROR(__xludf.DUMMYFUNCTION("""COMPUTED_VALUE"""),"Sedans")</f>
        <v>Sedans</v>
      </c>
      <c r="E353" s="40" t="str">
        <f ca="1">IFERROR(__xludf.DUMMYFUNCTION("""COMPUTED_VALUE"""),"https://docs.fivem.net/vehicles/stafford.webp")</f>
        <v>https://docs.fivem.net/vehicles/stafford.webp</v>
      </c>
    </row>
    <row r="354" spans="1:5" ht="15.75" customHeight="1" x14ac:dyDescent="0.4">
      <c r="A354" s="38" t="str">
        <f ca="1">IFERROR(__xludf.DUMMYFUNCTION("""COMPUTED_VALUE"""),"stanier")</f>
        <v>stanier</v>
      </c>
      <c r="B354" s="38" t="str">
        <f ca="1">IFERROR(__xludf.DUMMYFUNCTION("""COMPUTED_VALUE"""),"Stanier")</f>
        <v>Stanier</v>
      </c>
      <c r="C354" s="39">
        <f ca="1">IFERROR(__xludf.DUMMYFUNCTION("""COMPUTED_VALUE"""),26000)</f>
        <v>26000</v>
      </c>
      <c r="D354" s="39" t="str">
        <f ca="1">IFERROR(__xludf.DUMMYFUNCTION("""COMPUTED_VALUE"""),"Sedans")</f>
        <v>Sedans</v>
      </c>
      <c r="E354" s="40" t="str">
        <f ca="1">IFERROR(__xludf.DUMMYFUNCTION("""COMPUTED_VALUE"""),"https://docs.fivem.net/vehicles/stanier.webp")</f>
        <v>https://docs.fivem.net/vehicles/stanier.webp</v>
      </c>
    </row>
    <row r="355" spans="1:5" ht="15.75" customHeight="1" x14ac:dyDescent="0.4">
      <c r="A355" s="38" t="str">
        <f ca="1">IFERROR(__xludf.DUMMYFUNCTION("""COMPUTED_VALUE"""),"stratum")</f>
        <v>stratum</v>
      </c>
      <c r="B355" s="38" t="str">
        <f ca="1">IFERROR(__xludf.DUMMYFUNCTION("""COMPUTED_VALUE"""),"Stratum")</f>
        <v>Stratum</v>
      </c>
      <c r="C355" s="39">
        <f ca="1">IFERROR(__xludf.DUMMYFUNCTION("""COMPUTED_VALUE"""),19000)</f>
        <v>19000</v>
      </c>
      <c r="D355" s="39" t="str">
        <f ca="1">IFERROR(__xludf.DUMMYFUNCTION("""COMPUTED_VALUE"""),"Sedans")</f>
        <v>Sedans</v>
      </c>
      <c r="E355" s="40" t="str">
        <f ca="1">IFERROR(__xludf.DUMMYFUNCTION("""COMPUTED_VALUE"""),"https://docs.fivem.net/vehicles/stratum.webp")</f>
        <v>https://docs.fivem.net/vehicles/stratum.webp</v>
      </c>
    </row>
    <row r="356" spans="1:5" ht="15.75" customHeight="1" x14ac:dyDescent="0.4">
      <c r="A356" s="38" t="str">
        <f ca="1">IFERROR(__xludf.DUMMYFUNCTION("""COMPUTED_VALUE"""),"superd")</f>
        <v>superd</v>
      </c>
      <c r="B356" s="38" t="str">
        <f ca="1">IFERROR(__xludf.DUMMYFUNCTION("""COMPUTED_VALUE"""),"Super Diamond")</f>
        <v>Super Diamond</v>
      </c>
      <c r="C356" s="39">
        <f ca="1">IFERROR(__xludf.DUMMYFUNCTION("""COMPUTED_VALUE"""),87000)</f>
        <v>87000</v>
      </c>
      <c r="D356" s="39" t="str">
        <f ca="1">IFERROR(__xludf.DUMMYFUNCTION("""COMPUTED_VALUE"""),"Sedans")</f>
        <v>Sedans</v>
      </c>
      <c r="E356" s="40" t="str">
        <f ca="1">IFERROR(__xludf.DUMMYFUNCTION("""COMPUTED_VALUE"""),"https://docs.fivem.net/vehicles/superd.webp")</f>
        <v>https://docs.fivem.net/vehicles/superd.webp</v>
      </c>
    </row>
    <row r="357" spans="1:5" ht="15.75" customHeight="1" x14ac:dyDescent="0.4">
      <c r="A357" s="38" t="str">
        <f ca="1">IFERROR(__xludf.DUMMYFUNCTION("""COMPUTED_VALUE"""),"surge")</f>
        <v>surge</v>
      </c>
      <c r="B357" s="38" t="str">
        <f ca="1">IFERROR(__xludf.DUMMYFUNCTION("""COMPUTED_VALUE"""),"Surge")</f>
        <v>Surge</v>
      </c>
      <c r="C357" s="39">
        <f ca="1">IFERROR(__xludf.DUMMYFUNCTION("""COMPUTED_VALUE"""),33000)</f>
        <v>33000</v>
      </c>
      <c r="D357" s="39" t="str">
        <f ca="1">IFERROR(__xludf.DUMMYFUNCTION("""COMPUTED_VALUE"""),"Sedans")</f>
        <v>Sedans</v>
      </c>
      <c r="E357" s="40" t="str">
        <f ca="1">IFERROR(__xludf.DUMMYFUNCTION("""COMPUTED_VALUE"""),"https://docs.fivem.net/vehicles/surge.webp")</f>
        <v>https://docs.fivem.net/vehicles/surge.webp</v>
      </c>
    </row>
    <row r="358" spans="1:5" ht="15.75" customHeight="1" x14ac:dyDescent="0.4">
      <c r="A358" s="38" t="str">
        <f ca="1">IFERROR(__xludf.DUMMYFUNCTION("""COMPUTED_VALUE"""),"tailgater")</f>
        <v>tailgater</v>
      </c>
      <c r="B358" s="38" t="str">
        <f ca="1">IFERROR(__xludf.DUMMYFUNCTION("""COMPUTED_VALUE"""),"Tailgater")</f>
        <v>Tailgater</v>
      </c>
      <c r="C358" s="39">
        <f ca="1">IFERROR(__xludf.DUMMYFUNCTION("""COMPUTED_VALUE"""),29000)</f>
        <v>29000</v>
      </c>
      <c r="D358" s="39" t="str">
        <f ca="1">IFERROR(__xludf.DUMMYFUNCTION("""COMPUTED_VALUE"""),"Sedans")</f>
        <v>Sedans</v>
      </c>
      <c r="E358" s="40" t="str">
        <f ca="1">IFERROR(__xludf.DUMMYFUNCTION("""COMPUTED_VALUE"""),"https://docs.fivem.net/vehicles/tailgater.webp")</f>
        <v>https://docs.fivem.net/vehicles/tailgater.webp</v>
      </c>
    </row>
    <row r="359" spans="1:5" ht="15.75" customHeight="1" x14ac:dyDescent="0.4">
      <c r="A359" s="38" t="str">
        <f ca="1">IFERROR(__xludf.DUMMYFUNCTION("""COMPUTED_VALUE"""),"tailgater2")</f>
        <v>tailgater2</v>
      </c>
      <c r="B359" s="38" t="str">
        <f ca="1">IFERROR(__xludf.DUMMYFUNCTION("""COMPUTED_VALUE"""),"Tailgater S")</f>
        <v>Tailgater S</v>
      </c>
      <c r="C359" s="39">
        <f ca="1">IFERROR(__xludf.DUMMYFUNCTION("""COMPUTED_VALUE"""),42000)</f>
        <v>42000</v>
      </c>
      <c r="D359" s="39" t="str">
        <f ca="1">IFERROR(__xludf.DUMMYFUNCTION("""COMPUTED_VALUE"""),"Sedans")</f>
        <v>Sedans</v>
      </c>
      <c r="E359" s="40" t="str">
        <f ca="1">IFERROR(__xludf.DUMMYFUNCTION("""COMPUTED_VALUE"""),"https://docs.fivem.net/vehicles/tailgater2.webp")</f>
        <v>https://docs.fivem.net/vehicles/tailgater2.webp</v>
      </c>
    </row>
    <row r="360" spans="1:5" ht="15.75" customHeight="1" x14ac:dyDescent="0.4">
      <c r="A360" s="38" t="str">
        <f ca="1">IFERROR(__xludf.DUMMYFUNCTION("""COMPUTED_VALUE"""),"warrener")</f>
        <v>warrener</v>
      </c>
      <c r="B360" s="38" t="str">
        <f ca="1">IFERROR(__xludf.DUMMYFUNCTION("""COMPUTED_VALUE"""),"Warrener")</f>
        <v>Warrener</v>
      </c>
      <c r="C360" s="39">
        <f ca="1">IFERROR(__xludf.DUMMYFUNCTION("""COMPUTED_VALUE"""),15000)</f>
        <v>15000</v>
      </c>
      <c r="D360" s="39" t="str">
        <f ca="1">IFERROR(__xludf.DUMMYFUNCTION("""COMPUTED_VALUE"""),"Sedans")</f>
        <v>Sedans</v>
      </c>
      <c r="E360" s="40" t="str">
        <f ca="1">IFERROR(__xludf.DUMMYFUNCTION("""COMPUTED_VALUE"""),"https://docs.fivem.net/vehicles/warrener.webp")</f>
        <v>https://docs.fivem.net/vehicles/warrener.webp</v>
      </c>
    </row>
    <row r="361" spans="1:5" ht="15.75" customHeight="1" x14ac:dyDescent="0.4">
      <c r="A361" s="38" t="str">
        <f ca="1">IFERROR(__xludf.DUMMYFUNCTION("""COMPUTED_VALUE"""),"warrener2")</f>
        <v>warrener2</v>
      </c>
      <c r="B361" s="38" t="str">
        <f ca="1">IFERROR(__xludf.DUMMYFUNCTION("""COMPUTED_VALUE"""),"Warrener HKR")</f>
        <v>Warrener HKR</v>
      </c>
      <c r="C361" s="39">
        <f ca="1">IFERROR(__xludf.DUMMYFUNCTION("""COMPUTED_VALUE"""),22000)</f>
        <v>22000</v>
      </c>
      <c r="D361" s="39" t="str">
        <f ca="1">IFERROR(__xludf.DUMMYFUNCTION("""COMPUTED_VALUE"""),"Sedans")</f>
        <v>Sedans</v>
      </c>
      <c r="E361" s="40" t="str">
        <f ca="1">IFERROR(__xludf.DUMMYFUNCTION("""COMPUTED_VALUE"""),"https://docs.fivem.net/vehicles/warrener2.webp")</f>
        <v>https://docs.fivem.net/vehicles/warrener2.webp</v>
      </c>
    </row>
    <row r="362" spans="1:5" ht="15.75" customHeight="1" x14ac:dyDescent="0.4">
      <c r="A362" s="38" t="str">
        <f ca="1">IFERROR(__xludf.DUMMYFUNCTION("""COMPUTED_VALUE"""),"washington")</f>
        <v>washington</v>
      </c>
      <c r="B362" s="38" t="str">
        <f ca="1">IFERROR(__xludf.DUMMYFUNCTION("""COMPUTED_VALUE"""),"Washington")</f>
        <v>Washington</v>
      </c>
      <c r="C362" s="39">
        <f ca="1">IFERROR(__xludf.DUMMYFUNCTION("""COMPUTED_VALUE"""),16500)</f>
        <v>16500</v>
      </c>
      <c r="D362" s="39" t="str">
        <f ca="1">IFERROR(__xludf.DUMMYFUNCTION("""COMPUTED_VALUE"""),"Sedans")</f>
        <v>Sedans</v>
      </c>
      <c r="E362" s="40" t="str">
        <f ca="1">IFERROR(__xludf.DUMMYFUNCTION("""COMPUTED_VALUE"""),"https://docs.fivem.net/vehicles/washington.webp")</f>
        <v>https://docs.fivem.net/vehicles/washington.webp</v>
      </c>
    </row>
    <row r="363" spans="1:5" ht="15.75" customHeight="1" x14ac:dyDescent="0.4">
      <c r="A363" s="38" t="str">
        <f ca="1">IFERROR(__xludf.DUMMYFUNCTION("""COMPUTED_VALUE"""),"adder")</f>
        <v>adder</v>
      </c>
      <c r="B363" s="38" t="str">
        <f ca="1">IFERROR(__xludf.DUMMYFUNCTION("""COMPUTED_VALUE"""),"Adder")</f>
        <v>Adder</v>
      </c>
      <c r="C363" s="39">
        <f ca="1">IFERROR(__xludf.DUMMYFUNCTION("""COMPUTED_VALUE"""),280000)</f>
        <v>280000</v>
      </c>
      <c r="D363" s="39" t="str">
        <f ca="1">IFERROR(__xludf.DUMMYFUNCTION("""COMPUTED_VALUE"""),"Superdeportivo")</f>
        <v>Superdeportivo</v>
      </c>
      <c r="E363" s="40" t="str">
        <f ca="1">IFERROR(__xludf.DUMMYFUNCTION("""COMPUTED_VALUE"""),"https://docs.fivem.net/vehicles/adder.webp")</f>
        <v>https://docs.fivem.net/vehicles/adder.webp</v>
      </c>
    </row>
    <row r="364" spans="1:5" ht="15.75" customHeight="1" x14ac:dyDescent="0.4">
      <c r="A364" s="38" t="str">
        <f ca="1">IFERROR(__xludf.DUMMYFUNCTION("""COMPUTED_VALUE"""),"autarch")</f>
        <v>autarch</v>
      </c>
      <c r="B364" s="38" t="str">
        <f ca="1">IFERROR(__xludf.DUMMYFUNCTION("""COMPUTED_VALUE"""),"Autarch")</f>
        <v>Autarch</v>
      </c>
      <c r="C364" s="39">
        <f ca="1">IFERROR(__xludf.DUMMYFUNCTION("""COMPUTED_VALUE"""),291000)</f>
        <v>291000</v>
      </c>
      <c r="D364" s="39" t="str">
        <f ca="1">IFERROR(__xludf.DUMMYFUNCTION("""COMPUTED_VALUE"""),"Superdeportivo")</f>
        <v>Superdeportivo</v>
      </c>
      <c r="E364" s="40" t="str">
        <f ca="1">IFERROR(__xludf.DUMMYFUNCTION("""COMPUTED_VALUE"""),"https://docs.fivem.net/vehicles/autarch.webp")</f>
        <v>https://docs.fivem.net/vehicles/autarch.webp</v>
      </c>
    </row>
    <row r="365" spans="1:5" ht="15.75" customHeight="1" x14ac:dyDescent="0.4">
      <c r="A365" s="38" t="str">
        <f ca="1">IFERROR(__xludf.DUMMYFUNCTION("""COMPUTED_VALUE"""),"banshee2")</f>
        <v>banshee2</v>
      </c>
      <c r="B365" s="38" t="str">
        <f ca="1">IFERROR(__xludf.DUMMYFUNCTION("""COMPUTED_VALUE"""),"Banshee 900R")</f>
        <v>Banshee 900R</v>
      </c>
      <c r="C365" s="39">
        <f ca="1">IFERROR(__xludf.DUMMYFUNCTION("""COMPUTED_VALUE"""),143000)</f>
        <v>143000</v>
      </c>
      <c r="D365" s="39" t="str">
        <f ca="1">IFERROR(__xludf.DUMMYFUNCTION("""COMPUTED_VALUE"""),"Superdeportivo")</f>
        <v>Superdeportivo</v>
      </c>
      <c r="E365" s="40" t="str">
        <f ca="1">IFERROR(__xludf.DUMMYFUNCTION("""COMPUTED_VALUE"""),"https://docs.fivem.net/vehicles/banshee2.webp")</f>
        <v>https://docs.fivem.net/vehicles/banshee2.webp</v>
      </c>
    </row>
    <row r="366" spans="1:5" ht="15.75" customHeight="1" x14ac:dyDescent="0.4">
      <c r="A366" s="38" t="str">
        <f ca="1">IFERROR(__xludf.DUMMYFUNCTION("""COMPUTED_VALUE"""),"bullet")</f>
        <v>bullet</v>
      </c>
      <c r="B366" s="38" t="str">
        <f ca="1">IFERROR(__xludf.DUMMYFUNCTION("""COMPUTED_VALUE"""),"Bullet")</f>
        <v>Bullet</v>
      </c>
      <c r="C366" s="39">
        <f ca="1">IFERROR(__xludf.DUMMYFUNCTION("""COMPUTED_VALUE"""),145000)</f>
        <v>145000</v>
      </c>
      <c r="D366" s="39" t="str">
        <f ca="1">IFERROR(__xludf.DUMMYFUNCTION("""COMPUTED_VALUE"""),"Superdeportivo")</f>
        <v>Superdeportivo</v>
      </c>
      <c r="E366" s="40" t="str">
        <f ca="1">IFERROR(__xludf.DUMMYFUNCTION("""COMPUTED_VALUE"""),"https://docs.fivem.net/vehicles/bullet.webp")</f>
        <v>https://docs.fivem.net/vehicles/bullet.webp</v>
      </c>
    </row>
    <row r="367" spans="1:5" ht="15.75" customHeight="1" x14ac:dyDescent="0.4">
      <c r="A367" s="38" t="str">
        <f ca="1">IFERROR(__xludf.DUMMYFUNCTION("""COMPUTED_VALUE"""),"cheetah")</f>
        <v>cheetah</v>
      </c>
      <c r="B367" s="38" t="str">
        <f ca="1">IFERROR(__xludf.DUMMYFUNCTION("""COMPUTED_VALUE"""),"Cheetah")</f>
        <v>Cheetah</v>
      </c>
      <c r="C367" s="39">
        <f ca="1">IFERROR(__xludf.DUMMYFUNCTION("""COMPUTED_VALUE"""),200000)</f>
        <v>200000</v>
      </c>
      <c r="D367" s="39" t="str">
        <f ca="1">IFERROR(__xludf.DUMMYFUNCTION("""COMPUTED_VALUE"""),"Superdeportivo")</f>
        <v>Superdeportivo</v>
      </c>
      <c r="E367" s="40" t="str">
        <f ca="1">IFERROR(__xludf.DUMMYFUNCTION("""COMPUTED_VALUE"""),"https://docs.fivem.net/vehicles/cheetah.webp")</f>
        <v>https://docs.fivem.net/vehicles/cheetah.webp</v>
      </c>
    </row>
    <row r="368" spans="1:5" ht="15.75" customHeight="1" x14ac:dyDescent="0.4">
      <c r="A368" s="38" t="str">
        <f ca="1">IFERROR(__xludf.DUMMYFUNCTION("""COMPUTED_VALUE"""),"corsita")</f>
        <v>corsita</v>
      </c>
      <c r="B368" s="38" t="str">
        <f ca="1">IFERROR(__xludf.DUMMYFUNCTION("""COMPUTED_VALUE"""),"Corsita")</f>
        <v>Corsita</v>
      </c>
      <c r="C368" s="39">
        <f ca="1">IFERROR(__xludf.DUMMYFUNCTION("""COMPUTED_VALUE"""),188000)</f>
        <v>188000</v>
      </c>
      <c r="D368" s="39" t="str">
        <f ca="1">IFERROR(__xludf.DUMMYFUNCTION("""COMPUTED_VALUE"""),"Superdeportivo")</f>
        <v>Superdeportivo</v>
      </c>
      <c r="E368" s="40" t="str">
        <f ca="1">IFERROR(__xludf.DUMMYFUNCTION("""COMPUTED_VALUE"""),"https://docs.fivem.net/vehicles/corsita.webp")</f>
        <v>https://docs.fivem.net/vehicles/corsita.webp</v>
      </c>
    </row>
    <row r="369" spans="1:5" ht="15.75" customHeight="1" x14ac:dyDescent="0.4">
      <c r="A369" s="38" t="str">
        <f ca="1">IFERROR(__xludf.DUMMYFUNCTION("""COMPUTED_VALUE"""),"cyclone")</f>
        <v>cyclone</v>
      </c>
      <c r="B369" s="38" t="str">
        <f ca="1">IFERROR(__xludf.DUMMYFUNCTION("""COMPUTED_VALUE"""),"Cyclone")</f>
        <v>Cyclone</v>
      </c>
      <c r="C369" s="39">
        <f ca="1">IFERROR(__xludf.DUMMYFUNCTION("""COMPUTED_VALUE"""),190000)</f>
        <v>190000</v>
      </c>
      <c r="D369" s="39" t="str">
        <f ca="1">IFERROR(__xludf.DUMMYFUNCTION("""COMPUTED_VALUE"""),"Superdeportivo")</f>
        <v>Superdeportivo</v>
      </c>
      <c r="E369" s="40" t="str">
        <f ca="1">IFERROR(__xludf.DUMMYFUNCTION("""COMPUTED_VALUE"""),"https://docs.fivem.net/vehicles/cyclone.webp")</f>
        <v>https://docs.fivem.net/vehicles/cyclone.webp</v>
      </c>
    </row>
    <row r="370" spans="1:5" ht="15.75" customHeight="1" x14ac:dyDescent="0.4">
      <c r="A370" s="38" t="str">
        <f ca="1">IFERROR(__xludf.DUMMYFUNCTION("""COMPUTED_VALUE"""),"deveste")</f>
        <v>deveste</v>
      </c>
      <c r="B370" s="38" t="str">
        <f ca="1">IFERROR(__xludf.DUMMYFUNCTION("""COMPUTED_VALUE"""),"Deveste")</f>
        <v>Deveste</v>
      </c>
      <c r="C370" s="39">
        <f ca="1">IFERROR(__xludf.DUMMYFUNCTION("""COMPUTED_VALUE"""),634000)</f>
        <v>634000</v>
      </c>
      <c r="D370" s="39" t="str">
        <f ca="1">IFERROR(__xludf.DUMMYFUNCTION("""COMPUTED_VALUE"""),"Superdeportivo")</f>
        <v>Superdeportivo</v>
      </c>
      <c r="E370" s="40" t="str">
        <f ca="1">IFERROR(__xludf.DUMMYFUNCTION("""COMPUTED_VALUE"""),"https://docs.fivem.net/vehicles/deveste.webp")</f>
        <v>https://docs.fivem.net/vehicles/deveste.webp</v>
      </c>
    </row>
    <row r="371" spans="1:5" ht="15.75" customHeight="1" x14ac:dyDescent="0.4">
      <c r="A371" s="38" t="str">
        <f ca="1">IFERROR(__xludf.DUMMYFUNCTION("""COMPUTED_VALUE"""),"emerus")</f>
        <v>emerus</v>
      </c>
      <c r="B371" s="38" t="str">
        <f ca="1">IFERROR(__xludf.DUMMYFUNCTION("""COMPUTED_VALUE"""),"Emerus")</f>
        <v>Emerus</v>
      </c>
      <c r="C371" s="39">
        <f ca="1">IFERROR(__xludf.DUMMYFUNCTION("""COMPUTED_VALUE"""),220000)</f>
        <v>220000</v>
      </c>
      <c r="D371" s="39" t="str">
        <f ca="1">IFERROR(__xludf.DUMMYFUNCTION("""COMPUTED_VALUE"""),"Superdeportivo")</f>
        <v>Superdeportivo</v>
      </c>
      <c r="E371" s="40" t="str">
        <f ca="1">IFERROR(__xludf.DUMMYFUNCTION("""COMPUTED_VALUE"""),"https://docs.fivem.net/vehicles/emerus.webp")</f>
        <v>https://docs.fivem.net/vehicles/emerus.webp</v>
      </c>
    </row>
    <row r="372" spans="1:5" ht="15.75" customHeight="1" x14ac:dyDescent="0.4">
      <c r="A372" s="38" t="str">
        <f ca="1">IFERROR(__xludf.DUMMYFUNCTION("""COMPUTED_VALUE"""),"entity2")</f>
        <v>entity2</v>
      </c>
      <c r="B372" s="38" t="str">
        <f ca="1">IFERROR(__xludf.DUMMYFUNCTION("""COMPUTED_VALUE"""),"Entity XXR")</f>
        <v>Entity XXR</v>
      </c>
      <c r="C372" s="39">
        <f ca="1">IFERROR(__xludf.DUMMYFUNCTION("""COMPUTED_VALUE"""),275000)</f>
        <v>275000</v>
      </c>
      <c r="D372" s="39" t="str">
        <f ca="1">IFERROR(__xludf.DUMMYFUNCTION("""COMPUTED_VALUE"""),"Superdeportivo")</f>
        <v>Superdeportivo</v>
      </c>
      <c r="E372" s="40" t="str">
        <f ca="1">IFERROR(__xludf.DUMMYFUNCTION("""COMPUTED_VALUE"""),"https://docs.fivem.net/vehicles/entity2.webp")</f>
        <v>https://docs.fivem.net/vehicles/entity2.webp</v>
      </c>
    </row>
    <row r="373" spans="1:5" ht="15.75" customHeight="1" x14ac:dyDescent="0.4">
      <c r="A373" s="38" t="str">
        <f ca="1">IFERROR(__xludf.DUMMYFUNCTION("""COMPUTED_VALUE"""),"entity3")</f>
        <v>entity3</v>
      </c>
      <c r="B373" s="38" t="str">
        <f ca="1">IFERROR(__xludf.DUMMYFUNCTION("""COMPUTED_VALUE"""),"Entity MT")</f>
        <v>Entity MT</v>
      </c>
      <c r="C373" s="39">
        <f ca="1">IFERROR(__xludf.DUMMYFUNCTION("""COMPUTED_VALUE"""),430000)</f>
        <v>430000</v>
      </c>
      <c r="D373" s="39" t="str">
        <f ca="1">IFERROR(__xludf.DUMMYFUNCTION("""COMPUTED_VALUE"""),"Superdeportivo")</f>
        <v>Superdeportivo</v>
      </c>
      <c r="E373" s="40" t="str">
        <f ca="1">IFERROR(__xludf.DUMMYFUNCTION("""COMPUTED_VALUE"""),"https://docs.fivem.net/vehicles/entity3.webp")</f>
        <v>https://docs.fivem.net/vehicles/entity3.webp</v>
      </c>
    </row>
    <row r="374" spans="1:5" ht="15.75" customHeight="1" x14ac:dyDescent="0.4">
      <c r="A374" s="38" t="str">
        <f ca="1">IFERROR(__xludf.DUMMYFUNCTION("""COMPUTED_VALUE"""),"entityxf")</f>
        <v>entityxf</v>
      </c>
      <c r="B374" s="38" t="str">
        <f ca="1">IFERROR(__xludf.DUMMYFUNCTION("""COMPUTED_VALUE"""),"Entity XF")</f>
        <v>Entity XF</v>
      </c>
      <c r="C374" s="39">
        <f ca="1">IFERROR(__xludf.DUMMYFUNCTION("""COMPUTED_VALUE"""),220000)</f>
        <v>220000</v>
      </c>
      <c r="D374" s="39" t="str">
        <f ca="1">IFERROR(__xludf.DUMMYFUNCTION("""COMPUTED_VALUE"""),"Superdeportivo")</f>
        <v>Superdeportivo</v>
      </c>
      <c r="E374" s="40" t="str">
        <f ca="1">IFERROR(__xludf.DUMMYFUNCTION("""COMPUTED_VALUE"""),"https://docs.fivem.net/vehicles/entityxf.webp")</f>
        <v>https://docs.fivem.net/vehicles/entityxf.webp</v>
      </c>
    </row>
    <row r="375" spans="1:5" ht="15.75" customHeight="1" x14ac:dyDescent="0.4">
      <c r="A375" s="38" t="str">
        <f ca="1">IFERROR(__xludf.DUMMYFUNCTION("""COMPUTED_VALUE"""),"fmj")</f>
        <v>fmj</v>
      </c>
      <c r="B375" s="38" t="str">
        <f ca="1">IFERROR(__xludf.DUMMYFUNCTION("""COMPUTED_VALUE"""),"FMJ")</f>
        <v>FMJ</v>
      </c>
      <c r="C375" s="39">
        <f ca="1">IFERROR(__xludf.DUMMYFUNCTION("""COMPUTED_VALUE"""),195000)</f>
        <v>195000</v>
      </c>
      <c r="D375" s="39" t="str">
        <f ca="1">IFERROR(__xludf.DUMMYFUNCTION("""COMPUTED_VALUE"""),"Superdeportivo")</f>
        <v>Superdeportivo</v>
      </c>
      <c r="E375" s="40" t="str">
        <f ca="1">IFERROR(__xludf.DUMMYFUNCTION("""COMPUTED_VALUE"""),"https://docs.fivem.net/vehicles/fmj.webp")</f>
        <v>https://docs.fivem.net/vehicles/fmj.webp</v>
      </c>
    </row>
    <row r="376" spans="1:5" ht="15.75" customHeight="1" x14ac:dyDescent="0.4">
      <c r="A376" s="38" t="str">
        <f ca="1">IFERROR(__xludf.DUMMYFUNCTION("""COMPUTED_VALUE"""),"furia")</f>
        <v>furia</v>
      </c>
      <c r="B376" s="38" t="str">
        <f ca="1">IFERROR(__xludf.DUMMYFUNCTION("""COMPUTED_VALUE"""),"Furia")</f>
        <v>Furia</v>
      </c>
      <c r="C376" s="39">
        <f ca="1">IFERROR(__xludf.DUMMYFUNCTION("""COMPUTED_VALUE"""),230000)</f>
        <v>230000</v>
      </c>
      <c r="D376" s="39" t="str">
        <f ca="1">IFERROR(__xludf.DUMMYFUNCTION("""COMPUTED_VALUE"""),"Superdeportivo")</f>
        <v>Superdeportivo</v>
      </c>
      <c r="E376" s="40" t="str">
        <f ca="1">IFERROR(__xludf.DUMMYFUNCTION("""COMPUTED_VALUE"""),"https://docs.fivem.net/vehicles/furia.webp")</f>
        <v>https://docs.fivem.net/vehicles/furia.webp</v>
      </c>
    </row>
    <row r="377" spans="1:5" ht="15.75" customHeight="1" x14ac:dyDescent="0.4">
      <c r="A377" s="38" t="str">
        <f ca="1">IFERROR(__xludf.DUMMYFUNCTION("""COMPUTED_VALUE"""),"gp1")</f>
        <v>gp1</v>
      </c>
      <c r="B377" s="38" t="str">
        <f ca="1">IFERROR(__xludf.DUMMYFUNCTION("""COMPUTED_VALUE"""),"GP1")</f>
        <v>GP1</v>
      </c>
      <c r="C377" s="39">
        <f ca="1">IFERROR(__xludf.DUMMYFUNCTION("""COMPUTED_VALUE"""),160000)</f>
        <v>160000</v>
      </c>
      <c r="D377" s="39" t="str">
        <f ca="1">IFERROR(__xludf.DUMMYFUNCTION("""COMPUTED_VALUE"""),"Superdeportivo")</f>
        <v>Superdeportivo</v>
      </c>
      <c r="E377" s="40" t="str">
        <f ca="1">IFERROR(__xludf.DUMMYFUNCTION("""COMPUTED_VALUE"""),"https://docs.fivem.net/vehicles/gp1.webp")</f>
        <v>https://docs.fivem.net/vehicles/gp1.webp</v>
      </c>
    </row>
    <row r="378" spans="1:5" ht="15.75" customHeight="1" x14ac:dyDescent="0.4">
      <c r="A378" s="38" t="str">
        <f ca="1">IFERROR(__xludf.DUMMYFUNCTION("""COMPUTED_VALUE"""),"ignus")</f>
        <v>ignus</v>
      </c>
      <c r="B378" s="38" t="str">
        <f ca="1">IFERROR(__xludf.DUMMYFUNCTION("""COMPUTED_VALUE"""),"Ignus")</f>
        <v>Ignus</v>
      </c>
      <c r="C378" s="39">
        <f ca="1">IFERROR(__xludf.DUMMYFUNCTION("""COMPUTED_VALUE"""),390000)</f>
        <v>390000</v>
      </c>
      <c r="D378" s="39" t="str">
        <f ca="1">IFERROR(__xludf.DUMMYFUNCTION("""COMPUTED_VALUE"""),"Superdeportivo")</f>
        <v>Superdeportivo</v>
      </c>
      <c r="E378" s="40" t="str">
        <f ca="1">IFERROR(__xludf.DUMMYFUNCTION("""COMPUTED_VALUE"""),"https://docs.fivem.net/vehicles/ignus.webp")</f>
        <v>https://docs.fivem.net/vehicles/ignus.webp</v>
      </c>
    </row>
    <row r="379" spans="1:5" ht="15.75" customHeight="1" x14ac:dyDescent="0.4">
      <c r="A379" s="38" t="str">
        <f ca="1">IFERROR(__xludf.DUMMYFUNCTION("""COMPUTED_VALUE"""),"infernus")</f>
        <v>infernus</v>
      </c>
      <c r="B379" s="38" t="str">
        <f ca="1">IFERROR(__xludf.DUMMYFUNCTION("""COMPUTED_VALUE"""),"Infernus")</f>
        <v>Infernus</v>
      </c>
      <c r="C379" s="39">
        <f ca="1">IFERROR(__xludf.DUMMYFUNCTION("""COMPUTED_VALUE"""),155000)</f>
        <v>155000</v>
      </c>
      <c r="D379" s="39" t="str">
        <f ca="1">IFERROR(__xludf.DUMMYFUNCTION("""COMPUTED_VALUE"""),"Superdeportivo")</f>
        <v>Superdeportivo</v>
      </c>
      <c r="E379" s="40" t="str">
        <f ca="1">IFERROR(__xludf.DUMMYFUNCTION("""COMPUTED_VALUE"""),"https://docs.fivem.net/vehicles/infernus.webp")</f>
        <v>https://docs.fivem.net/vehicles/infernus.webp</v>
      </c>
    </row>
    <row r="380" spans="1:5" ht="15.75" customHeight="1" x14ac:dyDescent="0.4">
      <c r="A380" s="38" t="str">
        <f ca="1">IFERROR(__xludf.DUMMYFUNCTION("""COMPUTED_VALUE"""),"italigtb")</f>
        <v>italigtb</v>
      </c>
      <c r="B380" s="38" t="str">
        <f ca="1">IFERROR(__xludf.DUMMYFUNCTION("""COMPUTED_VALUE"""),"Itali GTB")</f>
        <v>Itali GTB</v>
      </c>
      <c r="C380" s="39">
        <f ca="1">IFERROR(__xludf.DUMMYFUNCTION("""COMPUTED_VALUE"""),450000)</f>
        <v>450000</v>
      </c>
      <c r="D380" s="39" t="str">
        <f ca="1">IFERROR(__xludf.DUMMYFUNCTION("""COMPUTED_VALUE"""),"Superdeportivo")</f>
        <v>Superdeportivo</v>
      </c>
      <c r="E380" s="40" t="str">
        <f ca="1">IFERROR(__xludf.DUMMYFUNCTION("""COMPUTED_VALUE"""),"https://docs.fivem.net/vehicles/italigtb.webp")</f>
        <v>https://docs.fivem.net/vehicles/italigtb.webp</v>
      </c>
    </row>
    <row r="381" spans="1:5" ht="15.75" customHeight="1" x14ac:dyDescent="0.4">
      <c r="A381" s="38" t="str">
        <f ca="1">IFERROR(__xludf.DUMMYFUNCTION("""COMPUTED_VALUE"""),"italigtb2")</f>
        <v>italigtb2</v>
      </c>
      <c r="B381" s="38" t="str">
        <f ca="1">IFERROR(__xludf.DUMMYFUNCTION("""COMPUTED_VALUE"""),"Itali GTB Custom")</f>
        <v>Itali GTB Custom</v>
      </c>
      <c r="C381" s="39">
        <f ca="1">IFERROR(__xludf.DUMMYFUNCTION("""COMPUTED_VALUE"""),475000)</f>
        <v>475000</v>
      </c>
      <c r="D381" s="39" t="str">
        <f ca="1">IFERROR(__xludf.DUMMYFUNCTION("""COMPUTED_VALUE"""),"Superdeportivo")</f>
        <v>Superdeportivo</v>
      </c>
      <c r="E381" s="40" t="str">
        <f ca="1">IFERROR(__xludf.DUMMYFUNCTION("""COMPUTED_VALUE"""),"https://docs.fivem.net/vehicles/italigtb2.webp")</f>
        <v>https://docs.fivem.net/vehicles/italigtb2.webp</v>
      </c>
    </row>
    <row r="382" spans="1:5" ht="15.75" customHeight="1" x14ac:dyDescent="0.4">
      <c r="A382" s="38" t="str">
        <f ca="1">IFERROR(__xludf.DUMMYFUNCTION("""COMPUTED_VALUE"""),"italirsx")</f>
        <v>italirsx</v>
      </c>
      <c r="B382" s="38" t="str">
        <f ca="1">IFERROR(__xludf.DUMMYFUNCTION("""COMPUTED_VALUE"""),"Itali RSX")</f>
        <v>Itali RSX</v>
      </c>
      <c r="C382" s="39">
        <f ca="1">IFERROR(__xludf.DUMMYFUNCTION("""COMPUTED_VALUE"""),397000)</f>
        <v>397000</v>
      </c>
      <c r="D382" s="39" t="str">
        <f ca="1">IFERROR(__xludf.DUMMYFUNCTION("""COMPUTED_VALUE"""),"Superdeportivo")</f>
        <v>Superdeportivo</v>
      </c>
      <c r="E382" s="40" t="str">
        <f ca="1">IFERROR(__xludf.DUMMYFUNCTION("""COMPUTED_VALUE"""),"https://docs.fivem.net/vehicles/italirsx.webp")</f>
        <v>https://docs.fivem.net/vehicles/italirsx.webp</v>
      </c>
    </row>
    <row r="383" spans="1:5" ht="15.75" customHeight="1" x14ac:dyDescent="0.4">
      <c r="A383" s="38" t="str">
        <f ca="1">IFERROR(__xludf.DUMMYFUNCTION("""COMPUTED_VALUE"""),"krieger")</f>
        <v>krieger</v>
      </c>
      <c r="B383" s="38" t="str">
        <f ca="1">IFERROR(__xludf.DUMMYFUNCTION("""COMPUTED_VALUE"""),"Krieger")</f>
        <v>Krieger</v>
      </c>
      <c r="C383" s="39">
        <f ca="1">IFERROR(__xludf.DUMMYFUNCTION("""COMPUTED_VALUE"""),388000)</f>
        <v>388000</v>
      </c>
      <c r="D383" s="39" t="str">
        <f ca="1">IFERROR(__xludf.DUMMYFUNCTION("""COMPUTED_VALUE"""),"Superdeportivo")</f>
        <v>Superdeportivo</v>
      </c>
      <c r="E383" s="40" t="str">
        <f ca="1">IFERROR(__xludf.DUMMYFUNCTION("""COMPUTED_VALUE"""),"https://docs.fivem.net/vehicles/krieger.webp")</f>
        <v>https://docs.fivem.net/vehicles/krieger.webp</v>
      </c>
    </row>
    <row r="384" spans="1:5" ht="15.75" customHeight="1" x14ac:dyDescent="0.4">
      <c r="A384" s="38" t="str">
        <f ca="1">IFERROR(__xludf.DUMMYFUNCTION("""COMPUTED_VALUE"""),"le7b")</f>
        <v>le7b</v>
      </c>
      <c r="B384" s="38" t="str">
        <f ca="1">IFERROR(__xludf.DUMMYFUNCTION("""COMPUTED_VALUE"""),"RE-7B")</f>
        <v>RE-7B</v>
      </c>
      <c r="C384" s="39">
        <f ca="1">IFERROR(__xludf.DUMMYFUNCTION("""COMPUTED_VALUE"""),275000)</f>
        <v>275000</v>
      </c>
      <c r="D384" s="39" t="str">
        <f ca="1">IFERROR(__xludf.DUMMYFUNCTION("""COMPUTED_VALUE"""),"Superdeportivo")</f>
        <v>Superdeportivo</v>
      </c>
      <c r="E384" s="40" t="str">
        <f ca="1">IFERROR(__xludf.DUMMYFUNCTION("""COMPUTED_VALUE"""),"https://docs.fivem.net/vehicles/le7b.webp")</f>
        <v>https://docs.fivem.net/vehicles/le7b.webp</v>
      </c>
    </row>
    <row r="385" spans="1:5" ht="15.75" customHeight="1" x14ac:dyDescent="0.4">
      <c r="A385" s="38" t="str">
        <f ca="1">IFERROR(__xludf.DUMMYFUNCTION("""COMPUTED_VALUE"""),"lm87")</f>
        <v>lm87</v>
      </c>
      <c r="B385" s="38" t="str">
        <f ca="1">IFERROR(__xludf.DUMMYFUNCTION("""COMPUTED_VALUE"""),"LM87")</f>
        <v>LM87</v>
      </c>
      <c r="C385" s="39">
        <f ca="1">IFERROR(__xludf.DUMMYFUNCTION("""COMPUTED_VALUE"""),1155000)</f>
        <v>1155000</v>
      </c>
      <c r="D385" s="39" t="str">
        <f ca="1">IFERROR(__xludf.DUMMYFUNCTION("""COMPUTED_VALUE"""),"Superdeportivo")</f>
        <v>Superdeportivo</v>
      </c>
      <c r="E385" s="40" t="str">
        <f ca="1">IFERROR(__xludf.DUMMYFUNCTION("""COMPUTED_VALUE"""),"https://docs.fivem.net/vehicles/lm87.webp")</f>
        <v>https://docs.fivem.net/vehicles/lm87.webp</v>
      </c>
    </row>
    <row r="386" spans="1:5" ht="15.75" customHeight="1" x14ac:dyDescent="0.4">
      <c r="A386" s="38" t="str">
        <f ca="1">IFERROR(__xludf.DUMMYFUNCTION("""COMPUTED_VALUE"""),"nero")</f>
        <v>nero</v>
      </c>
      <c r="B386" s="38" t="str">
        <f ca="1">IFERROR(__xludf.DUMMYFUNCTION("""COMPUTED_VALUE"""),"Nero")</f>
        <v>Nero</v>
      </c>
      <c r="C386" s="39">
        <f ca="1">IFERROR(__xludf.DUMMYFUNCTION("""COMPUTED_VALUE"""),650000)</f>
        <v>650000</v>
      </c>
      <c r="D386" s="39" t="str">
        <f ca="1">IFERROR(__xludf.DUMMYFUNCTION("""COMPUTED_VALUE"""),"Superdeportivo")</f>
        <v>Superdeportivo</v>
      </c>
      <c r="E386" s="40" t="str">
        <f ca="1">IFERROR(__xludf.DUMMYFUNCTION("""COMPUTED_VALUE"""),"https://docs.fivem.net/vehicles/nero.webp")</f>
        <v>https://docs.fivem.net/vehicles/nero.webp</v>
      </c>
    </row>
    <row r="387" spans="1:5" ht="15.75" customHeight="1" x14ac:dyDescent="0.4">
      <c r="A387" s="38" t="str">
        <f ca="1">IFERROR(__xludf.DUMMYFUNCTION("""COMPUTED_VALUE"""),"nero2")</f>
        <v>nero2</v>
      </c>
      <c r="B387" s="38" t="str">
        <f ca="1">IFERROR(__xludf.DUMMYFUNCTION("""COMPUTED_VALUE"""),"Nero Custom")</f>
        <v>Nero Custom</v>
      </c>
      <c r="C387" s="39">
        <f ca="1">IFERROR(__xludf.DUMMYFUNCTION("""COMPUTED_VALUE"""),675000)</f>
        <v>675000</v>
      </c>
      <c r="D387" s="39" t="str">
        <f ca="1">IFERROR(__xludf.DUMMYFUNCTION("""COMPUTED_VALUE"""),"Superdeportivo")</f>
        <v>Superdeportivo</v>
      </c>
      <c r="E387" s="40" t="str">
        <f ca="1">IFERROR(__xludf.DUMMYFUNCTION("""COMPUTED_VALUE"""),"https://docs.fivem.net/vehicles/nero2.webp")</f>
        <v>https://docs.fivem.net/vehicles/nero2.webp</v>
      </c>
    </row>
    <row r="388" spans="1:5" ht="15.75" customHeight="1" x14ac:dyDescent="0.4">
      <c r="A388" s="38" t="str">
        <f ca="1">IFERROR(__xludf.DUMMYFUNCTION("""COMPUTED_VALUE"""),"osiris")</f>
        <v>osiris</v>
      </c>
      <c r="B388" s="38" t="str">
        <f ca="1">IFERROR(__xludf.DUMMYFUNCTION("""COMPUTED_VALUE"""),"Osiris")</f>
        <v>Osiris</v>
      </c>
      <c r="C388" s="39">
        <f ca="1">IFERROR(__xludf.DUMMYFUNCTION("""COMPUTED_VALUE"""),494000)</f>
        <v>494000</v>
      </c>
      <c r="D388" s="39" t="str">
        <f ca="1">IFERROR(__xludf.DUMMYFUNCTION("""COMPUTED_VALUE"""),"Superdeportivo")</f>
        <v>Superdeportivo</v>
      </c>
      <c r="E388" s="40" t="str">
        <f ca="1">IFERROR(__xludf.DUMMYFUNCTION("""COMPUTED_VALUE"""),"https://docs.fivem.net/vehicles/osiris.webp")</f>
        <v>https://docs.fivem.net/vehicles/osiris.webp</v>
      </c>
    </row>
    <row r="389" spans="1:5" ht="15.75" customHeight="1" x14ac:dyDescent="0.4">
      <c r="A389" s="38" t="str">
        <f ca="1">IFERROR(__xludf.DUMMYFUNCTION("""COMPUTED_VALUE"""),"penetrator")</f>
        <v>penetrator</v>
      </c>
      <c r="B389" s="38" t="str">
        <f ca="1">IFERROR(__xludf.DUMMYFUNCTION("""COMPUTED_VALUE"""),"Penetrator")</f>
        <v>Penetrator</v>
      </c>
      <c r="C389" s="39">
        <f ca="1">IFERROR(__xludf.DUMMYFUNCTION("""COMPUTED_VALUE"""),190000)</f>
        <v>190000</v>
      </c>
      <c r="D389" s="39" t="str">
        <f ca="1">IFERROR(__xludf.DUMMYFUNCTION("""COMPUTED_VALUE"""),"Superdeportivo")</f>
        <v>Superdeportivo</v>
      </c>
      <c r="E389" s="40" t="str">
        <f ca="1">IFERROR(__xludf.DUMMYFUNCTION("""COMPUTED_VALUE"""),"https://docs.fivem.net/vehicles/penetrator.webp")</f>
        <v>https://docs.fivem.net/vehicles/penetrator.webp</v>
      </c>
    </row>
    <row r="390" spans="1:5" ht="15.75" customHeight="1" x14ac:dyDescent="0.4">
      <c r="A390" s="38" t="str">
        <f ca="1">IFERROR(__xludf.DUMMYFUNCTION("""COMPUTED_VALUE"""),"pfister811")</f>
        <v>pfister811</v>
      </c>
      <c r="B390" s="38">
        <f ca="1">IFERROR(__xludf.DUMMYFUNCTION("""COMPUTED_VALUE"""),811)</f>
        <v>811</v>
      </c>
      <c r="C390" s="39">
        <f ca="1">IFERROR(__xludf.DUMMYFUNCTION("""COMPUTED_VALUE"""),395000)</f>
        <v>395000</v>
      </c>
      <c r="D390" s="39" t="str">
        <f ca="1">IFERROR(__xludf.DUMMYFUNCTION("""COMPUTED_VALUE"""),"Superdeportivo")</f>
        <v>Superdeportivo</v>
      </c>
      <c r="E390" s="40" t="str">
        <f ca="1">IFERROR(__xludf.DUMMYFUNCTION("""COMPUTED_VALUE"""),"https://docs.fivem.net/vehicles/pfister811.webp")</f>
        <v>https://docs.fivem.net/vehicles/pfister811.webp</v>
      </c>
    </row>
    <row r="391" spans="1:5" ht="15.75" customHeight="1" x14ac:dyDescent="0.4">
      <c r="A391" s="38" t="str">
        <f ca="1">IFERROR(__xludf.DUMMYFUNCTION("""COMPUTED_VALUE"""),"prototipo")</f>
        <v>prototipo</v>
      </c>
      <c r="B391" s="38" t="str">
        <f ca="1">IFERROR(__xludf.DUMMYFUNCTION("""COMPUTED_VALUE"""),"X80 Proto")</f>
        <v>X80 Proto</v>
      </c>
      <c r="C391" s="39">
        <f ca="1">IFERROR(__xludf.DUMMYFUNCTION("""COMPUTED_VALUE"""),735000)</f>
        <v>735000</v>
      </c>
      <c r="D391" s="39" t="str">
        <f ca="1">IFERROR(__xludf.DUMMYFUNCTION("""COMPUTED_VALUE"""),"Superdeportivo")</f>
        <v>Superdeportivo</v>
      </c>
      <c r="E391" s="40" t="str">
        <f ca="1">IFERROR(__xludf.DUMMYFUNCTION("""COMPUTED_VALUE"""),"https://docs.fivem.net/vehicles/prototipo.webp")</f>
        <v>https://docs.fivem.net/vehicles/prototipo.webp</v>
      </c>
    </row>
    <row r="392" spans="1:5" ht="15.75" customHeight="1" x14ac:dyDescent="0.4">
      <c r="A392" s="38" t="str">
        <f ca="1">IFERROR(__xludf.DUMMYFUNCTION("""COMPUTED_VALUE"""),"reaper")</f>
        <v>reaper</v>
      </c>
      <c r="B392" s="38" t="str">
        <f ca="1">IFERROR(__xludf.DUMMYFUNCTION("""COMPUTED_VALUE"""),"Reaper")</f>
        <v>Reaper</v>
      </c>
      <c r="C392" s="39">
        <f ca="1">IFERROR(__xludf.DUMMYFUNCTION("""COMPUTED_VALUE"""),235000)</f>
        <v>235000</v>
      </c>
      <c r="D392" s="39" t="str">
        <f ca="1">IFERROR(__xludf.DUMMYFUNCTION("""COMPUTED_VALUE"""),"Superdeportivo")</f>
        <v>Superdeportivo</v>
      </c>
      <c r="E392" s="40" t="str">
        <f ca="1">IFERROR(__xludf.DUMMYFUNCTION("""COMPUTED_VALUE"""),"https://docs.fivem.net/vehicles/reaper.webp")</f>
        <v>https://docs.fivem.net/vehicles/reaper.webp</v>
      </c>
    </row>
    <row r="393" spans="1:5" ht="15.75" customHeight="1" x14ac:dyDescent="0.4">
      <c r="A393" s="38" t="str">
        <f ca="1">IFERROR(__xludf.DUMMYFUNCTION("""COMPUTED_VALUE"""),"s80")</f>
        <v>s80</v>
      </c>
      <c r="B393" s="38" t="str">
        <f ca="1">IFERROR(__xludf.DUMMYFUNCTION("""COMPUTED_VALUE"""),"S80RR")</f>
        <v>S80RR</v>
      </c>
      <c r="C393" s="39">
        <f ca="1">IFERROR(__xludf.DUMMYFUNCTION("""COMPUTED_VALUE"""),875000)</f>
        <v>875000</v>
      </c>
      <c r="D393" s="39" t="str">
        <f ca="1">IFERROR(__xludf.DUMMYFUNCTION("""COMPUTED_VALUE"""),"Superdeportivo")</f>
        <v>Superdeportivo</v>
      </c>
      <c r="E393" s="40" t="str">
        <f ca="1">IFERROR(__xludf.DUMMYFUNCTION("""COMPUTED_VALUE"""),"https://docs.fivem.net/vehicles/s80.webp")</f>
        <v>https://docs.fivem.net/vehicles/s80.webp</v>
      </c>
    </row>
    <row r="394" spans="1:5" ht="15.75" customHeight="1" x14ac:dyDescent="0.4">
      <c r="A394" s="38" t="str">
        <f ca="1">IFERROR(__xludf.DUMMYFUNCTION("""COMPUTED_VALUE"""),"sc1")</f>
        <v>sc1</v>
      </c>
      <c r="B394" s="38" t="str">
        <f ca="1">IFERROR(__xludf.DUMMYFUNCTION("""COMPUTED_VALUE"""),"SC1")</f>
        <v>SC1</v>
      </c>
      <c r="C394" s="39">
        <f ca="1">IFERROR(__xludf.DUMMYFUNCTION("""COMPUTED_VALUE"""),175000)</f>
        <v>175000</v>
      </c>
      <c r="D394" s="39" t="str">
        <f ca="1">IFERROR(__xludf.DUMMYFUNCTION("""COMPUTED_VALUE"""),"Superdeportivo")</f>
        <v>Superdeportivo</v>
      </c>
      <c r="E394" s="40" t="str">
        <f ca="1">IFERROR(__xludf.DUMMYFUNCTION("""COMPUTED_VALUE"""),"https://docs.fivem.net/vehicles/sc1.webp")</f>
        <v>https://docs.fivem.net/vehicles/sc1.webp</v>
      </c>
    </row>
    <row r="395" spans="1:5" ht="15.75" customHeight="1" x14ac:dyDescent="0.4">
      <c r="A395" s="38" t="str">
        <f ca="1">IFERROR(__xludf.DUMMYFUNCTION("""COMPUTED_VALUE"""),"sheava")</f>
        <v>sheava</v>
      </c>
      <c r="B395" s="38" t="str">
        <f ca="1">IFERROR(__xludf.DUMMYFUNCTION("""COMPUTED_VALUE"""),"ETR1")</f>
        <v>ETR1</v>
      </c>
      <c r="C395" s="39">
        <f ca="1">IFERROR(__xludf.DUMMYFUNCTION("""COMPUTED_VALUE"""),190000)</f>
        <v>190000</v>
      </c>
      <c r="D395" s="39" t="str">
        <f ca="1">IFERROR(__xludf.DUMMYFUNCTION("""COMPUTED_VALUE"""),"Superdeportivo")</f>
        <v>Superdeportivo</v>
      </c>
      <c r="E395" s="40" t="str">
        <f ca="1">IFERROR(__xludf.DUMMYFUNCTION("""COMPUTED_VALUE"""),"https://docs.fivem.net/vehicles/sheava.webp")</f>
        <v>https://docs.fivem.net/vehicles/sheava.webp</v>
      </c>
    </row>
    <row r="396" spans="1:5" ht="15.75" customHeight="1" x14ac:dyDescent="0.4">
      <c r="A396" s="38" t="str">
        <f ca="1">IFERROR(__xludf.DUMMYFUNCTION("""COMPUTED_VALUE"""),"stingertt")</f>
        <v>stingertt</v>
      </c>
      <c r="B396" s="38" t="str">
        <f ca="1">IFERROR(__xludf.DUMMYFUNCTION("""COMPUTED_VALUE"""),"Itali GTO Stinger TT")</f>
        <v>Itali GTO Stinger TT</v>
      </c>
      <c r="C396" s="39">
        <f ca="1">IFERROR(__xludf.DUMMYFUNCTION("""COMPUTED_VALUE"""),375000)</f>
        <v>375000</v>
      </c>
      <c r="D396" s="39" t="str">
        <f ca="1">IFERROR(__xludf.DUMMYFUNCTION("""COMPUTED_VALUE"""),"Superdeportivo")</f>
        <v>Superdeportivo</v>
      </c>
      <c r="E396" s="40" t="str">
        <f ca="1">IFERROR(__xludf.DUMMYFUNCTION("""COMPUTED_VALUE"""),"https://docs.fivem.net/vehicles/stingertt.webp")</f>
        <v>https://docs.fivem.net/vehicles/stingertt.webp</v>
      </c>
    </row>
    <row r="397" spans="1:5" ht="15.75" customHeight="1" x14ac:dyDescent="0.4">
      <c r="A397" s="38" t="str">
        <f ca="1">IFERROR(__xludf.DUMMYFUNCTION("""COMPUTED_VALUE"""),"t20")</f>
        <v>t20</v>
      </c>
      <c r="B397" s="38" t="str">
        <f ca="1">IFERROR(__xludf.DUMMYFUNCTION("""COMPUTED_VALUE"""),"T20")</f>
        <v>T20</v>
      </c>
      <c r="C397" s="39">
        <f ca="1">IFERROR(__xludf.DUMMYFUNCTION("""COMPUTED_VALUE"""),365000)</f>
        <v>365000</v>
      </c>
      <c r="D397" s="39" t="str">
        <f ca="1">IFERROR(__xludf.DUMMYFUNCTION("""COMPUTED_VALUE"""),"Superdeportivo")</f>
        <v>Superdeportivo</v>
      </c>
      <c r="E397" s="40" t="str">
        <f ca="1">IFERROR(__xludf.DUMMYFUNCTION("""COMPUTED_VALUE"""),"https://docs.fivem.net/vehicles/t20.webp")</f>
        <v>https://docs.fivem.net/vehicles/t20.webp</v>
      </c>
    </row>
    <row r="398" spans="1:5" ht="15.75" customHeight="1" x14ac:dyDescent="0.4">
      <c r="A398" s="38" t="str">
        <f ca="1">IFERROR(__xludf.DUMMYFUNCTION("""COMPUTED_VALUE"""),"taipan")</f>
        <v>taipan</v>
      </c>
      <c r="B398" s="38" t="str">
        <f ca="1">IFERROR(__xludf.DUMMYFUNCTION("""COMPUTED_VALUE"""),"Taipan")</f>
        <v>Taipan</v>
      </c>
      <c r="C398" s="39">
        <f ca="1">IFERROR(__xludf.DUMMYFUNCTION("""COMPUTED_VALUE"""),185000)</f>
        <v>185000</v>
      </c>
      <c r="D398" s="39" t="str">
        <f ca="1">IFERROR(__xludf.DUMMYFUNCTION("""COMPUTED_VALUE"""),"Superdeportivo")</f>
        <v>Superdeportivo</v>
      </c>
      <c r="E398" s="40" t="str">
        <f ca="1">IFERROR(__xludf.DUMMYFUNCTION("""COMPUTED_VALUE"""),"https://docs.fivem.net/vehicles/taipan.webp")</f>
        <v>https://docs.fivem.net/vehicles/taipan.webp</v>
      </c>
    </row>
    <row r="399" spans="1:5" ht="15.75" customHeight="1" x14ac:dyDescent="0.4">
      <c r="A399" s="38" t="str">
        <f ca="1">IFERROR(__xludf.DUMMYFUNCTION("""COMPUTED_VALUE"""),"tempesta")</f>
        <v>tempesta</v>
      </c>
      <c r="B399" s="38" t="str">
        <f ca="1">IFERROR(__xludf.DUMMYFUNCTION("""COMPUTED_VALUE"""),"Tempesta")</f>
        <v>Tempesta</v>
      </c>
      <c r="C399" s="39">
        <f ca="1">IFERROR(__xludf.DUMMYFUNCTION("""COMPUTED_VALUE"""),180000)</f>
        <v>180000</v>
      </c>
      <c r="D399" s="39" t="str">
        <f ca="1">IFERROR(__xludf.DUMMYFUNCTION("""COMPUTED_VALUE"""),"Superdeportivo")</f>
        <v>Superdeportivo</v>
      </c>
      <c r="E399" s="40" t="str">
        <f ca="1">IFERROR(__xludf.DUMMYFUNCTION("""COMPUTED_VALUE"""),"https://docs.fivem.net/vehicles/tempesta.webp")</f>
        <v>https://docs.fivem.net/vehicles/tempesta.webp</v>
      </c>
    </row>
    <row r="400" spans="1:5" ht="15.75" customHeight="1" x14ac:dyDescent="0.4">
      <c r="A400" s="38" t="str">
        <f ca="1">IFERROR(__xludf.DUMMYFUNCTION("""COMPUTED_VALUE"""),"tezeract")</f>
        <v>tezeract</v>
      </c>
      <c r="B400" s="38" t="str">
        <f ca="1">IFERROR(__xludf.DUMMYFUNCTION("""COMPUTED_VALUE"""),"Tezeract")</f>
        <v>Tezeract</v>
      </c>
      <c r="C400" s="39">
        <f ca="1">IFERROR(__xludf.DUMMYFUNCTION("""COMPUTED_VALUE"""),1220000)</f>
        <v>1220000</v>
      </c>
      <c r="D400" s="39" t="str">
        <f ca="1">IFERROR(__xludf.DUMMYFUNCTION("""COMPUTED_VALUE"""),"Superdeportivo")</f>
        <v>Superdeportivo</v>
      </c>
      <c r="E400" s="40" t="str">
        <f ca="1">IFERROR(__xludf.DUMMYFUNCTION("""COMPUTED_VALUE"""),"https://docs.fivem.net/vehicles/tezeract.webp")</f>
        <v>https://docs.fivem.net/vehicles/tezeract.webp</v>
      </c>
    </row>
    <row r="401" spans="1:5" ht="15.75" customHeight="1" x14ac:dyDescent="0.4">
      <c r="A401" s="38" t="str">
        <f ca="1">IFERROR(__xludf.DUMMYFUNCTION("""COMPUTED_VALUE"""),"thrax")</f>
        <v>thrax</v>
      </c>
      <c r="B401" s="38" t="str">
        <f ca="1">IFERROR(__xludf.DUMMYFUNCTION("""COMPUTED_VALUE"""),"Thrax")</f>
        <v>Thrax</v>
      </c>
      <c r="C401" s="39">
        <f ca="1">IFERROR(__xludf.DUMMYFUNCTION("""COMPUTED_VALUE"""),180000)</f>
        <v>180000</v>
      </c>
      <c r="D401" s="39" t="str">
        <f ca="1">IFERROR(__xludf.DUMMYFUNCTION("""COMPUTED_VALUE"""),"Superdeportivo")</f>
        <v>Superdeportivo</v>
      </c>
      <c r="E401" s="40" t="str">
        <f ca="1">IFERROR(__xludf.DUMMYFUNCTION("""COMPUTED_VALUE"""),"https://docs.fivem.net/vehicles/thrax.webp")</f>
        <v>https://docs.fivem.net/vehicles/thrax.webp</v>
      </c>
    </row>
    <row r="402" spans="1:5" ht="15.75" customHeight="1" x14ac:dyDescent="0.4">
      <c r="A402" s="38" t="str">
        <f ca="1">IFERROR(__xludf.DUMMYFUNCTION("""COMPUTED_VALUE"""),"tigon")</f>
        <v>tigon</v>
      </c>
      <c r="B402" s="38" t="str">
        <f ca="1">IFERROR(__xludf.DUMMYFUNCTION("""COMPUTED_VALUE"""),"Tigon")</f>
        <v>Tigon</v>
      </c>
      <c r="C402" s="39">
        <f ca="1">IFERROR(__xludf.DUMMYFUNCTION("""COMPUTED_VALUE"""),270000)</f>
        <v>270000</v>
      </c>
      <c r="D402" s="39" t="str">
        <f ca="1">IFERROR(__xludf.DUMMYFUNCTION("""COMPUTED_VALUE"""),"Superdeportivo")</f>
        <v>Superdeportivo</v>
      </c>
      <c r="E402" s="40" t="str">
        <f ca="1">IFERROR(__xludf.DUMMYFUNCTION("""COMPUTED_VALUE"""),"https://docs.fivem.net/vehicles/tigon.webp")</f>
        <v>https://docs.fivem.net/vehicles/tigon.webp</v>
      </c>
    </row>
    <row r="403" spans="1:5" ht="15.75" customHeight="1" x14ac:dyDescent="0.4">
      <c r="A403" s="38" t="str">
        <f ca="1">IFERROR(__xludf.DUMMYFUNCTION("""COMPUTED_VALUE"""),"torero2")</f>
        <v>torero2</v>
      </c>
      <c r="B403" s="38" t="str">
        <f ca="1">IFERROR(__xludf.DUMMYFUNCTION("""COMPUTED_VALUE"""),"Torero XO")</f>
        <v>Torero XO</v>
      </c>
      <c r="C403" s="39">
        <f ca="1">IFERROR(__xludf.DUMMYFUNCTION("""COMPUTED_VALUE"""),245000)</f>
        <v>245000</v>
      </c>
      <c r="D403" s="39" t="str">
        <f ca="1">IFERROR(__xludf.DUMMYFUNCTION("""COMPUTED_VALUE"""),"Superdeportivo")</f>
        <v>Superdeportivo</v>
      </c>
      <c r="E403" s="40" t="str">
        <f ca="1">IFERROR(__xludf.DUMMYFUNCTION("""COMPUTED_VALUE"""),"https://docs.fivem.net/vehicles/torero2.webp")</f>
        <v>https://docs.fivem.net/vehicles/torero2.webp</v>
      </c>
    </row>
    <row r="404" spans="1:5" ht="15.75" customHeight="1" x14ac:dyDescent="0.4">
      <c r="A404" s="38" t="str">
        <f ca="1">IFERROR(__xludf.DUMMYFUNCTION("""COMPUTED_VALUE"""),"turismo3")</f>
        <v>turismo3</v>
      </c>
      <c r="B404" s="38" t="str">
        <f ca="1">IFERROR(__xludf.DUMMYFUNCTION("""COMPUTED_VALUE"""),"Turismo Omaggio")</f>
        <v>Turismo Omaggio</v>
      </c>
      <c r="C404" s="39">
        <f ca="1">IFERROR(__xludf.DUMMYFUNCTION("""COMPUTED_VALUE"""),450500)</f>
        <v>450500</v>
      </c>
      <c r="D404" s="39" t="str">
        <f ca="1">IFERROR(__xludf.DUMMYFUNCTION("""COMPUTED_VALUE"""),"Superdeportivo")</f>
        <v>Superdeportivo</v>
      </c>
      <c r="E404" s="40" t="str">
        <f ca="1">IFERROR(__xludf.DUMMYFUNCTION("""COMPUTED_VALUE"""),"https://docs.fivem.net/vehicles/turismo3.webp")</f>
        <v>https://docs.fivem.net/vehicles/turismo3.webp</v>
      </c>
    </row>
    <row r="405" spans="1:5" ht="15.75" customHeight="1" x14ac:dyDescent="0.4">
      <c r="A405" s="38" t="str">
        <f ca="1">IFERROR(__xludf.DUMMYFUNCTION("""COMPUTED_VALUE"""),"turismor")</f>
        <v>turismor</v>
      </c>
      <c r="B405" s="38" t="str">
        <f ca="1">IFERROR(__xludf.DUMMYFUNCTION("""COMPUTED_VALUE"""),"Turismo R")</f>
        <v>Turismo R</v>
      </c>
      <c r="C405" s="39">
        <f ca="1">IFERROR(__xludf.DUMMYFUNCTION("""COMPUTED_VALUE"""),340000)</f>
        <v>340000</v>
      </c>
      <c r="D405" s="39" t="str">
        <f ca="1">IFERROR(__xludf.DUMMYFUNCTION("""COMPUTED_VALUE"""),"Superdeportivo")</f>
        <v>Superdeportivo</v>
      </c>
      <c r="E405" s="40" t="str">
        <f ca="1">IFERROR(__xludf.DUMMYFUNCTION("""COMPUTED_VALUE"""),"https://docs.fivem.net/vehicles/turismor.webp")</f>
        <v>https://docs.fivem.net/vehicles/turismor.webp</v>
      </c>
    </row>
    <row r="406" spans="1:5" ht="15.75" customHeight="1" x14ac:dyDescent="0.4">
      <c r="A406" s="38" t="str">
        <f ca="1">IFERROR(__xludf.DUMMYFUNCTION("""COMPUTED_VALUE"""),"tyrant")</f>
        <v>tyrant</v>
      </c>
      <c r="B406" s="38" t="str">
        <f ca="1">IFERROR(__xludf.DUMMYFUNCTION("""COMPUTED_VALUE"""),"Tyrant")</f>
        <v>Tyrant</v>
      </c>
      <c r="C406" s="39">
        <f ca="1">IFERROR(__xludf.DUMMYFUNCTION("""COMPUTED_VALUE"""),210000)</f>
        <v>210000</v>
      </c>
      <c r="D406" s="39" t="str">
        <f ca="1">IFERROR(__xludf.DUMMYFUNCTION("""COMPUTED_VALUE"""),"Superdeportivo")</f>
        <v>Superdeportivo</v>
      </c>
      <c r="E406" s="40" t="str">
        <f ca="1">IFERROR(__xludf.DUMMYFUNCTION("""COMPUTED_VALUE"""),"https://docs.fivem.net/vehicles/tyrant.webp")</f>
        <v>https://docs.fivem.net/vehicles/tyrant.webp</v>
      </c>
    </row>
    <row r="407" spans="1:5" ht="15.75" customHeight="1" x14ac:dyDescent="0.4">
      <c r="A407" s="38" t="str">
        <f ca="1">IFERROR(__xludf.DUMMYFUNCTION("""COMPUTED_VALUE"""),"tyrus")</f>
        <v>tyrus</v>
      </c>
      <c r="B407" s="38" t="str">
        <f ca="1">IFERROR(__xludf.DUMMYFUNCTION("""COMPUTED_VALUE"""),"Tyrus")</f>
        <v>Tyrus</v>
      </c>
      <c r="C407" s="39">
        <f ca="1">IFERROR(__xludf.DUMMYFUNCTION("""COMPUTED_VALUE"""),230000)</f>
        <v>230000</v>
      </c>
      <c r="D407" s="39" t="str">
        <f ca="1">IFERROR(__xludf.DUMMYFUNCTION("""COMPUTED_VALUE"""),"Superdeportivo")</f>
        <v>Superdeportivo</v>
      </c>
      <c r="E407" s="40" t="str">
        <f ca="1">IFERROR(__xludf.DUMMYFUNCTION("""COMPUTED_VALUE"""),"https://docs.fivem.net/vehicles/tyrus.webp")</f>
        <v>https://docs.fivem.net/vehicles/tyrus.webp</v>
      </c>
    </row>
    <row r="408" spans="1:5" ht="15.75" customHeight="1" x14ac:dyDescent="0.4">
      <c r="A408" s="38" t="str">
        <f ca="1">IFERROR(__xludf.DUMMYFUNCTION("""COMPUTED_VALUE"""),"vacca")</f>
        <v>vacca</v>
      </c>
      <c r="B408" s="38" t="str">
        <f ca="1">IFERROR(__xludf.DUMMYFUNCTION("""COMPUTED_VALUE"""),"Vacca")</f>
        <v>Vacca</v>
      </c>
      <c r="C408" s="39">
        <f ca="1">IFERROR(__xludf.DUMMYFUNCTION("""COMPUTED_VALUE"""),135000)</f>
        <v>135000</v>
      </c>
      <c r="D408" s="39" t="str">
        <f ca="1">IFERROR(__xludf.DUMMYFUNCTION("""COMPUTED_VALUE"""),"Superdeportivo")</f>
        <v>Superdeportivo</v>
      </c>
      <c r="E408" s="40" t="str">
        <f ca="1">IFERROR(__xludf.DUMMYFUNCTION("""COMPUTED_VALUE"""),"https://docs.fivem.net/vehicles/vacca.webp")</f>
        <v>https://docs.fivem.net/vehicles/vacca.webp</v>
      </c>
    </row>
    <row r="409" spans="1:5" ht="15.75" customHeight="1" x14ac:dyDescent="0.4">
      <c r="A409" s="38" t="str">
        <f ca="1">IFERROR(__xludf.DUMMYFUNCTION("""COMPUTED_VALUE"""),"vagner")</f>
        <v>vagner</v>
      </c>
      <c r="B409" s="38" t="str">
        <f ca="1">IFERROR(__xludf.DUMMYFUNCTION("""COMPUTED_VALUE"""),"Vagner")</f>
        <v>Vagner</v>
      </c>
      <c r="C409" s="39">
        <f ca="1">IFERROR(__xludf.DUMMYFUNCTION("""COMPUTED_VALUE"""),526000)</f>
        <v>526000</v>
      </c>
      <c r="D409" s="39" t="str">
        <f ca="1">IFERROR(__xludf.DUMMYFUNCTION("""COMPUTED_VALUE"""),"Superdeportivo")</f>
        <v>Superdeportivo</v>
      </c>
      <c r="E409" s="40" t="str">
        <f ca="1">IFERROR(__xludf.DUMMYFUNCTION("""COMPUTED_VALUE"""),"https://docs.fivem.net/vehicles/vagner.webp")</f>
        <v>https://docs.fivem.net/vehicles/vagner.webp</v>
      </c>
    </row>
    <row r="410" spans="1:5" ht="15.75" customHeight="1" x14ac:dyDescent="0.4">
      <c r="A410" s="38" t="str">
        <f ca="1">IFERROR(__xludf.DUMMYFUNCTION("""COMPUTED_VALUE"""),"virtue")</f>
        <v>virtue</v>
      </c>
      <c r="B410" s="38" t="str">
        <f ca="1">IFERROR(__xludf.DUMMYFUNCTION("""COMPUTED_VALUE"""),"Virtue")</f>
        <v>Virtue</v>
      </c>
      <c r="C410" s="39">
        <f ca="1">IFERROR(__xludf.DUMMYFUNCTION("""COMPUTED_VALUE"""),375000)</f>
        <v>375000</v>
      </c>
      <c r="D410" s="39" t="str">
        <f ca="1">IFERROR(__xludf.DUMMYFUNCTION("""COMPUTED_VALUE"""),"Superdeportivo")</f>
        <v>Superdeportivo</v>
      </c>
      <c r="E410" s="40" t="str">
        <f ca="1">IFERROR(__xludf.DUMMYFUNCTION("""COMPUTED_VALUE"""),"https://docs.fivem.net/vehicles/virtue.webp")</f>
        <v>https://docs.fivem.net/vehicles/virtue.webp</v>
      </c>
    </row>
    <row r="411" spans="1:5" ht="15.75" customHeight="1" x14ac:dyDescent="0.4">
      <c r="A411" s="38" t="str">
        <f ca="1">IFERROR(__xludf.DUMMYFUNCTION("""COMPUTED_VALUE"""),"voltic")</f>
        <v>voltic</v>
      </c>
      <c r="B411" s="38" t="str">
        <f ca="1">IFERROR(__xludf.DUMMYFUNCTION("""COMPUTED_VALUE"""),"Voltic")</f>
        <v>Voltic</v>
      </c>
      <c r="C411" s="39">
        <f ca="1">IFERROR(__xludf.DUMMYFUNCTION("""COMPUTED_VALUE"""),135000)</f>
        <v>135000</v>
      </c>
      <c r="D411" s="39" t="str">
        <f ca="1">IFERROR(__xludf.DUMMYFUNCTION("""COMPUTED_VALUE"""),"Superdeportivo")</f>
        <v>Superdeportivo</v>
      </c>
      <c r="E411" s="40" t="str">
        <f ca="1">IFERROR(__xludf.DUMMYFUNCTION("""COMPUTED_VALUE"""),"https://docs.fivem.net/vehicles/voltic.webp")</f>
        <v>https://docs.fivem.net/vehicles/voltic.webp</v>
      </c>
    </row>
    <row r="412" spans="1:5" ht="15.75" customHeight="1" x14ac:dyDescent="0.4">
      <c r="A412" s="38" t="str">
        <f ca="1">IFERROR(__xludf.DUMMYFUNCTION("""COMPUTED_VALUE"""),"xa21")</f>
        <v>xa21</v>
      </c>
      <c r="B412" s="38" t="str">
        <f ca="1">IFERROR(__xludf.DUMMYFUNCTION("""COMPUTED_VALUE"""),"XA-21")</f>
        <v>XA-21</v>
      </c>
      <c r="C412" s="39">
        <f ca="1">IFERROR(__xludf.DUMMYFUNCTION("""COMPUTED_VALUE"""),285000)</f>
        <v>285000</v>
      </c>
      <c r="D412" s="39" t="str">
        <f ca="1">IFERROR(__xludf.DUMMYFUNCTION("""COMPUTED_VALUE"""),"Superdeportivo")</f>
        <v>Superdeportivo</v>
      </c>
      <c r="E412" s="40" t="str">
        <f ca="1">IFERROR(__xludf.DUMMYFUNCTION("""COMPUTED_VALUE"""),"https://docs.fivem.net/vehicles/xa21.webp")</f>
        <v>https://docs.fivem.net/vehicles/xa21.webp</v>
      </c>
    </row>
    <row r="413" spans="1:5" ht="15.75" customHeight="1" x14ac:dyDescent="0.4">
      <c r="A413" s="38" t="str">
        <f ca="1">IFERROR(__xludf.DUMMYFUNCTION("""COMPUTED_VALUE"""),"zeno")</f>
        <v>zeno</v>
      </c>
      <c r="B413" s="38" t="str">
        <f ca="1">IFERROR(__xludf.DUMMYFUNCTION("""COMPUTED_VALUE"""),"Zeno")</f>
        <v>Zeno</v>
      </c>
      <c r="C413" s="39">
        <f ca="1">IFERROR(__xludf.DUMMYFUNCTION("""COMPUTED_VALUE"""),375000)</f>
        <v>375000</v>
      </c>
      <c r="D413" s="39" t="str">
        <f ca="1">IFERROR(__xludf.DUMMYFUNCTION("""COMPUTED_VALUE"""),"Superdeportivo")</f>
        <v>Superdeportivo</v>
      </c>
      <c r="E413" s="40" t="str">
        <f ca="1">IFERROR(__xludf.DUMMYFUNCTION("""COMPUTED_VALUE"""),"https://docs.fivem.net/vehicles/zeno.webp")</f>
        <v>https://docs.fivem.net/vehicles/zeno.webp</v>
      </c>
    </row>
    <row r="414" spans="1:5" ht="15.75" customHeight="1" x14ac:dyDescent="0.4">
      <c r="A414" s="38" t="str">
        <f ca="1">IFERROR(__xludf.DUMMYFUNCTION("""COMPUTED_VALUE"""),"zentorno")</f>
        <v>zentorno</v>
      </c>
      <c r="B414" s="38" t="str">
        <f ca="1">IFERROR(__xludf.DUMMYFUNCTION("""COMPUTED_VALUE"""),"Zentorno")</f>
        <v>Zentorno</v>
      </c>
      <c r="C414" s="39">
        <f ca="1">IFERROR(__xludf.DUMMYFUNCTION("""COMPUTED_VALUE"""),750000)</f>
        <v>750000</v>
      </c>
      <c r="D414" s="39" t="str">
        <f ca="1">IFERROR(__xludf.DUMMYFUNCTION("""COMPUTED_VALUE"""),"Superdeportivo")</f>
        <v>Superdeportivo</v>
      </c>
      <c r="E414" s="40" t="str">
        <f ca="1">IFERROR(__xludf.DUMMYFUNCTION("""COMPUTED_VALUE"""),"https://docs.fivem.net/vehicles/zentorno.webp")</f>
        <v>https://docs.fivem.net/vehicles/zentorno.webp</v>
      </c>
    </row>
    <row r="415" spans="1:5" ht="15.75" customHeight="1" x14ac:dyDescent="0.4">
      <c r="A415" s="38" t="str">
        <f ca="1">IFERROR(__xludf.DUMMYFUNCTION("""COMPUTED_VALUE"""),"zorrusso")</f>
        <v>zorrusso</v>
      </c>
      <c r="B415" s="38" t="str">
        <f ca="1">IFERROR(__xludf.DUMMYFUNCTION("""COMPUTED_VALUE"""),"Zorrusso")</f>
        <v>Zorrusso</v>
      </c>
      <c r="C415" s="39">
        <f ca="1">IFERROR(__xludf.DUMMYFUNCTION("""COMPUTED_VALUE"""),245000)</f>
        <v>245000</v>
      </c>
      <c r="D415" s="39" t="str">
        <f ca="1">IFERROR(__xludf.DUMMYFUNCTION("""COMPUTED_VALUE"""),"Superdeportivo")</f>
        <v>Superdeportivo</v>
      </c>
      <c r="E415" s="40" t="str">
        <f ca="1">IFERROR(__xludf.DUMMYFUNCTION("""COMPUTED_VALUE"""),"https://docs.fivem.net/vehicles/zorrusso.webp")</f>
        <v>https://docs.fivem.net/vehicles/zorrusso.webp</v>
      </c>
    </row>
    <row r="416" spans="1:5" ht="15.75" customHeight="1" x14ac:dyDescent="0.4">
      <c r="A416" s="38" t="str">
        <f ca="1">IFERROR(__xludf.DUMMYFUNCTION("""COMPUTED_VALUE"""),"aleutian")</f>
        <v>aleutian</v>
      </c>
      <c r="B416" s="38" t="str">
        <f ca="1">IFERROR(__xludf.DUMMYFUNCTION("""COMPUTED_VALUE"""),"Aleutian")</f>
        <v>Aleutian</v>
      </c>
      <c r="C416" s="39">
        <f ca="1">IFERROR(__xludf.DUMMYFUNCTION("""COMPUTED_VALUE"""),65500)</f>
        <v>65500</v>
      </c>
      <c r="D416" s="39" t="str">
        <f ca="1">IFERROR(__xludf.DUMMYFUNCTION("""COMPUTED_VALUE"""),"SUVs")</f>
        <v>SUVs</v>
      </c>
      <c r="E416" s="40" t="str">
        <f ca="1">IFERROR(__xludf.DUMMYFUNCTION("""COMPUTED_VALUE"""),"https://docs.fivem.net/vehicles/aleutian.webp")</f>
        <v>https://docs.fivem.net/vehicles/aleutian.webp</v>
      </c>
    </row>
    <row r="417" spans="1:5" ht="15.75" customHeight="1" x14ac:dyDescent="0.4">
      <c r="A417" s="38" t="str">
        <f ca="1">IFERROR(__xludf.DUMMYFUNCTION("""COMPUTED_VALUE"""),"astron")</f>
        <v>astron</v>
      </c>
      <c r="B417" s="38" t="str">
        <f ca="1">IFERROR(__xludf.DUMMYFUNCTION("""COMPUTED_VALUE"""),"Astron")</f>
        <v>Astron</v>
      </c>
      <c r="C417" s="39">
        <f ca="1">IFERROR(__xludf.DUMMYFUNCTION("""COMPUTED_VALUE"""),94000)</f>
        <v>94000</v>
      </c>
      <c r="D417" s="39" t="str">
        <f ca="1">IFERROR(__xludf.DUMMYFUNCTION("""COMPUTED_VALUE"""),"SUVs")</f>
        <v>SUVs</v>
      </c>
      <c r="E417" s="40" t="str">
        <f ca="1">IFERROR(__xludf.DUMMYFUNCTION("""COMPUTED_VALUE"""),"https://docs.fivem.net/vehicles/astron.webp")</f>
        <v>https://docs.fivem.net/vehicles/astron.webp</v>
      </c>
    </row>
    <row r="418" spans="1:5" ht="15.75" customHeight="1" x14ac:dyDescent="0.4">
      <c r="A418" s="38" t="str">
        <f ca="1">IFERROR(__xludf.DUMMYFUNCTION("""COMPUTED_VALUE"""),"baller")</f>
        <v>baller</v>
      </c>
      <c r="B418" s="38" t="str">
        <f ca="1">IFERROR(__xludf.DUMMYFUNCTION("""COMPUTED_VALUE"""),"Baller")</f>
        <v>Baller</v>
      </c>
      <c r="C418" s="39">
        <f ca="1">IFERROR(__xludf.DUMMYFUNCTION("""COMPUTED_VALUE"""),42000)</f>
        <v>42000</v>
      </c>
      <c r="D418" s="39" t="str">
        <f ca="1">IFERROR(__xludf.DUMMYFUNCTION("""COMPUTED_VALUE"""),"SUVs")</f>
        <v>SUVs</v>
      </c>
      <c r="E418" s="40" t="str">
        <f ca="1">IFERROR(__xludf.DUMMYFUNCTION("""COMPUTED_VALUE"""),"https://docs.fivem.net/vehicles/baller.webp")</f>
        <v>https://docs.fivem.net/vehicles/baller.webp</v>
      </c>
    </row>
    <row r="419" spans="1:5" ht="15.75" customHeight="1" x14ac:dyDescent="0.4">
      <c r="A419" s="38" t="str">
        <f ca="1">IFERROR(__xludf.DUMMYFUNCTION("""COMPUTED_VALUE"""),"baller2")</f>
        <v>baller2</v>
      </c>
      <c r="B419" s="38" t="str">
        <f ca="1">IFERROR(__xludf.DUMMYFUNCTION("""COMPUTED_VALUE"""),"Baller II")</f>
        <v>Baller II</v>
      </c>
      <c r="C419" s="39">
        <f ca="1">IFERROR(__xludf.DUMMYFUNCTION("""COMPUTED_VALUE"""),46500)</f>
        <v>46500</v>
      </c>
      <c r="D419" s="39" t="str">
        <f ca="1">IFERROR(__xludf.DUMMYFUNCTION("""COMPUTED_VALUE"""),"SUVs")</f>
        <v>SUVs</v>
      </c>
      <c r="E419" s="40" t="str">
        <f ca="1">IFERROR(__xludf.DUMMYFUNCTION("""COMPUTED_VALUE"""),"https://docs.fivem.net/vehicles/baller2.webp")</f>
        <v>https://docs.fivem.net/vehicles/baller2.webp</v>
      </c>
    </row>
    <row r="420" spans="1:5" ht="15.75" customHeight="1" x14ac:dyDescent="0.4">
      <c r="A420" s="38" t="str">
        <f ca="1">IFERROR(__xludf.DUMMYFUNCTION("""COMPUTED_VALUE"""),"baller3")</f>
        <v>baller3</v>
      </c>
      <c r="B420" s="38" t="str">
        <f ca="1">IFERROR(__xludf.DUMMYFUNCTION("""COMPUTED_VALUE"""),"Baller LE")</f>
        <v>Baller LE</v>
      </c>
      <c r="C420" s="39">
        <f ca="1">IFERROR(__xludf.DUMMYFUNCTION("""COMPUTED_VALUE"""),56000)</f>
        <v>56000</v>
      </c>
      <c r="D420" s="39" t="str">
        <f ca="1">IFERROR(__xludf.DUMMYFUNCTION("""COMPUTED_VALUE"""),"SUVs")</f>
        <v>SUVs</v>
      </c>
      <c r="E420" s="40" t="str">
        <f ca="1">IFERROR(__xludf.DUMMYFUNCTION("""COMPUTED_VALUE"""),"https://docs.fivem.net/vehicles/baller3.webp")</f>
        <v>https://docs.fivem.net/vehicles/baller3.webp</v>
      </c>
    </row>
    <row r="421" spans="1:5" ht="15.75" customHeight="1" x14ac:dyDescent="0.4">
      <c r="A421" s="38" t="str">
        <f ca="1">IFERROR(__xludf.DUMMYFUNCTION("""COMPUTED_VALUE"""),"baller4")</f>
        <v>baller4</v>
      </c>
      <c r="B421" s="38" t="str">
        <f ca="1">IFERROR(__xludf.DUMMYFUNCTION("""COMPUTED_VALUE"""),"Baller LE LWB")</f>
        <v>Baller LE LWB</v>
      </c>
      <c r="C421" s="39">
        <f ca="1">IFERROR(__xludf.DUMMYFUNCTION("""COMPUTED_VALUE"""),59500)</f>
        <v>59500</v>
      </c>
      <c r="D421" s="39" t="str">
        <f ca="1">IFERROR(__xludf.DUMMYFUNCTION("""COMPUTED_VALUE"""),"SUVs")</f>
        <v>SUVs</v>
      </c>
      <c r="E421" s="40" t="str">
        <f ca="1">IFERROR(__xludf.DUMMYFUNCTION("""COMPUTED_VALUE"""),"https://docs.fivem.net/vehicles/baller4.webp")</f>
        <v>https://docs.fivem.net/vehicles/baller4.webp</v>
      </c>
    </row>
    <row r="422" spans="1:5" ht="15.75" customHeight="1" x14ac:dyDescent="0.4">
      <c r="A422" s="38" t="str">
        <f ca="1">IFERROR(__xludf.DUMMYFUNCTION("""COMPUTED_VALUE"""),"baller7")</f>
        <v>baller7</v>
      </c>
      <c r="B422" s="38" t="str">
        <f ca="1">IFERROR(__xludf.DUMMYFUNCTION("""COMPUTED_VALUE"""),"Baller ST")</f>
        <v>Baller ST</v>
      </c>
      <c r="C422" s="39">
        <f ca="1">IFERROR(__xludf.DUMMYFUNCTION("""COMPUTED_VALUE"""),78000)</f>
        <v>78000</v>
      </c>
      <c r="D422" s="39" t="str">
        <f ca="1">IFERROR(__xludf.DUMMYFUNCTION("""COMPUTED_VALUE"""),"SUVs")</f>
        <v>SUVs</v>
      </c>
      <c r="E422" s="40" t="str">
        <f ca="1">IFERROR(__xludf.DUMMYFUNCTION("""COMPUTED_VALUE"""),"https://docs.fivem.net/vehicles/baller7.webp")</f>
        <v>https://docs.fivem.net/vehicles/baller7.webp</v>
      </c>
    </row>
    <row r="423" spans="1:5" ht="15.75" customHeight="1" x14ac:dyDescent="0.4">
      <c r="A423" s="38" t="str">
        <f ca="1">IFERROR(__xludf.DUMMYFUNCTION("""COMPUTED_VALUE"""),"baller8")</f>
        <v>baller8</v>
      </c>
      <c r="B423" s="38" t="str">
        <f ca="1">IFERROR(__xludf.DUMMYFUNCTION("""COMPUTED_VALUE"""),"Baller ST-D")</f>
        <v>Baller ST-D</v>
      </c>
      <c r="C423" s="39">
        <f ca="1">IFERROR(__xludf.DUMMYFUNCTION("""COMPUTED_VALUE"""),95000)</f>
        <v>95000</v>
      </c>
      <c r="D423" s="39" t="str">
        <f ca="1">IFERROR(__xludf.DUMMYFUNCTION("""COMPUTED_VALUE"""),"SUVs")</f>
        <v>SUVs</v>
      </c>
      <c r="E423" s="40" t="str">
        <f ca="1">IFERROR(__xludf.DUMMYFUNCTION("""COMPUTED_VALUE"""),"https://docs.fivem.net/vehicles/baller8.webp")</f>
        <v>https://docs.fivem.net/vehicles/baller8.webp</v>
      </c>
    </row>
    <row r="424" spans="1:5" ht="15.75" customHeight="1" x14ac:dyDescent="0.4">
      <c r="A424" s="38" t="str">
        <f ca="1">IFERROR(__xludf.DUMMYFUNCTION("""COMPUTED_VALUE"""),"bjxl")</f>
        <v>bjxl</v>
      </c>
      <c r="B424" s="38" t="str">
        <f ca="1">IFERROR(__xludf.DUMMYFUNCTION("""COMPUTED_VALUE"""),"BeeJay XL")</f>
        <v>BeeJay XL</v>
      </c>
      <c r="C424" s="39">
        <f ca="1">IFERROR(__xludf.DUMMYFUNCTION("""COMPUTED_VALUE"""),28000)</f>
        <v>28000</v>
      </c>
      <c r="D424" s="39" t="str">
        <f ca="1">IFERROR(__xludf.DUMMYFUNCTION("""COMPUTED_VALUE"""),"SUVs")</f>
        <v>SUVs</v>
      </c>
      <c r="E424" s="40" t="str">
        <f ca="1">IFERROR(__xludf.DUMMYFUNCTION("""COMPUTED_VALUE"""),"https://docs.fivem.net/vehicles/bjxl.webp")</f>
        <v>https://docs.fivem.net/vehicles/bjxl.webp</v>
      </c>
    </row>
    <row r="425" spans="1:5" ht="15.75" customHeight="1" x14ac:dyDescent="0.4">
      <c r="A425" s="38" t="str">
        <f ca="1">IFERROR(__xludf.DUMMYFUNCTION("""COMPUTED_VALUE"""),"castigator")</f>
        <v>castigator</v>
      </c>
      <c r="B425" s="38" t="str">
        <f ca="1">IFERROR(__xludf.DUMMYFUNCTION("""COMPUTED_VALUE"""),"Castigator")</f>
        <v>Castigator</v>
      </c>
      <c r="C425" s="39">
        <f ca="1">IFERROR(__xludf.DUMMYFUNCTION("""COMPUTED_VALUE"""),48500)</f>
        <v>48500</v>
      </c>
      <c r="D425" s="39" t="str">
        <f ca="1">IFERROR(__xludf.DUMMYFUNCTION("""COMPUTED_VALUE"""),"SUVs")</f>
        <v>SUVs</v>
      </c>
      <c r="E425" s="40" t="str">
        <f ca="1">IFERROR(__xludf.DUMMYFUNCTION("""COMPUTED_VALUE"""),"https://docs.fivem.net/vehicles/castigator.webp")</f>
        <v>https://docs.fivem.net/vehicles/castigator.webp</v>
      </c>
    </row>
    <row r="426" spans="1:5" ht="15.75" customHeight="1" x14ac:dyDescent="0.4">
      <c r="A426" s="38" t="str">
        <f ca="1">IFERROR(__xludf.DUMMYFUNCTION("""COMPUTED_VALUE"""),"cavalcade")</f>
        <v>cavalcade</v>
      </c>
      <c r="B426" s="38" t="str">
        <f ca="1">IFERROR(__xludf.DUMMYFUNCTION("""COMPUTED_VALUE"""),"Cavalcade")</f>
        <v>Cavalcade</v>
      </c>
      <c r="C426" s="39">
        <f ca="1">IFERROR(__xludf.DUMMYFUNCTION("""COMPUTED_VALUE"""),28000)</f>
        <v>28000</v>
      </c>
      <c r="D426" s="39" t="str">
        <f ca="1">IFERROR(__xludf.DUMMYFUNCTION("""COMPUTED_VALUE"""),"SUVs")</f>
        <v>SUVs</v>
      </c>
      <c r="E426" s="40" t="str">
        <f ca="1">IFERROR(__xludf.DUMMYFUNCTION("""COMPUTED_VALUE"""),"https://docs.fivem.net/vehicles/cavalcade.webp")</f>
        <v>https://docs.fivem.net/vehicles/cavalcade.webp</v>
      </c>
    </row>
    <row r="427" spans="1:5" ht="15.75" customHeight="1" x14ac:dyDescent="0.4">
      <c r="A427" s="38" t="str">
        <f ca="1">IFERROR(__xludf.DUMMYFUNCTION("""COMPUTED_VALUE"""),"cavalcade2")</f>
        <v>cavalcade2</v>
      </c>
      <c r="B427" s="38" t="str">
        <f ca="1">IFERROR(__xludf.DUMMYFUNCTION("""COMPUTED_VALUE"""),"Cavalcade II")</f>
        <v>Cavalcade II</v>
      </c>
      <c r="C427" s="39">
        <f ca="1">IFERROR(__xludf.DUMMYFUNCTION("""COMPUTED_VALUE"""),40500)</f>
        <v>40500</v>
      </c>
      <c r="D427" s="39" t="str">
        <f ca="1">IFERROR(__xludf.DUMMYFUNCTION("""COMPUTED_VALUE"""),"SUVs")</f>
        <v>SUVs</v>
      </c>
      <c r="E427" s="40" t="str">
        <f ca="1">IFERROR(__xludf.DUMMYFUNCTION("""COMPUTED_VALUE"""),"https://docs.fivem.net/vehicles/cavalcade2.webp")</f>
        <v>https://docs.fivem.net/vehicles/cavalcade2.webp</v>
      </c>
    </row>
    <row r="428" spans="1:5" ht="15.75" customHeight="1" x14ac:dyDescent="0.4">
      <c r="A428" s="38" t="str">
        <f ca="1">IFERROR(__xludf.DUMMYFUNCTION("""COMPUTED_VALUE"""),"cavalcade3")</f>
        <v>cavalcade3</v>
      </c>
      <c r="B428" s="38" t="str">
        <f ca="1">IFERROR(__xludf.DUMMYFUNCTION("""COMPUTED_VALUE"""),"Cavalcade XL")</f>
        <v>Cavalcade XL</v>
      </c>
      <c r="C428" s="39">
        <f ca="1">IFERROR(__xludf.DUMMYFUNCTION("""COMPUTED_VALUE"""),69500)</f>
        <v>69500</v>
      </c>
      <c r="D428" s="39" t="str">
        <f ca="1">IFERROR(__xludf.DUMMYFUNCTION("""COMPUTED_VALUE"""),"SUVs")</f>
        <v>SUVs</v>
      </c>
      <c r="E428" s="40" t="str">
        <f ca="1">IFERROR(__xludf.DUMMYFUNCTION("""COMPUTED_VALUE"""),"https://docs.fivem.net/vehicles/cavalcade3.webp")</f>
        <v>https://docs.fivem.net/vehicles/cavalcade3.webp</v>
      </c>
    </row>
    <row r="429" spans="1:5" ht="15.75" customHeight="1" x14ac:dyDescent="0.4">
      <c r="A429" s="38" t="str">
        <f ca="1">IFERROR(__xludf.DUMMYFUNCTION("""COMPUTED_VALUE"""),"contender")</f>
        <v>contender</v>
      </c>
      <c r="B429" s="38" t="str">
        <f ca="1">IFERROR(__xludf.DUMMYFUNCTION("""COMPUTED_VALUE"""),"Contender")</f>
        <v>Contender</v>
      </c>
      <c r="C429" s="39">
        <f ca="1">IFERROR(__xludf.DUMMYFUNCTION("""COMPUTED_VALUE"""),90000)</f>
        <v>90000</v>
      </c>
      <c r="D429" s="39" t="str">
        <f ca="1">IFERROR(__xludf.DUMMYFUNCTION("""COMPUTED_VALUE"""),"SUVs")</f>
        <v>SUVs</v>
      </c>
      <c r="E429" s="40" t="str">
        <f ca="1">IFERROR(__xludf.DUMMYFUNCTION("""COMPUTED_VALUE"""),"https://docs.fivem.net/vehicles/contender.webp")</f>
        <v>https://docs.fivem.net/vehicles/contender.webp</v>
      </c>
    </row>
    <row r="430" spans="1:5" ht="15.75" customHeight="1" x14ac:dyDescent="0.4">
      <c r="A430" s="38" t="str">
        <f ca="1">IFERROR(__xludf.DUMMYFUNCTION("""COMPUTED_VALUE"""),"dorado")</f>
        <v>dorado</v>
      </c>
      <c r="B430" s="38" t="str">
        <f ca="1">IFERROR(__xludf.DUMMYFUNCTION("""COMPUTED_VALUE"""),"Dorado")</f>
        <v>Dorado</v>
      </c>
      <c r="C430" s="39">
        <f ca="1">IFERROR(__xludf.DUMMYFUNCTION("""COMPUTED_VALUE"""),24000)</f>
        <v>24000</v>
      </c>
      <c r="D430" s="39" t="str">
        <f ca="1">IFERROR(__xludf.DUMMYFUNCTION("""COMPUTED_VALUE"""),"SUVs")</f>
        <v>SUVs</v>
      </c>
      <c r="E430" s="40" t="str">
        <f ca="1">IFERROR(__xludf.DUMMYFUNCTION("""COMPUTED_VALUE"""),"https://docs.fivem.net/vehicles/dorado.webp")</f>
        <v>https://docs.fivem.net/vehicles/dorado.webp</v>
      </c>
    </row>
    <row r="431" spans="1:5" ht="15.75" customHeight="1" x14ac:dyDescent="0.4">
      <c r="A431" s="38" t="str">
        <f ca="1">IFERROR(__xludf.DUMMYFUNCTION("""COMPUTED_VALUE"""),"dubsta")</f>
        <v>dubsta</v>
      </c>
      <c r="B431" s="38" t="str">
        <f ca="1">IFERROR(__xludf.DUMMYFUNCTION("""COMPUTED_VALUE"""),"Dubsta")</f>
        <v>Dubsta</v>
      </c>
      <c r="C431" s="39">
        <f ca="1">IFERROR(__xludf.DUMMYFUNCTION("""COMPUTED_VALUE"""),50500)</f>
        <v>50500</v>
      </c>
      <c r="D431" s="39" t="str">
        <f ca="1">IFERROR(__xludf.DUMMYFUNCTION("""COMPUTED_VALUE"""),"SUVs")</f>
        <v>SUVs</v>
      </c>
      <c r="E431" s="40" t="str">
        <f ca="1">IFERROR(__xludf.DUMMYFUNCTION("""COMPUTED_VALUE"""),"https://docs.fivem.net/vehicles/dubsta.webp")</f>
        <v>https://docs.fivem.net/vehicles/dubsta.webp</v>
      </c>
    </row>
    <row r="432" spans="1:5" ht="15.75" customHeight="1" x14ac:dyDescent="0.4">
      <c r="A432" s="38" t="str">
        <f ca="1">IFERROR(__xludf.DUMMYFUNCTION("""COMPUTED_VALUE"""),"dubsta2")</f>
        <v>dubsta2</v>
      </c>
      <c r="B432" s="38" t="str">
        <f ca="1">IFERROR(__xludf.DUMMYFUNCTION("""COMPUTED_VALUE"""),"Dubsta Luxury")</f>
        <v>Dubsta Luxury</v>
      </c>
      <c r="C432" s="39">
        <f ca="1">IFERROR(__xludf.DUMMYFUNCTION("""COMPUTED_VALUE"""),69000)</f>
        <v>69000</v>
      </c>
      <c r="D432" s="39" t="str">
        <f ca="1">IFERROR(__xludf.DUMMYFUNCTION("""COMPUTED_VALUE"""),"SUVs")</f>
        <v>SUVs</v>
      </c>
      <c r="E432" s="40" t="str">
        <f ca="1">IFERROR(__xludf.DUMMYFUNCTION("""COMPUTED_VALUE"""),"https://docs.fivem.net/vehicles/dubsta2.webp")</f>
        <v>https://docs.fivem.net/vehicles/dubsta2.webp</v>
      </c>
    </row>
    <row r="433" spans="1:5" ht="15.75" customHeight="1" x14ac:dyDescent="0.4">
      <c r="A433" s="38" t="str">
        <f ca="1">IFERROR(__xludf.DUMMYFUNCTION("""COMPUTED_VALUE"""),"fq2")</f>
        <v>fq2</v>
      </c>
      <c r="B433" s="38" t="str">
        <f ca="1">IFERROR(__xludf.DUMMYFUNCTION("""COMPUTED_VALUE"""),"FQ2")</f>
        <v>FQ2</v>
      </c>
      <c r="C433" s="39">
        <f ca="1">IFERROR(__xludf.DUMMYFUNCTION("""COMPUTED_VALUE"""),59000)</f>
        <v>59000</v>
      </c>
      <c r="D433" s="39" t="str">
        <f ca="1">IFERROR(__xludf.DUMMYFUNCTION("""COMPUTED_VALUE"""),"SUVs")</f>
        <v>SUVs</v>
      </c>
      <c r="E433" s="40" t="str">
        <f ca="1">IFERROR(__xludf.DUMMYFUNCTION("""COMPUTED_VALUE"""),"https://docs.fivem.net/vehicles/fq2.webp")</f>
        <v>https://docs.fivem.net/vehicles/fq2.webp</v>
      </c>
    </row>
    <row r="434" spans="1:5" ht="15.75" customHeight="1" x14ac:dyDescent="0.4">
      <c r="A434" s="38" t="str">
        <f ca="1">IFERROR(__xludf.DUMMYFUNCTION("""COMPUTED_VALUE"""),"granger")</f>
        <v>granger</v>
      </c>
      <c r="B434" s="38" t="str">
        <f ca="1">IFERROR(__xludf.DUMMYFUNCTION("""COMPUTED_VALUE"""),"Granger")</f>
        <v>Granger</v>
      </c>
      <c r="C434" s="39">
        <f ca="1">IFERROR(__xludf.DUMMYFUNCTION("""COMPUTED_VALUE"""),64000)</f>
        <v>64000</v>
      </c>
      <c r="D434" s="39" t="str">
        <f ca="1">IFERROR(__xludf.DUMMYFUNCTION("""COMPUTED_VALUE"""),"SUVs")</f>
        <v>SUVs</v>
      </c>
      <c r="E434" s="40" t="str">
        <f ca="1">IFERROR(__xludf.DUMMYFUNCTION("""COMPUTED_VALUE"""),"https://docs.fivem.net/vehicles/granger.webp")</f>
        <v>https://docs.fivem.net/vehicles/granger.webp</v>
      </c>
    </row>
    <row r="435" spans="1:5" ht="15.75" customHeight="1" x14ac:dyDescent="0.4">
      <c r="A435" s="38" t="str">
        <f ca="1">IFERROR(__xludf.DUMMYFUNCTION("""COMPUTED_VALUE"""),"granger2")</f>
        <v>granger2</v>
      </c>
      <c r="B435" s="38" t="str">
        <f ca="1">IFERROR(__xludf.DUMMYFUNCTION("""COMPUTED_VALUE"""),"Granger 3600LX")</f>
        <v>Granger 3600LX</v>
      </c>
      <c r="C435" s="39">
        <f ca="1">IFERROR(__xludf.DUMMYFUNCTION("""COMPUTED_VALUE"""),68000)</f>
        <v>68000</v>
      </c>
      <c r="D435" s="39" t="str">
        <f ca="1">IFERROR(__xludf.DUMMYFUNCTION("""COMPUTED_VALUE"""),"SUVs")</f>
        <v>SUVs</v>
      </c>
      <c r="E435" s="40" t="str">
        <f ca="1">IFERROR(__xludf.DUMMYFUNCTION("""COMPUTED_VALUE"""),"https://docs.fivem.net/vehicles/granger2.webp")</f>
        <v>https://docs.fivem.net/vehicles/granger2.webp</v>
      </c>
    </row>
    <row r="436" spans="1:5" ht="15.75" customHeight="1" x14ac:dyDescent="0.4">
      <c r="A436" s="38" t="str">
        <f ca="1">IFERROR(__xludf.DUMMYFUNCTION("""COMPUTED_VALUE"""),"gresley")</f>
        <v>gresley</v>
      </c>
      <c r="B436" s="38" t="str">
        <f ca="1">IFERROR(__xludf.DUMMYFUNCTION("""COMPUTED_VALUE"""),"Gresley")</f>
        <v>Gresley</v>
      </c>
      <c r="C436" s="39">
        <f ca="1">IFERROR(__xludf.DUMMYFUNCTION("""COMPUTED_VALUE"""),42000)</f>
        <v>42000</v>
      </c>
      <c r="D436" s="39" t="str">
        <f ca="1">IFERROR(__xludf.DUMMYFUNCTION("""COMPUTED_VALUE"""),"SUVs")</f>
        <v>SUVs</v>
      </c>
      <c r="E436" s="40" t="str">
        <f ca="1">IFERROR(__xludf.DUMMYFUNCTION("""COMPUTED_VALUE"""),"https://docs.fivem.net/vehicles/gresley.webp")</f>
        <v>https://docs.fivem.net/vehicles/gresley.webp</v>
      </c>
    </row>
    <row r="437" spans="1:5" ht="15.75" customHeight="1" x14ac:dyDescent="0.4">
      <c r="A437" s="38" t="str">
        <f ca="1">IFERROR(__xludf.DUMMYFUNCTION("""COMPUTED_VALUE"""),"habanero")</f>
        <v>habanero</v>
      </c>
      <c r="B437" s="38" t="str">
        <f ca="1">IFERROR(__xludf.DUMMYFUNCTION("""COMPUTED_VALUE"""),"Habanero")</f>
        <v>Habanero</v>
      </c>
      <c r="C437" s="39">
        <f ca="1">IFERROR(__xludf.DUMMYFUNCTION("""COMPUTED_VALUE"""),9000)</f>
        <v>9000</v>
      </c>
      <c r="D437" s="39" t="str">
        <f ca="1">IFERROR(__xludf.DUMMYFUNCTION("""COMPUTED_VALUE"""),"SUVs")</f>
        <v>SUVs</v>
      </c>
      <c r="E437" s="40" t="str">
        <f ca="1">IFERROR(__xludf.DUMMYFUNCTION("""COMPUTED_VALUE"""),"https://docs.fivem.net/vehicles/habanero.webp")</f>
        <v>https://docs.fivem.net/vehicles/habanero.webp</v>
      </c>
    </row>
    <row r="438" spans="1:5" ht="15.75" customHeight="1" x14ac:dyDescent="0.4">
      <c r="A438" s="38" t="str">
        <f ca="1">IFERROR(__xludf.DUMMYFUNCTION("""COMPUTED_VALUE"""),"huntley")</f>
        <v>huntley</v>
      </c>
      <c r="B438" s="38" t="str">
        <f ca="1">IFERROR(__xludf.DUMMYFUNCTION("""COMPUTED_VALUE"""),"Huntley S")</f>
        <v>Huntley S</v>
      </c>
      <c r="C438" s="39">
        <f ca="1">IFERROR(__xludf.DUMMYFUNCTION("""COMPUTED_VALUE"""),57500)</f>
        <v>57500</v>
      </c>
      <c r="D438" s="39" t="str">
        <f ca="1">IFERROR(__xludf.DUMMYFUNCTION("""COMPUTED_VALUE"""),"SUVs")</f>
        <v>SUVs</v>
      </c>
      <c r="E438" s="40" t="str">
        <f ca="1">IFERROR(__xludf.DUMMYFUNCTION("""COMPUTED_VALUE"""),"https://docs.fivem.net/vehicles/huntley.webp")</f>
        <v>https://docs.fivem.net/vehicles/huntley.webp</v>
      </c>
    </row>
    <row r="439" spans="1:5" ht="15.75" customHeight="1" x14ac:dyDescent="0.4">
      <c r="A439" s="38" t="str">
        <f ca="1">IFERROR(__xludf.DUMMYFUNCTION("""COMPUTED_VALUE"""),"iwagen")</f>
        <v>iwagen</v>
      </c>
      <c r="B439" s="38" t="str">
        <f ca="1">IFERROR(__xludf.DUMMYFUNCTION("""COMPUTED_VALUE"""),"I-wagen")</f>
        <v>I-wagen</v>
      </c>
      <c r="C439" s="39">
        <f ca="1">IFERROR(__xludf.DUMMYFUNCTION("""COMPUTED_VALUE"""),39500)</f>
        <v>39500</v>
      </c>
      <c r="D439" s="39" t="str">
        <f ca="1">IFERROR(__xludf.DUMMYFUNCTION("""COMPUTED_VALUE"""),"SUVs")</f>
        <v>SUVs</v>
      </c>
      <c r="E439" s="40" t="str">
        <f ca="1">IFERROR(__xludf.DUMMYFUNCTION("""COMPUTED_VALUE"""),"https://docs.fivem.net/vehicles/iwagen.webp")</f>
        <v>https://docs.fivem.net/vehicles/iwagen.webp</v>
      </c>
    </row>
    <row r="440" spans="1:5" ht="15.75" customHeight="1" x14ac:dyDescent="0.4">
      <c r="A440" s="38" t="str">
        <f ca="1">IFERROR(__xludf.DUMMYFUNCTION("""COMPUTED_VALUE"""),"jubilee")</f>
        <v>jubilee</v>
      </c>
      <c r="B440" s="38" t="str">
        <f ca="1">IFERROR(__xludf.DUMMYFUNCTION("""COMPUTED_VALUE"""),"Jubilee")</f>
        <v>Jubilee</v>
      </c>
      <c r="C440" s="39">
        <f ca="1">IFERROR(__xludf.DUMMYFUNCTION("""COMPUTED_VALUE"""),98000)</f>
        <v>98000</v>
      </c>
      <c r="D440" s="39" t="str">
        <f ca="1">IFERROR(__xludf.DUMMYFUNCTION("""COMPUTED_VALUE"""),"SUVs")</f>
        <v>SUVs</v>
      </c>
      <c r="E440" s="40" t="str">
        <f ca="1">IFERROR(__xludf.DUMMYFUNCTION("""COMPUTED_VALUE"""),"https://docs.fivem.net/vehicles/jubilee.webp")</f>
        <v>https://docs.fivem.net/vehicles/jubilee.webp</v>
      </c>
    </row>
    <row r="441" spans="1:5" ht="15.75" customHeight="1" x14ac:dyDescent="0.4">
      <c r="A441" s="38" t="str">
        <f ca="1">IFERROR(__xludf.DUMMYFUNCTION("""COMPUTED_VALUE"""),"landstalker")</f>
        <v>landstalker</v>
      </c>
      <c r="B441" s="38" t="str">
        <f ca="1">IFERROR(__xludf.DUMMYFUNCTION("""COMPUTED_VALUE"""),"Landstalker")</f>
        <v>Landstalker</v>
      </c>
      <c r="C441" s="39">
        <f ca="1">IFERROR(__xludf.DUMMYFUNCTION("""COMPUTED_VALUE"""),42500)</f>
        <v>42500</v>
      </c>
      <c r="D441" s="39" t="str">
        <f ca="1">IFERROR(__xludf.DUMMYFUNCTION("""COMPUTED_VALUE"""),"SUVs")</f>
        <v>SUVs</v>
      </c>
      <c r="E441" s="40" t="str">
        <f ca="1">IFERROR(__xludf.DUMMYFUNCTION("""COMPUTED_VALUE"""),"https://docs.fivem.net/vehicles/landstalker.webp")</f>
        <v>https://docs.fivem.net/vehicles/landstalker.webp</v>
      </c>
    </row>
    <row r="442" spans="1:5" ht="15.75" customHeight="1" x14ac:dyDescent="0.4">
      <c r="A442" s="38" t="str">
        <f ca="1">IFERROR(__xludf.DUMMYFUNCTION("""COMPUTED_VALUE"""),"landstalker2")</f>
        <v>landstalker2</v>
      </c>
      <c r="B442" s="38" t="str">
        <f ca="1">IFERROR(__xludf.DUMMYFUNCTION("""COMPUTED_VALUE"""),"Landstalker XL")</f>
        <v>Landstalker XL</v>
      </c>
      <c r="C442" s="39">
        <f ca="1">IFERROR(__xludf.DUMMYFUNCTION("""COMPUTED_VALUE"""),46500)</f>
        <v>46500</v>
      </c>
      <c r="D442" s="39" t="str">
        <f ca="1">IFERROR(__xludf.DUMMYFUNCTION("""COMPUTED_VALUE"""),"SUVs")</f>
        <v>SUVs</v>
      </c>
      <c r="E442" s="40" t="str">
        <f ca="1">IFERROR(__xludf.DUMMYFUNCTION("""COMPUTED_VALUE"""),"https://docs.fivem.net/vehicles/landstalker2.webp")</f>
        <v>https://docs.fivem.net/vehicles/landstalker2.webp</v>
      </c>
    </row>
    <row r="443" spans="1:5" ht="15.75" customHeight="1" x14ac:dyDescent="0.4">
      <c r="A443" s="38" t="str">
        <f ca="1">IFERROR(__xludf.DUMMYFUNCTION("""COMPUTED_VALUE"""),"novak")</f>
        <v>novak</v>
      </c>
      <c r="B443" s="38" t="str">
        <f ca="1">IFERROR(__xludf.DUMMYFUNCTION("""COMPUTED_VALUE"""),"Novak")</f>
        <v>Novak</v>
      </c>
      <c r="C443" s="39">
        <f ca="1">IFERROR(__xludf.DUMMYFUNCTION("""COMPUTED_VALUE"""),78000)</f>
        <v>78000</v>
      </c>
      <c r="D443" s="39" t="str">
        <f ca="1">IFERROR(__xludf.DUMMYFUNCTION("""COMPUTED_VALUE"""),"SUVs")</f>
        <v>SUVs</v>
      </c>
      <c r="E443" s="40" t="str">
        <f ca="1">IFERROR(__xludf.DUMMYFUNCTION("""COMPUTED_VALUE"""),"https://docs.fivem.net/vehicles/novak.webp")</f>
        <v>https://docs.fivem.net/vehicles/novak.webp</v>
      </c>
    </row>
    <row r="444" spans="1:5" ht="15.75" customHeight="1" x14ac:dyDescent="0.4">
      <c r="A444" s="38" t="str">
        <f ca="1">IFERROR(__xludf.DUMMYFUNCTION("""COMPUTED_VALUE"""),"patriot")</f>
        <v>patriot</v>
      </c>
      <c r="B444" s="38" t="str">
        <f ca="1">IFERROR(__xludf.DUMMYFUNCTION("""COMPUTED_VALUE"""),"Patriot")</f>
        <v>Patriot</v>
      </c>
      <c r="C444" s="39">
        <f ca="1">IFERROR(__xludf.DUMMYFUNCTION("""COMPUTED_VALUE"""),43500)</f>
        <v>43500</v>
      </c>
      <c r="D444" s="39" t="str">
        <f ca="1">IFERROR(__xludf.DUMMYFUNCTION("""COMPUTED_VALUE"""),"SUVs")</f>
        <v>SUVs</v>
      </c>
      <c r="E444" s="40" t="str">
        <f ca="1">IFERROR(__xludf.DUMMYFUNCTION("""COMPUTED_VALUE"""),"https://docs.fivem.net/vehicles/patriot.webp")</f>
        <v>https://docs.fivem.net/vehicles/patriot.webp</v>
      </c>
    </row>
    <row r="445" spans="1:5" ht="15.75" customHeight="1" x14ac:dyDescent="0.4">
      <c r="A445" s="38" t="str">
        <f ca="1">IFERROR(__xludf.DUMMYFUNCTION("""COMPUTED_VALUE"""),"patriot3")</f>
        <v>patriot3</v>
      </c>
      <c r="B445" s="38" t="str">
        <f ca="1">IFERROR(__xludf.DUMMYFUNCTION("""COMPUTED_VALUE"""),"Patriot Military")</f>
        <v>Patriot Military</v>
      </c>
      <c r="C445" s="39">
        <f ca="1">IFERROR(__xludf.DUMMYFUNCTION("""COMPUTED_VALUE"""),92000)</f>
        <v>92000</v>
      </c>
      <c r="D445" s="39" t="str">
        <f ca="1">IFERROR(__xludf.DUMMYFUNCTION("""COMPUTED_VALUE"""),"SUVs")</f>
        <v>SUVs</v>
      </c>
      <c r="E445" s="40" t="str">
        <f ca="1">IFERROR(__xludf.DUMMYFUNCTION("""COMPUTED_VALUE"""),"https://docs.fivem.net/vehicles/patriot3.webp")</f>
        <v>https://docs.fivem.net/vehicles/patriot3.webp</v>
      </c>
    </row>
    <row r="446" spans="1:5" ht="15.75" customHeight="1" x14ac:dyDescent="0.4">
      <c r="A446" s="38" t="str">
        <f ca="1">IFERROR(__xludf.DUMMYFUNCTION("""COMPUTED_VALUE"""),"radi")</f>
        <v>radi</v>
      </c>
      <c r="B446" s="38" t="str">
        <f ca="1">IFERROR(__xludf.DUMMYFUNCTION("""COMPUTED_VALUE"""),"Radius")</f>
        <v>Radius</v>
      </c>
      <c r="C446" s="39">
        <f ca="1">IFERROR(__xludf.DUMMYFUNCTION("""COMPUTED_VALUE"""),16000)</f>
        <v>16000</v>
      </c>
      <c r="D446" s="39" t="str">
        <f ca="1">IFERROR(__xludf.DUMMYFUNCTION("""COMPUTED_VALUE"""),"SUVs")</f>
        <v>SUVs</v>
      </c>
      <c r="E446" s="40" t="str">
        <f ca="1">IFERROR(__xludf.DUMMYFUNCTION("""COMPUTED_VALUE"""),"https://docs.fivem.net/vehicles/radi.webp")</f>
        <v>https://docs.fivem.net/vehicles/radi.webp</v>
      </c>
    </row>
    <row r="447" spans="1:5" ht="15.75" customHeight="1" x14ac:dyDescent="0.4">
      <c r="A447" s="38" t="str">
        <f ca="1">IFERROR(__xludf.DUMMYFUNCTION("""COMPUTED_VALUE"""),"rebla")</f>
        <v>rebla</v>
      </c>
      <c r="B447" s="38" t="str">
        <f ca="1">IFERROR(__xludf.DUMMYFUNCTION("""COMPUTED_VALUE"""),"Rebla GTS")</f>
        <v>Rebla GTS</v>
      </c>
      <c r="C447" s="39">
        <f ca="1">IFERROR(__xludf.DUMMYFUNCTION("""COMPUTED_VALUE"""),115000)</f>
        <v>115000</v>
      </c>
      <c r="D447" s="39" t="str">
        <f ca="1">IFERROR(__xludf.DUMMYFUNCTION("""COMPUTED_VALUE"""),"SUVs")</f>
        <v>SUVs</v>
      </c>
      <c r="E447" s="40" t="str">
        <f ca="1">IFERROR(__xludf.DUMMYFUNCTION("""COMPUTED_VALUE"""),"https://docs.fivem.net/vehicles/rebla.webp")</f>
        <v>https://docs.fivem.net/vehicles/rebla.webp</v>
      </c>
    </row>
    <row r="448" spans="1:5" ht="15.75" customHeight="1" x14ac:dyDescent="0.4">
      <c r="A448" s="38" t="str">
        <f ca="1">IFERROR(__xludf.DUMMYFUNCTION("""COMPUTED_VALUE"""),"rocoto")</f>
        <v>rocoto</v>
      </c>
      <c r="B448" s="38" t="str">
        <f ca="1">IFERROR(__xludf.DUMMYFUNCTION("""COMPUTED_VALUE"""),"Rocoto")</f>
        <v>Rocoto</v>
      </c>
      <c r="C448" s="39">
        <f ca="1">IFERROR(__xludf.DUMMYFUNCTION("""COMPUTED_VALUE"""),44500)</f>
        <v>44500</v>
      </c>
      <c r="D448" s="39" t="str">
        <f ca="1">IFERROR(__xludf.DUMMYFUNCTION("""COMPUTED_VALUE"""),"SUVs")</f>
        <v>SUVs</v>
      </c>
      <c r="E448" s="40" t="str">
        <f ca="1">IFERROR(__xludf.DUMMYFUNCTION("""COMPUTED_VALUE"""),"https://docs.fivem.net/vehicles/rocoto.webp")</f>
        <v>https://docs.fivem.net/vehicles/rocoto.webp</v>
      </c>
    </row>
    <row r="449" spans="1:5" ht="15.75" customHeight="1" x14ac:dyDescent="0.4">
      <c r="A449" s="38" t="str">
        <f ca="1">IFERROR(__xludf.DUMMYFUNCTION("""COMPUTED_VALUE"""),"seminole")</f>
        <v>seminole</v>
      </c>
      <c r="B449" s="38" t="str">
        <f ca="1">IFERROR(__xludf.DUMMYFUNCTION("""COMPUTED_VALUE"""),"Seminole")</f>
        <v>Seminole</v>
      </c>
      <c r="C449" s="39">
        <f ca="1">IFERROR(__xludf.DUMMYFUNCTION("""COMPUTED_VALUE"""),29500)</f>
        <v>29500</v>
      </c>
      <c r="D449" s="39" t="str">
        <f ca="1">IFERROR(__xludf.DUMMYFUNCTION("""COMPUTED_VALUE"""),"SUVs")</f>
        <v>SUVs</v>
      </c>
      <c r="E449" s="40" t="str">
        <f ca="1">IFERROR(__xludf.DUMMYFUNCTION("""COMPUTED_VALUE"""),"https://docs.fivem.net/vehicles/seminole.webp")</f>
        <v>https://docs.fivem.net/vehicles/seminole.webp</v>
      </c>
    </row>
    <row r="450" spans="1:5" ht="15.75" customHeight="1" x14ac:dyDescent="0.4">
      <c r="A450" s="38" t="str">
        <f ca="1">IFERROR(__xludf.DUMMYFUNCTION("""COMPUTED_VALUE"""),"seminole2")</f>
        <v>seminole2</v>
      </c>
      <c r="B450" s="38" t="str">
        <f ca="1">IFERROR(__xludf.DUMMYFUNCTION("""COMPUTED_VALUE"""),"Seminole Frontier")</f>
        <v>Seminole Frontier</v>
      </c>
      <c r="C450" s="39">
        <f ca="1">IFERROR(__xludf.DUMMYFUNCTION("""COMPUTED_VALUE"""),34000)</f>
        <v>34000</v>
      </c>
      <c r="D450" s="39" t="str">
        <f ca="1">IFERROR(__xludf.DUMMYFUNCTION("""COMPUTED_VALUE"""),"SUVs")</f>
        <v>SUVs</v>
      </c>
      <c r="E450" s="40" t="str">
        <f ca="1">IFERROR(__xludf.DUMMYFUNCTION("""COMPUTED_VALUE"""),"https://docs.fivem.net/vehicles/seminole2.webp")</f>
        <v>https://docs.fivem.net/vehicles/seminole2.webp</v>
      </c>
    </row>
    <row r="451" spans="1:5" ht="15.75" customHeight="1" x14ac:dyDescent="0.4">
      <c r="A451" s="38" t="str">
        <f ca="1">IFERROR(__xludf.DUMMYFUNCTION("""COMPUTED_VALUE"""),"serrano")</f>
        <v>serrano</v>
      </c>
      <c r="B451" s="38" t="str">
        <f ca="1">IFERROR(__xludf.DUMMYFUNCTION("""COMPUTED_VALUE"""),"Serrano")</f>
        <v>Serrano</v>
      </c>
      <c r="C451" s="39">
        <f ca="1">IFERROR(__xludf.DUMMYFUNCTION("""COMPUTED_VALUE"""),36500)</f>
        <v>36500</v>
      </c>
      <c r="D451" s="39" t="str">
        <f ca="1">IFERROR(__xludf.DUMMYFUNCTION("""COMPUTED_VALUE"""),"SUVs")</f>
        <v>SUVs</v>
      </c>
      <c r="E451" s="40" t="str">
        <f ca="1">IFERROR(__xludf.DUMMYFUNCTION("""COMPUTED_VALUE"""),"https://docs.fivem.net/vehicles/serrano.webp")</f>
        <v>https://docs.fivem.net/vehicles/serrano.webp</v>
      </c>
    </row>
    <row r="452" spans="1:5" ht="15.75" customHeight="1" x14ac:dyDescent="0.4">
      <c r="A452" s="38" t="str">
        <f ca="1">IFERROR(__xludf.DUMMYFUNCTION("""COMPUTED_VALUE"""),"toros")</f>
        <v>toros</v>
      </c>
      <c r="B452" s="38" t="str">
        <f ca="1">IFERROR(__xludf.DUMMYFUNCTION("""COMPUTED_VALUE"""),"Toros")</f>
        <v>Toros</v>
      </c>
      <c r="C452" s="39">
        <f ca="1">IFERROR(__xludf.DUMMYFUNCTION("""COMPUTED_VALUE"""),165000)</f>
        <v>165000</v>
      </c>
      <c r="D452" s="39" t="str">
        <f ca="1">IFERROR(__xludf.DUMMYFUNCTION("""COMPUTED_VALUE"""),"SUVs")</f>
        <v>SUVs</v>
      </c>
      <c r="E452" s="40" t="str">
        <f ca="1">IFERROR(__xludf.DUMMYFUNCTION("""COMPUTED_VALUE"""),"https://docs.fivem.net/vehicles/toros.webp")</f>
        <v>https://docs.fivem.net/vehicles/toros.webp</v>
      </c>
    </row>
    <row r="453" spans="1:5" ht="15.75" customHeight="1" x14ac:dyDescent="0.4">
      <c r="A453" s="38" t="str">
        <f ca="1">IFERROR(__xludf.DUMMYFUNCTION("""COMPUTED_VALUE"""),"vivanite")</f>
        <v>vivanite</v>
      </c>
      <c r="B453" s="38" t="str">
        <f ca="1">IFERROR(__xludf.DUMMYFUNCTION("""COMPUTED_VALUE"""),"Vivanite")</f>
        <v>Vivanite</v>
      </c>
      <c r="C453" s="39">
        <f ca="1">IFERROR(__xludf.DUMMYFUNCTION("""COMPUTED_VALUE"""),48000)</f>
        <v>48000</v>
      </c>
      <c r="D453" s="39" t="str">
        <f ca="1">IFERROR(__xludf.DUMMYFUNCTION("""COMPUTED_VALUE"""),"SUVs")</f>
        <v>SUVs</v>
      </c>
      <c r="E453" s="40" t="str">
        <f ca="1">IFERROR(__xludf.DUMMYFUNCTION("""COMPUTED_VALUE"""),"https://docs.fivem.net/vehicles/vivanite.webp")</f>
        <v>https://docs.fivem.net/vehicles/vivanite.webp</v>
      </c>
    </row>
    <row r="454" spans="1:5" ht="15.75" customHeight="1" x14ac:dyDescent="0.4">
      <c r="A454" s="38" t="str">
        <f ca="1">IFERROR(__xludf.DUMMYFUNCTION("""COMPUTED_VALUE"""),"xls")</f>
        <v>xls</v>
      </c>
      <c r="B454" s="38" t="str">
        <f ca="1">IFERROR(__xludf.DUMMYFUNCTION("""COMPUTED_VALUE"""),"XLS")</f>
        <v>XLS</v>
      </c>
      <c r="C454" s="39">
        <f ca="1">IFERROR(__xludf.DUMMYFUNCTION("""COMPUTED_VALUE"""),48500)</f>
        <v>48500</v>
      </c>
      <c r="D454" s="39" t="str">
        <f ca="1">IFERROR(__xludf.DUMMYFUNCTION("""COMPUTED_VALUE"""),"SUVs")</f>
        <v>SUVs</v>
      </c>
      <c r="E454" s="40" t="str">
        <f ca="1">IFERROR(__xludf.DUMMYFUNCTION("""COMPUTED_VALUE"""),"https://docs.fivem.net/vehicles/xls.webp")</f>
        <v>https://docs.fivem.net/vehicles/xls.webp</v>
      </c>
    </row>
    <row r="455" spans="1:5" ht="15.75" customHeight="1" x14ac:dyDescent="0.4">
      <c r="A455" s="38" t="str">
        <f ca="1">IFERROR(__xludf.DUMMYFUNCTION("""COMPUTED_VALUE"""),"bfinjection")</f>
        <v>bfinjection</v>
      </c>
      <c r="B455" s="38" t="str">
        <f ca="1">IFERROR(__xludf.DUMMYFUNCTION("""COMPUTED_VALUE"""),"Bf Injection")</f>
        <v>Bf Injection</v>
      </c>
      <c r="C455" s="39">
        <f ca="1">IFERROR(__xludf.DUMMYFUNCTION("""COMPUTED_VALUE"""),18000)</f>
        <v>18000</v>
      </c>
      <c r="D455" s="39" t="str">
        <f ca="1">IFERROR(__xludf.DUMMYFUNCTION("""COMPUTED_VALUE"""),"Todoterrenos")</f>
        <v>Todoterrenos</v>
      </c>
      <c r="E455" s="40" t="str">
        <f ca="1">IFERROR(__xludf.DUMMYFUNCTION("""COMPUTED_VALUE"""),"https://docs.fivem.net/vehicles/bfinjection.webp")</f>
        <v>https://docs.fivem.net/vehicles/bfinjection.webp</v>
      </c>
    </row>
    <row r="456" spans="1:5" ht="15.75" customHeight="1" x14ac:dyDescent="0.4">
      <c r="A456" s="38" t="str">
        <f ca="1">IFERROR(__xludf.DUMMYFUNCTION("""COMPUTED_VALUE"""),"bifta")</f>
        <v>bifta</v>
      </c>
      <c r="B456" s="38" t="str">
        <f ca="1">IFERROR(__xludf.DUMMYFUNCTION("""COMPUTED_VALUE"""),"Bifta")</f>
        <v>Bifta</v>
      </c>
      <c r="C456" s="39">
        <f ca="1">IFERROR(__xludf.DUMMYFUNCTION("""COMPUTED_VALUE"""),24000)</f>
        <v>24000</v>
      </c>
      <c r="D456" s="39" t="str">
        <f ca="1">IFERROR(__xludf.DUMMYFUNCTION("""COMPUTED_VALUE"""),"Todoterrenos")</f>
        <v>Todoterrenos</v>
      </c>
      <c r="E456" s="40" t="str">
        <f ca="1">IFERROR(__xludf.DUMMYFUNCTION("""COMPUTED_VALUE"""),"https://docs.fivem.net/vehicles/bifta.webp")</f>
        <v>https://docs.fivem.net/vehicles/bifta.webp</v>
      </c>
    </row>
    <row r="457" spans="1:5" ht="15.75" customHeight="1" x14ac:dyDescent="0.4">
      <c r="A457" s="38" t="str">
        <f ca="1">IFERROR(__xludf.DUMMYFUNCTION("""COMPUTED_VALUE"""),"blazer")</f>
        <v>blazer</v>
      </c>
      <c r="B457" s="38" t="str">
        <f ca="1">IFERROR(__xludf.DUMMYFUNCTION("""COMPUTED_VALUE"""),"Blazer")</f>
        <v>Blazer</v>
      </c>
      <c r="C457" s="39">
        <f ca="1">IFERROR(__xludf.DUMMYFUNCTION("""COMPUTED_VALUE"""),18000)</f>
        <v>18000</v>
      </c>
      <c r="D457" s="39" t="str">
        <f ca="1">IFERROR(__xludf.DUMMYFUNCTION("""COMPUTED_VALUE"""),"Todoterrenos")</f>
        <v>Todoterrenos</v>
      </c>
      <c r="E457" s="40" t="str">
        <f ca="1">IFERROR(__xludf.DUMMYFUNCTION("""COMPUTED_VALUE"""),"https://docs.fivem.net/vehicles/blazer.webp")</f>
        <v>https://docs.fivem.net/vehicles/blazer.webp</v>
      </c>
    </row>
    <row r="458" spans="1:5" ht="15.75" customHeight="1" x14ac:dyDescent="0.4">
      <c r="A458" s="38" t="str">
        <f ca="1">IFERROR(__xludf.DUMMYFUNCTION("""COMPUTED_VALUE"""),"blazer3")</f>
        <v>blazer3</v>
      </c>
      <c r="B458" s="38" t="str">
        <f ca="1">IFERROR(__xludf.DUMMYFUNCTION("""COMPUTED_VALUE"""),"Blazer Hot Rod")</f>
        <v>Blazer Hot Rod</v>
      </c>
      <c r="C458" s="39">
        <f ca="1">IFERROR(__xludf.DUMMYFUNCTION("""COMPUTED_VALUE"""),8000)</f>
        <v>8000</v>
      </c>
      <c r="D458" s="39" t="str">
        <f ca="1">IFERROR(__xludf.DUMMYFUNCTION("""COMPUTED_VALUE"""),"Todoterrenos")</f>
        <v>Todoterrenos</v>
      </c>
      <c r="E458" s="40" t="str">
        <f ca="1">IFERROR(__xludf.DUMMYFUNCTION("""COMPUTED_VALUE"""),"https://docs.fivem.net/vehicles/blazer3.webp")</f>
        <v>https://docs.fivem.net/vehicles/blazer3.webp</v>
      </c>
    </row>
    <row r="459" spans="1:5" ht="15.75" customHeight="1" x14ac:dyDescent="0.4">
      <c r="A459" s="38" t="str">
        <f ca="1">IFERROR(__xludf.DUMMYFUNCTION("""COMPUTED_VALUE"""),"blazer4")</f>
        <v>blazer4</v>
      </c>
      <c r="B459" s="38" t="str">
        <f ca="1">IFERROR(__xludf.DUMMYFUNCTION("""COMPUTED_VALUE"""),"Blazer Sport")</f>
        <v>Blazer Sport</v>
      </c>
      <c r="C459" s="39">
        <f ca="1">IFERROR(__xludf.DUMMYFUNCTION("""COMPUTED_VALUE"""),35000)</f>
        <v>35000</v>
      </c>
      <c r="D459" s="39" t="str">
        <f ca="1">IFERROR(__xludf.DUMMYFUNCTION("""COMPUTED_VALUE"""),"Todoterrenos")</f>
        <v>Todoterrenos</v>
      </c>
      <c r="E459" s="40" t="str">
        <f ca="1">IFERROR(__xludf.DUMMYFUNCTION("""COMPUTED_VALUE"""),"https://docs.fivem.net/vehicles/blazer4.webp")</f>
        <v>https://docs.fivem.net/vehicles/blazer4.webp</v>
      </c>
    </row>
    <row r="460" spans="1:5" ht="15.75" customHeight="1" x14ac:dyDescent="0.4">
      <c r="A460" s="38" t="str">
        <f ca="1">IFERROR(__xludf.DUMMYFUNCTION("""COMPUTED_VALUE"""),"brawler")</f>
        <v>brawler</v>
      </c>
      <c r="B460" s="38" t="str">
        <f ca="1">IFERROR(__xludf.DUMMYFUNCTION("""COMPUTED_VALUE"""),"Brawler")</f>
        <v>Brawler</v>
      </c>
      <c r="C460" s="39">
        <f ca="1">IFERROR(__xludf.DUMMYFUNCTION("""COMPUTED_VALUE"""),60000)</f>
        <v>60000</v>
      </c>
      <c r="D460" s="39" t="str">
        <f ca="1">IFERROR(__xludf.DUMMYFUNCTION("""COMPUTED_VALUE"""),"Todoterrenos")</f>
        <v>Todoterrenos</v>
      </c>
      <c r="E460" s="40" t="str">
        <f ca="1">IFERROR(__xludf.DUMMYFUNCTION("""COMPUTED_VALUE"""),"https://docs.fivem.net/vehicles/brawler.webp")</f>
        <v>https://docs.fivem.net/vehicles/brawler.webp</v>
      </c>
    </row>
    <row r="461" spans="1:5" ht="15.75" customHeight="1" x14ac:dyDescent="0.4">
      <c r="A461" s="38" t="str">
        <f ca="1">IFERROR(__xludf.DUMMYFUNCTION("""COMPUTED_VALUE"""),"caracara")</f>
        <v>caracara</v>
      </c>
      <c r="B461" s="38" t="str">
        <f ca="1">IFERROR(__xludf.DUMMYFUNCTION("""COMPUTED_VALUE"""),"Caracara")</f>
        <v>Caracara</v>
      </c>
      <c r="C461" s="39">
        <f ca="1">IFERROR(__xludf.DUMMYFUNCTION("""COMPUTED_VALUE"""),105000)</f>
        <v>105000</v>
      </c>
      <c r="D461" s="39" t="str">
        <f ca="1">IFERROR(__xludf.DUMMYFUNCTION("""COMPUTED_VALUE"""),"Todoterrenos")</f>
        <v>Todoterrenos</v>
      </c>
      <c r="E461" s="40" t="str">
        <f ca="1">IFERROR(__xludf.DUMMYFUNCTION("""COMPUTED_VALUE"""),"https://docs.fivem.net/vehicles/caracara.webp")</f>
        <v>https://docs.fivem.net/vehicles/caracara.webp</v>
      </c>
    </row>
    <row r="462" spans="1:5" ht="15.75" customHeight="1" x14ac:dyDescent="0.4">
      <c r="A462" s="38" t="str">
        <f ca="1">IFERROR(__xludf.DUMMYFUNCTION("""COMPUTED_VALUE"""),"caracara2")</f>
        <v>caracara2</v>
      </c>
      <c r="B462" s="38" t="str">
        <f ca="1">IFERROR(__xludf.DUMMYFUNCTION("""COMPUTED_VALUE"""),"Caracara 4x4")</f>
        <v>Caracara 4x4</v>
      </c>
      <c r="C462" s="39">
        <f ca="1">IFERROR(__xludf.DUMMYFUNCTION("""COMPUTED_VALUE"""),95000)</f>
        <v>95000</v>
      </c>
      <c r="D462" s="39" t="str">
        <f ca="1">IFERROR(__xludf.DUMMYFUNCTION("""COMPUTED_VALUE"""),"Todoterrenos")</f>
        <v>Todoterrenos</v>
      </c>
      <c r="E462" s="40" t="str">
        <f ca="1">IFERROR(__xludf.DUMMYFUNCTION("""COMPUTED_VALUE"""),"https://docs.fivem.net/vehicles/caracara2.webp")</f>
        <v>https://docs.fivem.net/vehicles/caracara2.webp</v>
      </c>
    </row>
    <row r="463" spans="1:5" ht="15.75" customHeight="1" x14ac:dyDescent="0.4">
      <c r="A463" s="38" t="str">
        <f ca="1">IFERROR(__xludf.DUMMYFUNCTION("""COMPUTED_VALUE"""),"draugur")</f>
        <v>draugur</v>
      </c>
      <c r="B463" s="38" t="str">
        <f ca="1">IFERROR(__xludf.DUMMYFUNCTION("""COMPUTED_VALUE"""),"Draugur")</f>
        <v>Draugur</v>
      </c>
      <c r="C463" s="39">
        <f ca="1">IFERROR(__xludf.DUMMYFUNCTION("""COMPUTED_VALUE"""),130000)</f>
        <v>130000</v>
      </c>
      <c r="D463" s="39" t="str">
        <f ca="1">IFERROR(__xludf.DUMMYFUNCTION("""COMPUTED_VALUE"""),"Todoterrenos")</f>
        <v>Todoterrenos</v>
      </c>
      <c r="E463" s="40" t="str">
        <f ca="1">IFERROR(__xludf.DUMMYFUNCTION("""COMPUTED_VALUE"""),"https://docs.fivem.net/vehicles/draugur.webp")</f>
        <v>https://docs.fivem.net/vehicles/draugur.webp</v>
      </c>
    </row>
    <row r="464" spans="1:5" ht="15.75" customHeight="1" x14ac:dyDescent="0.4">
      <c r="A464" s="38" t="str">
        <f ca="1">IFERROR(__xludf.DUMMYFUNCTION("""COMPUTED_VALUE"""),"dubsta3")</f>
        <v>dubsta3</v>
      </c>
      <c r="B464" s="38" t="str">
        <f ca="1">IFERROR(__xludf.DUMMYFUNCTION("""COMPUTED_VALUE"""),"Dubsta 6x6")</f>
        <v>Dubsta 6x6</v>
      </c>
      <c r="C464" s="39">
        <f ca="1">IFERROR(__xludf.DUMMYFUNCTION("""COMPUTED_VALUE"""),97000)</f>
        <v>97000</v>
      </c>
      <c r="D464" s="39" t="str">
        <f ca="1">IFERROR(__xludf.DUMMYFUNCTION("""COMPUTED_VALUE"""),"Todoterrenos")</f>
        <v>Todoterrenos</v>
      </c>
      <c r="E464" s="40" t="str">
        <f ca="1">IFERROR(__xludf.DUMMYFUNCTION("""COMPUTED_VALUE"""),"https://docs.fivem.net/vehicles/dubsta3.webp")</f>
        <v>https://docs.fivem.net/vehicles/dubsta3.webp</v>
      </c>
    </row>
    <row r="465" spans="1:5" ht="15.75" customHeight="1" x14ac:dyDescent="0.4">
      <c r="A465" s="38" t="str">
        <f ca="1">IFERROR(__xludf.DUMMYFUNCTION("""COMPUTED_VALUE"""),"dune")</f>
        <v>dune</v>
      </c>
      <c r="B465" s="38" t="str">
        <f ca="1">IFERROR(__xludf.DUMMYFUNCTION("""COMPUTED_VALUE"""),"Dune Buggy")</f>
        <v>Dune Buggy</v>
      </c>
      <c r="C465" s="39">
        <f ca="1">IFERROR(__xludf.DUMMYFUNCTION("""COMPUTED_VALUE"""),88500)</f>
        <v>88500</v>
      </c>
      <c r="D465" s="39" t="str">
        <f ca="1">IFERROR(__xludf.DUMMYFUNCTION("""COMPUTED_VALUE"""),"Todoterrenos")</f>
        <v>Todoterrenos</v>
      </c>
      <c r="E465" s="40" t="str">
        <f ca="1">IFERROR(__xludf.DUMMYFUNCTION("""COMPUTED_VALUE"""),"https://docs.fivem.net/vehicles/dune.webp")</f>
        <v>https://docs.fivem.net/vehicles/dune.webp</v>
      </c>
    </row>
    <row r="466" spans="1:5" ht="15.75" customHeight="1" x14ac:dyDescent="0.4">
      <c r="A466" s="38" t="str">
        <f ca="1">IFERROR(__xludf.DUMMYFUNCTION("""COMPUTED_VALUE"""),"everon")</f>
        <v>everon</v>
      </c>
      <c r="B466" s="38" t="str">
        <f ca="1">IFERROR(__xludf.DUMMYFUNCTION("""COMPUTED_VALUE"""),"Everon")</f>
        <v>Everon</v>
      </c>
      <c r="C466" s="39">
        <f ca="1">IFERROR(__xludf.DUMMYFUNCTION("""COMPUTED_VALUE"""),80000)</f>
        <v>80000</v>
      </c>
      <c r="D466" s="39" t="str">
        <f ca="1">IFERROR(__xludf.DUMMYFUNCTION("""COMPUTED_VALUE"""),"Todoterrenos")</f>
        <v>Todoterrenos</v>
      </c>
      <c r="E466" s="40" t="str">
        <f ca="1">IFERROR(__xludf.DUMMYFUNCTION("""COMPUTED_VALUE"""),"https://docs.fivem.net/vehicles/everon.webp")</f>
        <v>https://docs.fivem.net/vehicles/everon.webp</v>
      </c>
    </row>
    <row r="467" spans="1:5" ht="15.75" customHeight="1" x14ac:dyDescent="0.4">
      <c r="A467" s="38" t="str">
        <f ca="1">IFERROR(__xludf.DUMMYFUNCTION("""COMPUTED_VALUE"""),"freecrawler")</f>
        <v>freecrawler</v>
      </c>
      <c r="B467" s="38" t="str">
        <f ca="1">IFERROR(__xludf.DUMMYFUNCTION("""COMPUTED_VALUE"""),"Freecrawler")</f>
        <v>Freecrawler</v>
      </c>
      <c r="C467" s="39">
        <f ca="1">IFERROR(__xludf.DUMMYFUNCTION("""COMPUTED_VALUE"""),65000)</f>
        <v>65000</v>
      </c>
      <c r="D467" s="39" t="str">
        <f ca="1">IFERROR(__xludf.DUMMYFUNCTION("""COMPUTED_VALUE"""),"Todoterrenos")</f>
        <v>Todoterrenos</v>
      </c>
      <c r="E467" s="40" t="str">
        <f ca="1">IFERROR(__xludf.DUMMYFUNCTION("""COMPUTED_VALUE"""),"https://docs.fivem.net/vehicles/freecrawler.webp")</f>
        <v>https://docs.fivem.net/vehicles/freecrawler.webp</v>
      </c>
    </row>
    <row r="468" spans="1:5" ht="15.75" customHeight="1" x14ac:dyDescent="0.4">
      <c r="A468" s="38" t="str">
        <f ca="1">IFERROR(__xludf.DUMMYFUNCTION("""COMPUTED_VALUE"""),"guardian")</f>
        <v>guardian</v>
      </c>
      <c r="B468" s="38" t="str">
        <f ca="1">IFERROR(__xludf.DUMMYFUNCTION("""COMPUTED_VALUE"""),"Guardian")</f>
        <v>Guardian</v>
      </c>
      <c r="C468" s="39">
        <f ca="1">IFERROR(__xludf.DUMMYFUNCTION("""COMPUTED_VALUE"""),150000)</f>
        <v>150000</v>
      </c>
      <c r="D468" s="39" t="str">
        <f ca="1">IFERROR(__xludf.DUMMYFUNCTION("""COMPUTED_VALUE"""),"Todoterrenos")</f>
        <v>Todoterrenos</v>
      </c>
      <c r="E468" s="40" t="str">
        <f ca="1">IFERROR(__xludf.DUMMYFUNCTION("""COMPUTED_VALUE"""),"https://docs.fivem.net/vehicles/guardian.webp")</f>
        <v>https://docs.fivem.net/vehicles/guardian.webp</v>
      </c>
    </row>
    <row r="469" spans="1:5" ht="15.75" customHeight="1" x14ac:dyDescent="0.4">
      <c r="A469" s="38" t="str">
        <f ca="1">IFERROR(__xludf.DUMMYFUNCTION("""COMPUTED_VALUE"""),"hellion")</f>
        <v>hellion</v>
      </c>
      <c r="B469" s="38" t="str">
        <f ca="1">IFERROR(__xludf.DUMMYFUNCTION("""COMPUTED_VALUE"""),"Hellion")</f>
        <v>Hellion</v>
      </c>
      <c r="C469" s="39">
        <f ca="1">IFERROR(__xludf.DUMMYFUNCTION("""COMPUTED_VALUE"""),38000)</f>
        <v>38000</v>
      </c>
      <c r="D469" s="39" t="str">
        <f ca="1">IFERROR(__xludf.DUMMYFUNCTION("""COMPUTED_VALUE"""),"Todoterrenos")</f>
        <v>Todoterrenos</v>
      </c>
      <c r="E469" s="40" t="str">
        <f ca="1">IFERROR(__xludf.DUMMYFUNCTION("""COMPUTED_VALUE"""),"https://docs.fivem.net/vehicles/hellion.webp")</f>
        <v>https://docs.fivem.net/vehicles/hellion.webp</v>
      </c>
    </row>
    <row r="470" spans="1:5" ht="15.75" customHeight="1" x14ac:dyDescent="0.4">
      <c r="A470" s="38" t="str">
        <f ca="1">IFERROR(__xludf.DUMMYFUNCTION("""COMPUTED_VALUE"""),"kalahari")</f>
        <v>kalahari</v>
      </c>
      <c r="B470" s="38" t="str">
        <f ca="1">IFERROR(__xludf.DUMMYFUNCTION("""COMPUTED_VALUE"""),"Kalahari")</f>
        <v>Kalahari</v>
      </c>
      <c r="C470" s="39">
        <f ca="1">IFERROR(__xludf.DUMMYFUNCTION("""COMPUTED_VALUE"""),7500)</f>
        <v>7500</v>
      </c>
      <c r="D470" s="39" t="str">
        <f ca="1">IFERROR(__xludf.DUMMYFUNCTION("""COMPUTED_VALUE"""),"Todoterrenos")</f>
        <v>Todoterrenos</v>
      </c>
      <c r="E470" s="40" t="str">
        <f ca="1">IFERROR(__xludf.DUMMYFUNCTION("""COMPUTED_VALUE"""),"https://docs.fivem.net/vehicles/kalahari.webp")</f>
        <v>https://docs.fivem.net/vehicles/kalahari.webp</v>
      </c>
    </row>
    <row r="471" spans="1:5" ht="15.75" customHeight="1" x14ac:dyDescent="0.4">
      <c r="A471" s="38" t="str">
        <f ca="1">IFERROR(__xludf.DUMMYFUNCTION("""COMPUTED_VALUE"""),"kamacho")</f>
        <v>kamacho</v>
      </c>
      <c r="B471" s="38" t="str">
        <f ca="1">IFERROR(__xludf.DUMMYFUNCTION("""COMPUTED_VALUE"""),"Kamacho")</f>
        <v>Kamacho</v>
      </c>
      <c r="C471" s="39">
        <f ca="1">IFERROR(__xludf.DUMMYFUNCTION("""COMPUTED_VALUE"""),90000)</f>
        <v>90000</v>
      </c>
      <c r="D471" s="39" t="str">
        <f ca="1">IFERROR(__xludf.DUMMYFUNCTION("""COMPUTED_VALUE"""),"Todoterrenos")</f>
        <v>Todoterrenos</v>
      </c>
      <c r="E471" s="40" t="str">
        <f ca="1">IFERROR(__xludf.DUMMYFUNCTION("""COMPUTED_VALUE"""),"https://docs.fivem.net/vehicles/kamacho.webp")</f>
        <v>https://docs.fivem.net/vehicles/kamacho.webp</v>
      </c>
    </row>
    <row r="472" spans="1:5" ht="15.75" customHeight="1" x14ac:dyDescent="0.4">
      <c r="A472" s="38" t="str">
        <f ca="1">IFERROR(__xludf.DUMMYFUNCTION("""COMPUTED_VALUE"""),"l35")</f>
        <v>l35</v>
      </c>
      <c r="B472" s="38" t="str">
        <f ca="1">IFERROR(__xludf.DUMMYFUNCTION("""COMPUTED_VALUE"""),"Walton L35")</f>
        <v>Walton L35</v>
      </c>
      <c r="C472" s="39">
        <f ca="1">IFERROR(__xludf.DUMMYFUNCTION("""COMPUTED_VALUE"""),18500)</f>
        <v>18500</v>
      </c>
      <c r="D472" s="39" t="str">
        <f ca="1">IFERROR(__xludf.DUMMYFUNCTION("""COMPUTED_VALUE"""),"Todoterrenos")</f>
        <v>Todoterrenos</v>
      </c>
      <c r="E472" s="40" t="str">
        <f ca="1">IFERROR(__xludf.DUMMYFUNCTION("""COMPUTED_VALUE"""),"https://docs.fivem.net/vehicles/l35.webp")</f>
        <v>https://docs.fivem.net/vehicles/l35.webp</v>
      </c>
    </row>
    <row r="473" spans="1:5" ht="15.75" customHeight="1" x14ac:dyDescent="0.4">
      <c r="A473" s="38" t="str">
        <f ca="1">IFERROR(__xludf.DUMMYFUNCTION("""COMPUTED_VALUE"""),"mesa")</f>
        <v>mesa</v>
      </c>
      <c r="B473" s="38" t="str">
        <f ca="1">IFERROR(__xludf.DUMMYFUNCTION("""COMPUTED_VALUE"""),"Mesa")</f>
        <v>Mesa</v>
      </c>
      <c r="C473" s="39">
        <f ca="1">IFERROR(__xludf.DUMMYFUNCTION("""COMPUTED_VALUE"""),30000)</f>
        <v>30000</v>
      </c>
      <c r="D473" s="39" t="str">
        <f ca="1">IFERROR(__xludf.DUMMYFUNCTION("""COMPUTED_VALUE"""),"Todoterrenos")</f>
        <v>Todoterrenos</v>
      </c>
      <c r="E473" s="40" t="str">
        <f ca="1">IFERROR(__xludf.DUMMYFUNCTION("""COMPUTED_VALUE"""),"https://docs.fivem.net/vehicles/mesa.webp")</f>
        <v>https://docs.fivem.net/vehicles/mesa.webp</v>
      </c>
    </row>
    <row r="474" spans="1:5" ht="15.75" customHeight="1" x14ac:dyDescent="0.4">
      <c r="A474" s="38" t="str">
        <f ca="1">IFERROR(__xludf.DUMMYFUNCTION("""COMPUTED_VALUE"""),"mesa3")</f>
        <v>mesa3</v>
      </c>
      <c r="B474" s="38" t="str">
        <f ca="1">IFERROR(__xludf.DUMMYFUNCTION("""COMPUTED_VALUE"""),"Mesa Merryweather")</f>
        <v>Mesa Merryweather</v>
      </c>
      <c r="C474" s="39">
        <f ca="1">IFERROR(__xludf.DUMMYFUNCTION("""COMPUTED_VALUE"""),59500)</f>
        <v>59500</v>
      </c>
      <c r="D474" s="39" t="str">
        <f ca="1">IFERROR(__xludf.DUMMYFUNCTION("""COMPUTED_VALUE"""),"Todoterrenos")</f>
        <v>Todoterrenos</v>
      </c>
      <c r="E474" s="40" t="str">
        <f ca="1">IFERROR(__xludf.DUMMYFUNCTION("""COMPUTED_VALUE"""),"https://docs.fivem.net/vehicles/mesa3.webp")</f>
        <v>https://docs.fivem.net/vehicles/mesa3.webp</v>
      </c>
    </row>
    <row r="475" spans="1:5" ht="15.75" customHeight="1" x14ac:dyDescent="0.4">
      <c r="A475" s="38" t="str">
        <f ca="1">IFERROR(__xludf.DUMMYFUNCTION("""COMPUTED_VALUE"""),"monstrociti")</f>
        <v>monstrociti</v>
      </c>
      <c r="B475" s="38" t="str">
        <f ca="1">IFERROR(__xludf.DUMMYFUNCTION("""COMPUTED_VALUE"""),"MonstroCiti")</f>
        <v>MonstroCiti</v>
      </c>
      <c r="C475" s="39">
        <f ca="1">IFERROR(__xludf.DUMMYFUNCTION("""COMPUTED_VALUE"""),64000)</f>
        <v>64000</v>
      </c>
      <c r="D475" s="39" t="str">
        <f ca="1">IFERROR(__xludf.DUMMYFUNCTION("""COMPUTED_VALUE"""),"Todoterrenos")</f>
        <v>Todoterrenos</v>
      </c>
      <c r="E475" s="40" t="str">
        <f ca="1">IFERROR(__xludf.DUMMYFUNCTION("""COMPUTED_VALUE"""),"https://docs.fivem.net/vehicles/monstrociti.webp")</f>
        <v>https://docs.fivem.net/vehicles/monstrociti.webp</v>
      </c>
    </row>
    <row r="476" spans="1:5" ht="15.75" customHeight="1" x14ac:dyDescent="0.4">
      <c r="A476" s="38" t="str">
        <f ca="1">IFERROR(__xludf.DUMMYFUNCTION("""COMPUTED_VALUE"""),"outlaw")</f>
        <v>outlaw</v>
      </c>
      <c r="B476" s="38" t="str">
        <f ca="1">IFERROR(__xludf.DUMMYFUNCTION("""COMPUTED_VALUE"""),"Outlaw")</f>
        <v>Outlaw</v>
      </c>
      <c r="C476" s="39">
        <f ca="1">IFERROR(__xludf.DUMMYFUNCTION("""COMPUTED_VALUE"""),65000)</f>
        <v>65000</v>
      </c>
      <c r="D476" s="39" t="str">
        <f ca="1">IFERROR(__xludf.DUMMYFUNCTION("""COMPUTED_VALUE"""),"Todoterrenos")</f>
        <v>Todoterrenos</v>
      </c>
      <c r="E476" s="40" t="str">
        <f ca="1">IFERROR(__xludf.DUMMYFUNCTION("""COMPUTED_VALUE"""),"https://docs.fivem.net/vehicles/outlaw.webp")</f>
        <v>https://docs.fivem.net/vehicles/outlaw.webp</v>
      </c>
    </row>
    <row r="477" spans="1:5" ht="15.75" customHeight="1" x14ac:dyDescent="0.4">
      <c r="A477" s="38" t="str">
        <f ca="1">IFERROR(__xludf.DUMMYFUNCTION("""COMPUTED_VALUE"""),"rancherxl")</f>
        <v>rancherxl</v>
      </c>
      <c r="B477" s="38" t="str">
        <f ca="1">IFERROR(__xludf.DUMMYFUNCTION("""COMPUTED_VALUE"""),"Rancher XL")</f>
        <v>Rancher XL</v>
      </c>
      <c r="C477" s="39">
        <f ca="1">IFERROR(__xludf.DUMMYFUNCTION("""COMPUTED_VALUE"""),24000)</f>
        <v>24000</v>
      </c>
      <c r="D477" s="39" t="str">
        <f ca="1">IFERROR(__xludf.DUMMYFUNCTION("""COMPUTED_VALUE"""),"Todoterrenos")</f>
        <v>Todoterrenos</v>
      </c>
      <c r="E477" s="40" t="str">
        <f ca="1">IFERROR(__xludf.DUMMYFUNCTION("""COMPUTED_VALUE"""),"https://docs.fivem.net/vehicles/rancherxl.webp")</f>
        <v>https://docs.fivem.net/vehicles/rancherxl.webp</v>
      </c>
    </row>
    <row r="478" spans="1:5" ht="15.75" customHeight="1" x14ac:dyDescent="0.4">
      <c r="A478" s="38" t="str">
        <f ca="1">IFERROR(__xludf.DUMMYFUNCTION("""COMPUTED_VALUE"""),"ratel")</f>
        <v>ratel</v>
      </c>
      <c r="B478" s="38" t="str">
        <f ca="1">IFERROR(__xludf.DUMMYFUNCTION("""COMPUTED_VALUE"""),"Ratel")</f>
        <v>Ratel</v>
      </c>
      <c r="C478" s="39">
        <f ca="1">IFERROR(__xludf.DUMMYFUNCTION("""COMPUTED_VALUE"""),84000)</f>
        <v>84000</v>
      </c>
      <c r="D478" s="39" t="str">
        <f ca="1">IFERROR(__xludf.DUMMYFUNCTION("""COMPUTED_VALUE"""),"Todoterrenos")</f>
        <v>Todoterrenos</v>
      </c>
      <c r="E478" s="40" t="str">
        <f ca="1">IFERROR(__xludf.DUMMYFUNCTION("""COMPUTED_VALUE"""),"https://docs.fivem.net/vehicles/ratel.webp")</f>
        <v>https://docs.fivem.net/vehicles/ratel.webp</v>
      </c>
    </row>
    <row r="479" spans="1:5" ht="15.75" customHeight="1" x14ac:dyDescent="0.4">
      <c r="A479" s="38" t="str">
        <f ca="1">IFERROR(__xludf.DUMMYFUNCTION("""COMPUTED_VALUE"""),"rebel2")</f>
        <v>rebel2</v>
      </c>
      <c r="B479" s="38" t="str">
        <f ca="1">IFERROR(__xludf.DUMMYFUNCTION("""COMPUTED_VALUE"""),"Rebel")</f>
        <v>Rebel</v>
      </c>
      <c r="C479" s="39">
        <f ca="1">IFERROR(__xludf.DUMMYFUNCTION("""COMPUTED_VALUE"""),17500)</f>
        <v>17500</v>
      </c>
      <c r="D479" s="39" t="str">
        <f ca="1">IFERROR(__xludf.DUMMYFUNCTION("""COMPUTED_VALUE"""),"Todoterrenos")</f>
        <v>Todoterrenos</v>
      </c>
      <c r="E479" s="40" t="str">
        <f ca="1">IFERROR(__xludf.DUMMYFUNCTION("""COMPUTED_VALUE"""),"https://docs.fivem.net/vehicles/rebel2.webp")</f>
        <v>https://docs.fivem.net/vehicles/rebel2.webp</v>
      </c>
    </row>
    <row r="480" spans="1:5" ht="15.75" customHeight="1" x14ac:dyDescent="0.4">
      <c r="A480" s="38" t="str">
        <f ca="1">IFERROR(__xludf.DUMMYFUNCTION("""COMPUTED_VALUE"""),"riata")</f>
        <v>riata</v>
      </c>
      <c r="B480" s="38" t="str">
        <f ca="1">IFERROR(__xludf.DUMMYFUNCTION("""COMPUTED_VALUE"""),"Riata")</f>
        <v>Riata</v>
      </c>
      <c r="C480" s="39">
        <f ca="1">IFERROR(__xludf.DUMMYFUNCTION("""COMPUTED_VALUE"""),46000)</f>
        <v>46000</v>
      </c>
      <c r="D480" s="39" t="str">
        <f ca="1">IFERROR(__xludf.DUMMYFUNCTION("""COMPUTED_VALUE"""),"Todoterrenos")</f>
        <v>Todoterrenos</v>
      </c>
      <c r="E480" s="40" t="str">
        <f ca="1">IFERROR(__xludf.DUMMYFUNCTION("""COMPUTED_VALUE"""),"https://docs.fivem.net/vehicles/riata.webp")</f>
        <v>https://docs.fivem.net/vehicles/riata.webp</v>
      </c>
    </row>
    <row r="481" spans="1:5" ht="15.75" customHeight="1" x14ac:dyDescent="0.4">
      <c r="A481" s="38" t="str">
        <f ca="1">IFERROR(__xludf.DUMMYFUNCTION("""COMPUTED_VALUE"""),"sandking")</f>
        <v>sandking</v>
      </c>
      <c r="B481" s="38" t="str">
        <f ca="1">IFERROR(__xludf.DUMMYFUNCTION("""COMPUTED_VALUE"""),"Sandking XL")</f>
        <v>Sandking XL</v>
      </c>
      <c r="C481" s="39">
        <f ca="1">IFERROR(__xludf.DUMMYFUNCTION("""COMPUTED_VALUE"""),48000)</f>
        <v>48000</v>
      </c>
      <c r="D481" s="39" t="str">
        <f ca="1">IFERROR(__xludf.DUMMYFUNCTION("""COMPUTED_VALUE"""),"Todoterrenos")</f>
        <v>Todoterrenos</v>
      </c>
      <c r="E481" s="40" t="str">
        <f ca="1">IFERROR(__xludf.DUMMYFUNCTION("""COMPUTED_VALUE"""),"https://docs.fivem.net/vehicles/sandking.webp")</f>
        <v>https://docs.fivem.net/vehicles/sandking.webp</v>
      </c>
    </row>
    <row r="482" spans="1:5" ht="15.75" customHeight="1" x14ac:dyDescent="0.4">
      <c r="A482" s="38" t="str">
        <f ca="1">IFERROR(__xludf.DUMMYFUNCTION("""COMPUTED_VALUE"""),"sandking2")</f>
        <v>sandking2</v>
      </c>
      <c r="B482" s="38" t="str">
        <f ca="1">IFERROR(__xludf.DUMMYFUNCTION("""COMPUTED_VALUE"""),"Sandking SWB")</f>
        <v>Sandking SWB</v>
      </c>
      <c r="C482" s="39">
        <f ca="1">IFERROR(__xludf.DUMMYFUNCTION("""COMPUTED_VALUE"""),42000)</f>
        <v>42000</v>
      </c>
      <c r="D482" s="39" t="str">
        <f ca="1">IFERROR(__xludf.DUMMYFUNCTION("""COMPUTED_VALUE"""),"Todoterrenos")</f>
        <v>Todoterrenos</v>
      </c>
      <c r="E482" s="40" t="str">
        <f ca="1">IFERROR(__xludf.DUMMYFUNCTION("""COMPUTED_VALUE"""),"https://docs.fivem.net/vehicles/sandking2.webp")</f>
        <v>https://docs.fivem.net/vehicles/sandking2.webp</v>
      </c>
    </row>
    <row r="483" spans="1:5" ht="15.75" customHeight="1" x14ac:dyDescent="0.4">
      <c r="A483" s="38" t="str">
        <f ca="1">IFERROR(__xludf.DUMMYFUNCTION("""COMPUTED_VALUE"""),"terminus")</f>
        <v>terminus</v>
      </c>
      <c r="B483" s="38" t="str">
        <f ca="1">IFERROR(__xludf.DUMMYFUNCTION("""COMPUTED_VALUE"""),"Terminus")</f>
        <v>Terminus</v>
      </c>
      <c r="C483" s="39">
        <f ca="1">IFERROR(__xludf.DUMMYFUNCTION("""COMPUTED_VALUE"""),90000)</f>
        <v>90000</v>
      </c>
      <c r="D483" s="39" t="str">
        <f ca="1">IFERROR(__xludf.DUMMYFUNCTION("""COMPUTED_VALUE"""),"Todoterrenos")</f>
        <v>Todoterrenos</v>
      </c>
      <c r="E483" s="40" t="str">
        <f ca="1">IFERROR(__xludf.DUMMYFUNCTION("""COMPUTED_VALUE"""),"https://docs.fivem.net/vehicles/terminus.webp")</f>
        <v>https://docs.fivem.net/vehicles/terminus.webp</v>
      </c>
    </row>
    <row r="484" spans="1:5" ht="15.75" customHeight="1" x14ac:dyDescent="0.4">
      <c r="A484" s="38" t="str">
        <f ca="1">IFERROR(__xludf.DUMMYFUNCTION("""COMPUTED_VALUE"""),"trophytruck")</f>
        <v>trophytruck</v>
      </c>
      <c r="B484" s="38" t="str">
        <f ca="1">IFERROR(__xludf.DUMMYFUNCTION("""COMPUTED_VALUE"""),"Trophy Truck")</f>
        <v>Trophy Truck</v>
      </c>
      <c r="C484" s="39">
        <f ca="1">IFERROR(__xludf.DUMMYFUNCTION("""COMPUTED_VALUE"""),83500)</f>
        <v>83500</v>
      </c>
      <c r="D484" s="39" t="str">
        <f ca="1">IFERROR(__xludf.DUMMYFUNCTION("""COMPUTED_VALUE"""),"Todoterrenos")</f>
        <v>Todoterrenos</v>
      </c>
      <c r="E484" s="40" t="str">
        <f ca="1">IFERROR(__xludf.DUMMYFUNCTION("""COMPUTED_VALUE"""),"https://docs.fivem.net/vehicles/trophytruck.webp")</f>
        <v>https://docs.fivem.net/vehicles/trophytruck.webp</v>
      </c>
    </row>
    <row r="485" spans="1:5" ht="15.75" customHeight="1" x14ac:dyDescent="0.4">
      <c r="A485" s="38" t="str">
        <f ca="1">IFERROR(__xludf.DUMMYFUNCTION("""COMPUTED_VALUE"""),"trophytruck2")</f>
        <v>trophytruck2</v>
      </c>
      <c r="B485" s="38" t="str">
        <f ca="1">IFERROR(__xludf.DUMMYFUNCTION("""COMPUTED_VALUE"""),"Desert Raid")</f>
        <v>Desert Raid</v>
      </c>
      <c r="C485" s="39">
        <f ca="1">IFERROR(__xludf.DUMMYFUNCTION("""COMPUTED_VALUE"""),83500)</f>
        <v>83500</v>
      </c>
      <c r="D485" s="39" t="str">
        <f ca="1">IFERROR(__xludf.DUMMYFUNCTION("""COMPUTED_VALUE"""),"Todoterrenos")</f>
        <v>Todoterrenos</v>
      </c>
      <c r="E485" s="40" t="str">
        <f ca="1">IFERROR(__xludf.DUMMYFUNCTION("""COMPUTED_VALUE"""),"https://docs.fivem.net/vehicles/trophytruck2.webp")</f>
        <v>https://docs.fivem.net/vehicles/trophytruck2.webp</v>
      </c>
    </row>
    <row r="486" spans="1:5" ht="15.75" customHeight="1" x14ac:dyDescent="0.4">
      <c r="A486" s="38" t="str">
        <f ca="1">IFERROR(__xludf.DUMMYFUNCTION("""COMPUTED_VALUE"""),"vagrant")</f>
        <v>vagrant</v>
      </c>
      <c r="B486" s="38" t="str">
        <f ca="1">IFERROR(__xludf.DUMMYFUNCTION("""COMPUTED_VALUE"""),"Vagrant")</f>
        <v>Vagrant</v>
      </c>
      <c r="C486" s="39">
        <f ca="1">IFERROR(__xludf.DUMMYFUNCTION("""COMPUTED_VALUE"""),175000)</f>
        <v>175000</v>
      </c>
      <c r="D486" s="39" t="str">
        <f ca="1">IFERROR(__xludf.DUMMYFUNCTION("""COMPUTED_VALUE"""),"Todoterrenos")</f>
        <v>Todoterrenos</v>
      </c>
      <c r="E486" s="40" t="str">
        <f ca="1">IFERROR(__xludf.DUMMYFUNCTION("""COMPUTED_VALUE"""),"https://docs.fivem.net/vehicles/vagrant.webp")</f>
        <v>https://docs.fivem.net/vehicles/vagrant.webp</v>
      </c>
    </row>
    <row r="487" spans="1:5" ht="15.75" customHeight="1" x14ac:dyDescent="0.4">
      <c r="A487" s="38" t="str">
        <f ca="1">IFERROR(__xludf.DUMMYFUNCTION("""COMPUTED_VALUE"""),"verus")</f>
        <v>verus</v>
      </c>
      <c r="B487" s="38" t="str">
        <f ca="1">IFERROR(__xludf.DUMMYFUNCTION("""COMPUTED_VALUE"""),"Verus")</f>
        <v>Verus</v>
      </c>
      <c r="C487" s="39">
        <f ca="1">IFERROR(__xludf.DUMMYFUNCTION("""COMPUTED_VALUE"""),19000)</f>
        <v>19000</v>
      </c>
      <c r="D487" s="39" t="str">
        <f ca="1">IFERROR(__xludf.DUMMYFUNCTION("""COMPUTED_VALUE"""),"Todoterrenos")</f>
        <v>Todoterrenos</v>
      </c>
      <c r="E487" s="40" t="str">
        <f ca="1">IFERROR(__xludf.DUMMYFUNCTION("""COMPUTED_VALUE"""),"https://docs.fivem.net/vehicles/verus.webp")</f>
        <v>https://docs.fivem.net/vehicles/verus.webp</v>
      </c>
    </row>
    <row r="488" spans="1:5" ht="15.75" customHeight="1" x14ac:dyDescent="0.4">
      <c r="A488" s="38" t="str">
        <f ca="1">IFERROR(__xludf.DUMMYFUNCTION("""COMPUTED_VALUE"""),"winky")</f>
        <v>winky</v>
      </c>
      <c r="B488" s="38" t="str">
        <f ca="1">IFERROR(__xludf.DUMMYFUNCTION("""COMPUTED_VALUE"""),"Winky")</f>
        <v>Winky</v>
      </c>
      <c r="C488" s="39">
        <f ca="1">IFERROR(__xludf.DUMMYFUNCTION("""COMPUTED_VALUE"""),5000)</f>
        <v>5000</v>
      </c>
      <c r="D488" s="39" t="str">
        <f ca="1">IFERROR(__xludf.DUMMYFUNCTION("""COMPUTED_VALUE"""),"Todoterrenos")</f>
        <v>Todoterrenos</v>
      </c>
      <c r="E488" s="40" t="str">
        <f ca="1">IFERROR(__xludf.DUMMYFUNCTION("""COMPUTED_VALUE"""),"https://docs.fivem.net/vehicles/winky.webp")</f>
        <v>https://docs.fivem.net/vehicles/winky.webp</v>
      </c>
    </row>
    <row r="489" spans="1:5" ht="15.75" customHeight="1" x14ac:dyDescent="0.4">
      <c r="A489" s="38" t="str">
        <f ca="1">IFERROR(__xludf.DUMMYFUNCTION("""COMPUTED_VALUE"""),"yosemite3")</f>
        <v>yosemite3</v>
      </c>
      <c r="B489" s="38" t="str">
        <f ca="1">IFERROR(__xludf.DUMMYFUNCTION("""COMPUTED_VALUE"""),"Yosemite Rancher")</f>
        <v>Yosemite Rancher</v>
      </c>
      <c r="C489" s="39">
        <f ca="1">IFERROR(__xludf.DUMMYFUNCTION("""COMPUTED_VALUE"""),28000)</f>
        <v>28000</v>
      </c>
      <c r="D489" s="39" t="str">
        <f ca="1">IFERROR(__xludf.DUMMYFUNCTION("""COMPUTED_VALUE"""),"Todoterrenos")</f>
        <v>Todoterrenos</v>
      </c>
      <c r="E489" s="40" t="str">
        <f ca="1">IFERROR(__xludf.DUMMYFUNCTION("""COMPUTED_VALUE"""),"https://docs.fivem.net/vehicles/yosemite3.webp")</f>
        <v>https://docs.fivem.net/vehicles/yosemite3.webp</v>
      </c>
    </row>
    <row r="490" spans="1:5" ht="15.75" customHeight="1" x14ac:dyDescent="0.4">
      <c r="A490" s="38" t="str">
        <f ca="1">IFERROR(__xludf.DUMMYFUNCTION("""COMPUTED_VALUE"""),"620gts")</f>
        <v>620gts</v>
      </c>
      <c r="B490" s="38" t="str">
        <f ca="1">IFERROR(__xludf.DUMMYFUNCTION("""COMPUTED_VALUE"""),"620 GTS")</f>
        <v>620 GTS</v>
      </c>
      <c r="C490" s="39" t="str">
        <f ca="1">IFERROR(__xludf.DUMMYFUNCTION("""COMPUTED_VALUE"""),"Null")</f>
        <v>Null</v>
      </c>
      <c r="D490" s="39" t="str">
        <f ca="1">IFERROR(__xludf.DUMMYFUNCTION("""COMPUTED_VALUE"""),"VIP")</f>
        <v>VIP</v>
      </c>
      <c r="E490" s="40" t="str">
        <f ca="1">IFERROR(__xludf.DUMMYFUNCTION("""COMPUTED_VALUE"""),"https://docs.fivem.net/vehicles/620gts.webp")</f>
        <v>https://docs.fivem.net/vehicles/620gts.webp</v>
      </c>
    </row>
    <row r="491" spans="1:5" ht="15.75" customHeight="1" x14ac:dyDescent="0.4">
      <c r="A491" s="38" t="str">
        <f ca="1">IFERROR(__xludf.DUMMYFUNCTION("""COMPUTED_VALUE"""),"dc_elite")</f>
        <v>dc_elite</v>
      </c>
      <c r="B491" s="38" t="str">
        <f ca="1">IFERROR(__xludf.DUMMYFUNCTION("""COMPUTED_VALUE"""),"Elite")</f>
        <v>Elite</v>
      </c>
      <c r="C491" s="39" t="str">
        <f ca="1">IFERROR(__xludf.DUMMYFUNCTION("""COMPUTED_VALUE"""),"Null")</f>
        <v>Null</v>
      </c>
      <c r="D491" s="39" t="str">
        <f ca="1">IFERROR(__xludf.DUMMYFUNCTION("""COMPUTED_VALUE"""),"VIP")</f>
        <v>VIP</v>
      </c>
      <c r="E491" s="40" t="str">
        <f ca="1">IFERROR(__xludf.DUMMYFUNCTION("""COMPUTED_VALUE"""),"https://docs.fivem.net/vehicles/dc_elite.webp")</f>
        <v>https://docs.fivem.net/vehicles/dc_elite.webp</v>
      </c>
    </row>
    <row r="492" spans="1:5" ht="15.75" customHeight="1" x14ac:dyDescent="0.4">
      <c r="A492" s="38" t="str">
        <f ca="1">IFERROR(__xludf.DUMMYFUNCTION("""COMPUTED_VALUE"""),"dc_evo900comet")</f>
        <v>dc_evo900comet</v>
      </c>
      <c r="B492" s="38" t="str">
        <f ca="1">IFERROR(__xludf.DUMMYFUNCTION("""COMPUTED_VALUE"""),"Comet Evo")</f>
        <v>Comet Evo</v>
      </c>
      <c r="C492" s="39" t="str">
        <f ca="1">IFERROR(__xludf.DUMMYFUNCTION("""COMPUTED_VALUE"""),"Null")</f>
        <v>Null</v>
      </c>
      <c r="D492" s="39" t="str">
        <f ca="1">IFERROR(__xludf.DUMMYFUNCTION("""COMPUTED_VALUE"""),"VIP")</f>
        <v>VIP</v>
      </c>
      <c r="E492" s="40" t="str">
        <f ca="1">IFERROR(__xludf.DUMMYFUNCTION("""COMPUTED_VALUE"""),"https://docs.fivem.net/vehicles/dc_evo900comet.webp")</f>
        <v>https://docs.fivem.net/vehicles/dc_evo900comet.webp</v>
      </c>
    </row>
    <row r="493" spans="1:5" ht="15.75" customHeight="1" x14ac:dyDescent="0.4">
      <c r="A493" s="38" t="str">
        <f ca="1">IFERROR(__xludf.DUMMYFUNCTION("""COMPUTED_VALUE"""),"dc500l")</f>
        <v>dc500l</v>
      </c>
      <c r="B493" s="38" t="str">
        <f ca="1">IFERROR(__xludf.DUMMYFUNCTION("""COMPUTED_VALUE"""),"DC500 Limousine")</f>
        <v>DC500 Limousine</v>
      </c>
      <c r="C493" s="39" t="str">
        <f ca="1">IFERROR(__xludf.DUMMYFUNCTION("""COMPUTED_VALUE"""),"Null")</f>
        <v>Null</v>
      </c>
      <c r="D493" s="39" t="str">
        <f ca="1">IFERROR(__xludf.DUMMYFUNCTION("""COMPUTED_VALUE"""),"VIP")</f>
        <v>VIP</v>
      </c>
      <c r="E493" s="40" t="str">
        <f ca="1">IFERROR(__xludf.DUMMYFUNCTION("""COMPUTED_VALUE"""),"https://docs.fivem.net/vehicles/dc500l.webp")</f>
        <v>https://docs.fivem.net/vehicles/dc500l.webp</v>
      </c>
    </row>
    <row r="494" spans="1:5" ht="15.75" customHeight="1" x14ac:dyDescent="0.4">
      <c r="A494" s="38" t="str">
        <f ca="1">IFERROR(__xludf.DUMMYFUNCTION("""COMPUTED_VALUE"""),"evocometwoc")</f>
        <v>evocometwoc</v>
      </c>
      <c r="B494" s="38" t="str">
        <f ca="1">IFERROR(__xludf.DUMMYFUNCTION("""COMPUTED_VALUE"""),"Comet Greenhell")</f>
        <v>Comet Greenhell</v>
      </c>
      <c r="C494" s="39" t="str">
        <f ca="1">IFERROR(__xludf.DUMMYFUNCTION("""COMPUTED_VALUE"""),"Null")</f>
        <v>Null</v>
      </c>
      <c r="D494" s="39" t="str">
        <f ca="1">IFERROR(__xludf.DUMMYFUNCTION("""COMPUTED_VALUE"""),"VIP")</f>
        <v>VIP</v>
      </c>
      <c r="E494" s="40" t="str">
        <f ca="1">IFERROR(__xludf.DUMMYFUNCTION("""COMPUTED_VALUE"""),"https://docs.fivem.net/vehicles/evocometwoc.webp")</f>
        <v>https://docs.fivem.net/vehicles/evocometwoc.webp</v>
      </c>
    </row>
    <row r="495" spans="1:5" ht="15.75" customHeight="1" x14ac:dyDescent="0.4">
      <c r="A495" s="38" t="str">
        <f ca="1">IFERROR(__xludf.DUMMYFUNCTION("""COMPUTED_VALUE"""),"g4m82")</f>
        <v>g4m82</v>
      </c>
      <c r="B495" s="38" t="str">
        <f ca="1">IFERROR(__xludf.DUMMYFUNCTION("""COMPUTED_VALUE"""),"G4 M82")</f>
        <v>G4 M82</v>
      </c>
      <c r="C495" s="39" t="str">
        <f ca="1">IFERROR(__xludf.DUMMYFUNCTION("""COMPUTED_VALUE"""),"Null")</f>
        <v>Null</v>
      </c>
      <c r="D495" s="39" t="str">
        <f ca="1">IFERROR(__xludf.DUMMYFUNCTION("""COMPUTED_VALUE"""),"VIP")</f>
        <v>VIP</v>
      </c>
      <c r="E495" s="40" t="str">
        <f ca="1">IFERROR(__xludf.DUMMYFUNCTION("""COMPUTED_VALUE"""),"https://docs.fivem.net/vehicles/g4m82.webp")</f>
        <v>https://docs.fivem.net/vehicles/g4m82.webp</v>
      </c>
    </row>
    <row r="496" spans="1:5" ht="15.75" customHeight="1" x14ac:dyDescent="0.4">
      <c r="A496" s="38" t="str">
        <f ca="1">IFERROR(__xludf.DUMMYFUNCTION("""COMPUTED_VALUE"""),"g4m82touring")</f>
        <v>g4m82touring</v>
      </c>
      <c r="B496" s="38" t="str">
        <f ca="1">IFERROR(__xludf.DUMMYFUNCTION("""COMPUTED_VALUE"""),"G4 M82 Touring")</f>
        <v>G4 M82 Touring</v>
      </c>
      <c r="C496" s="39" t="str">
        <f ca="1">IFERROR(__xludf.DUMMYFUNCTION("""COMPUTED_VALUE"""),"Null")</f>
        <v>Null</v>
      </c>
      <c r="D496" s="39" t="str">
        <f ca="1">IFERROR(__xludf.DUMMYFUNCTION("""COMPUTED_VALUE"""),"VIP")</f>
        <v>VIP</v>
      </c>
      <c r="E496" s="40" t="str">
        <f ca="1">IFERROR(__xludf.DUMMYFUNCTION("""COMPUTED_VALUE"""),"https://docs.fivem.net/vehicles/g4m82touring.webp")</f>
        <v>https://docs.fivem.net/vehicles/g4m82touring.webp</v>
      </c>
    </row>
    <row r="497" spans="1:5" ht="15.75" customHeight="1" x14ac:dyDescent="0.4">
      <c r="A497" s="38" t="str">
        <f ca="1">IFERROR(__xludf.DUMMYFUNCTION("""COMPUTED_VALUE"""),"gbbanshees")</f>
        <v>gbbanshees</v>
      </c>
      <c r="B497" s="38" t="str">
        <f ca="1">IFERROR(__xludf.DUMMYFUNCTION("""COMPUTED_VALUE"""),"Banshee S")</f>
        <v>Banshee S</v>
      </c>
      <c r="C497" s="39" t="str">
        <f ca="1">IFERROR(__xludf.DUMMYFUNCTION("""COMPUTED_VALUE"""),"Null")</f>
        <v>Null</v>
      </c>
      <c r="D497" s="39" t="str">
        <f ca="1">IFERROR(__xludf.DUMMYFUNCTION("""COMPUTED_VALUE"""),"VIP")</f>
        <v>VIP</v>
      </c>
      <c r="E497" s="40" t="str">
        <f ca="1">IFERROR(__xludf.DUMMYFUNCTION("""COMPUTED_VALUE"""),"https://docs.fivem.net/vehicles/gbbanshees.webp")</f>
        <v>https://docs.fivem.net/vehicles/gbbanshees.webp</v>
      </c>
    </row>
    <row r="498" spans="1:5" ht="15.75" customHeight="1" x14ac:dyDescent="0.4">
      <c r="A498" s="38" t="str">
        <f ca="1">IFERROR(__xludf.DUMMYFUNCTION("""COMPUTED_VALUE"""),"gbbisonhf")</f>
        <v>gbbisonhf</v>
      </c>
      <c r="B498" s="38" t="str">
        <f ca="1">IFERROR(__xludf.DUMMYFUNCTION("""COMPUTED_VALUE"""),"Bison HF")</f>
        <v>Bison HF</v>
      </c>
      <c r="C498" s="39" t="str">
        <f ca="1">IFERROR(__xludf.DUMMYFUNCTION("""COMPUTED_VALUE"""),"Null")</f>
        <v>Null</v>
      </c>
      <c r="D498" s="39" t="str">
        <f ca="1">IFERROR(__xludf.DUMMYFUNCTION("""COMPUTED_VALUE"""),"VIP")</f>
        <v>VIP</v>
      </c>
      <c r="E498" s="40" t="str">
        <f ca="1">IFERROR(__xludf.DUMMYFUNCTION("""COMPUTED_VALUE"""),"https://docs.fivem.net/vehicles/gbbisonhf.webp")</f>
        <v>https://docs.fivem.net/vehicles/gbbisonhf.webp</v>
      </c>
    </row>
    <row r="499" spans="1:5" ht="15.75" customHeight="1" x14ac:dyDescent="0.4">
      <c r="A499" s="38" t="str">
        <f ca="1">IFERROR(__xludf.DUMMYFUNCTION("""COMPUTED_VALUE"""),"gbclubxr")</f>
        <v>gbclubxr</v>
      </c>
      <c r="B499" s="38" t="str">
        <f ca="1">IFERROR(__xludf.DUMMYFUNCTION("""COMPUTED_VALUE"""),"Club XR")</f>
        <v>Club XR</v>
      </c>
      <c r="C499" s="39" t="str">
        <f ca="1">IFERROR(__xludf.DUMMYFUNCTION("""COMPUTED_VALUE"""),"Null")</f>
        <v>Null</v>
      </c>
      <c r="D499" s="39" t="str">
        <f ca="1">IFERROR(__xludf.DUMMYFUNCTION("""COMPUTED_VALUE"""),"VIP")</f>
        <v>VIP</v>
      </c>
      <c r="E499" s="40" t="str">
        <f ca="1">IFERROR(__xludf.DUMMYFUNCTION("""COMPUTED_VALUE"""),"https://docs.fivem.net/vehicles/gbclubxr.webp")</f>
        <v>https://docs.fivem.net/vehicles/gbclubxr.webp</v>
      </c>
    </row>
    <row r="500" spans="1:5" ht="15.75" customHeight="1" x14ac:dyDescent="0.4">
      <c r="A500" s="38" t="str">
        <f ca="1">IFERROR(__xludf.DUMMYFUNCTION("""COMPUTED_VALUE"""),"gbcometcl")</f>
        <v>gbcometcl</v>
      </c>
      <c r="B500" s="38" t="str">
        <f ca="1">IFERROR(__xludf.DUMMYFUNCTION("""COMPUTED_VALUE"""),"Comet CL")</f>
        <v>Comet CL</v>
      </c>
      <c r="C500" s="39" t="str">
        <f ca="1">IFERROR(__xludf.DUMMYFUNCTION("""COMPUTED_VALUE"""),"Null")</f>
        <v>Null</v>
      </c>
      <c r="D500" s="39" t="str">
        <f ca="1">IFERROR(__xludf.DUMMYFUNCTION("""COMPUTED_VALUE"""),"VIP")</f>
        <v>VIP</v>
      </c>
      <c r="E500" s="40" t="str">
        <f ca="1">IFERROR(__xludf.DUMMYFUNCTION("""COMPUTED_VALUE"""),"https://docs.fivem.net/vehicles/gbcometcl.webp")</f>
        <v>https://docs.fivem.net/vehicles/gbcometcl.webp</v>
      </c>
    </row>
    <row r="501" spans="1:5" ht="15.75" customHeight="1" x14ac:dyDescent="0.4">
      <c r="A501" s="38" t="str">
        <f ca="1">IFERROR(__xludf.DUMMYFUNCTION("""COMPUTED_VALUE"""),"gbcomets1t")</f>
        <v>gbcomets1t</v>
      </c>
      <c r="B501" s="38" t="str">
        <f ca="1">IFERROR(__xludf.DUMMYFUNCTION("""COMPUTED_VALUE"""),"Comet S1T")</f>
        <v>Comet S1T</v>
      </c>
      <c r="C501" s="39" t="str">
        <f ca="1">IFERROR(__xludf.DUMMYFUNCTION("""COMPUTED_VALUE"""),"Null")</f>
        <v>Null</v>
      </c>
      <c r="D501" s="39" t="str">
        <f ca="1">IFERROR(__xludf.DUMMYFUNCTION("""COMPUTED_VALUE"""),"VIP")</f>
        <v>VIP</v>
      </c>
      <c r="E501" s="40" t="str">
        <f ca="1">IFERROR(__xludf.DUMMYFUNCTION("""COMPUTED_VALUE"""),"https://docs.fivem.net/vehicles/gbcomets1t.webp")</f>
        <v>https://docs.fivem.net/vehicles/gbcomets1t.webp</v>
      </c>
    </row>
    <row r="502" spans="1:5" ht="15.75" customHeight="1" x14ac:dyDescent="0.4">
      <c r="A502" s="38" t="str">
        <f ca="1">IFERROR(__xludf.DUMMYFUNCTION("""COMPUTED_VALUE"""),"gbcomets2r")</f>
        <v>gbcomets2r</v>
      </c>
      <c r="B502" s="38" t="str">
        <f ca="1">IFERROR(__xludf.DUMMYFUNCTION("""COMPUTED_VALUE"""),"Comet S2R")</f>
        <v>Comet S2R</v>
      </c>
      <c r="C502" s="39" t="str">
        <f ca="1">IFERROR(__xludf.DUMMYFUNCTION("""COMPUTED_VALUE"""),"Null")</f>
        <v>Null</v>
      </c>
      <c r="D502" s="39" t="str">
        <f ca="1">IFERROR(__xludf.DUMMYFUNCTION("""COMPUTED_VALUE"""),"VIP")</f>
        <v>VIP</v>
      </c>
      <c r="E502" s="40" t="str">
        <f ca="1">IFERROR(__xludf.DUMMYFUNCTION("""COMPUTED_VALUE"""),"https://docs.fivem.net/vehicles/gbcomets2r.webp")</f>
        <v>https://docs.fivem.net/vehicles/gbcomets2r.webp</v>
      </c>
    </row>
    <row r="503" spans="1:5" ht="15.75" customHeight="1" x14ac:dyDescent="0.4">
      <c r="A503" s="38" t="str">
        <f ca="1">IFERROR(__xludf.DUMMYFUNCTION("""COMPUTED_VALUE"""),"gbcomets2rc")</f>
        <v>gbcomets2rc</v>
      </c>
      <c r="B503" s="38" t="str">
        <f ca="1">IFERROR(__xludf.DUMMYFUNCTION("""COMPUTED_VALUE"""),"Comet S2RC")</f>
        <v>Comet S2RC</v>
      </c>
      <c r="C503" s="39" t="str">
        <f ca="1">IFERROR(__xludf.DUMMYFUNCTION("""COMPUTED_VALUE"""),"Null")</f>
        <v>Null</v>
      </c>
      <c r="D503" s="39" t="str">
        <f ca="1">IFERROR(__xludf.DUMMYFUNCTION("""COMPUTED_VALUE"""),"VIP")</f>
        <v>VIP</v>
      </c>
      <c r="E503" s="40" t="str">
        <f ca="1">IFERROR(__xludf.DUMMYFUNCTION("""COMPUTED_VALUE"""),"https://docs.fivem.net/vehicles/gbcomets2rc.webp")</f>
        <v>https://docs.fivem.net/vehicles/gbcomets2rc.webp</v>
      </c>
    </row>
    <row r="504" spans="1:5" ht="15.75" customHeight="1" x14ac:dyDescent="0.4">
      <c r="A504" s="38" t="str">
        <f ca="1">IFERROR(__xludf.DUMMYFUNCTION("""COMPUTED_VALUE"""),"gbdominatorgsx")</f>
        <v>gbdominatorgsx</v>
      </c>
      <c r="B504" s="38" t="str">
        <f ca="1">IFERROR(__xludf.DUMMYFUNCTION("""COMPUTED_VALUE"""),"Dominator GSX")</f>
        <v>Dominator GSX</v>
      </c>
      <c r="C504" s="39" t="str">
        <f ca="1">IFERROR(__xludf.DUMMYFUNCTION("""COMPUTED_VALUE"""),"Null")</f>
        <v>Null</v>
      </c>
      <c r="D504" s="39" t="str">
        <f ca="1">IFERROR(__xludf.DUMMYFUNCTION("""COMPUTED_VALUE"""),"VIP")</f>
        <v>VIP</v>
      </c>
      <c r="E504" s="40" t="str">
        <f ca="1">IFERROR(__xludf.DUMMYFUNCTION("""COMPUTED_VALUE"""),"https://docs.fivem.net/vehicles/gbdominatorgsx.webp")</f>
        <v>https://docs.fivem.net/vehicles/gbdominatorgsx.webp</v>
      </c>
    </row>
    <row r="505" spans="1:5" ht="15.75" customHeight="1" x14ac:dyDescent="0.4">
      <c r="A505" s="38" t="str">
        <f ca="1">IFERROR(__xludf.DUMMYFUNCTION("""COMPUTED_VALUE"""),"gbemerussb1")</f>
        <v>gbemerussb1</v>
      </c>
      <c r="B505" s="38" t="str">
        <f ca="1">IFERROR(__xludf.DUMMYFUNCTION("""COMPUTED_VALUE"""),"Emerus SB1")</f>
        <v>Emerus SB1</v>
      </c>
      <c r="C505" s="39" t="str">
        <f ca="1">IFERROR(__xludf.DUMMYFUNCTION("""COMPUTED_VALUE"""),"Null")</f>
        <v>Null</v>
      </c>
      <c r="D505" s="39" t="str">
        <f ca="1">IFERROR(__xludf.DUMMYFUNCTION("""COMPUTED_VALUE"""),"VIP")</f>
        <v>VIP</v>
      </c>
      <c r="E505" s="40" t="str">
        <f ca="1">IFERROR(__xludf.DUMMYFUNCTION("""COMPUTED_VALUE"""),"https://docs.fivem.net/vehicles/gbemerussb1.webp")</f>
        <v>https://docs.fivem.net/vehicles/gbemerussb1.webp</v>
      </c>
    </row>
    <row r="506" spans="1:5" ht="15.75" customHeight="1" x14ac:dyDescent="0.4">
      <c r="A506" s="38" t="str">
        <f ca="1">IFERROR(__xludf.DUMMYFUNCTION("""COMPUTED_VALUE"""),"gbeon")</f>
        <v>gbeon</v>
      </c>
      <c r="B506" s="38" t="str">
        <f ca="1">IFERROR(__xludf.DUMMYFUNCTION("""COMPUTED_VALUE"""),"Eon")</f>
        <v>Eon</v>
      </c>
      <c r="C506" s="39" t="str">
        <f ca="1">IFERROR(__xludf.DUMMYFUNCTION("""COMPUTED_VALUE"""),"Null")</f>
        <v>Null</v>
      </c>
      <c r="D506" s="39" t="str">
        <f ca="1">IFERROR(__xludf.DUMMYFUNCTION("""COMPUTED_VALUE"""),"VIP")</f>
        <v>VIP</v>
      </c>
      <c r="E506" s="40" t="str">
        <f ca="1">IFERROR(__xludf.DUMMYFUNCTION("""COMPUTED_VALUE"""),"https://docs.fivem.net/vehicles/gbeon.webp")</f>
        <v>https://docs.fivem.net/vehicles/gbeon.webp</v>
      </c>
    </row>
    <row r="507" spans="1:5" ht="15.75" customHeight="1" x14ac:dyDescent="0.4">
      <c r="A507" s="38" t="str">
        <f ca="1">IFERROR(__xludf.DUMMYFUNCTION("""COMPUTED_VALUE"""),"gbesperta")</f>
        <v>gbesperta</v>
      </c>
      <c r="B507" s="38" t="str">
        <f ca="1">IFERROR(__xludf.DUMMYFUNCTION("""COMPUTED_VALUE"""),"Esperta")</f>
        <v>Esperta</v>
      </c>
      <c r="C507" s="39" t="str">
        <f ca="1">IFERROR(__xludf.DUMMYFUNCTION("""COMPUTED_VALUE"""),"Null")</f>
        <v>Null</v>
      </c>
      <c r="D507" s="39" t="str">
        <f ca="1">IFERROR(__xludf.DUMMYFUNCTION("""COMPUTED_VALUE"""),"VIP")</f>
        <v>VIP</v>
      </c>
      <c r="E507" s="40" t="str">
        <f ca="1">IFERROR(__xludf.DUMMYFUNCTION("""COMPUTED_VALUE"""),"https://docs.fivem.net/vehicles/gbesperta.webp")</f>
        <v>https://docs.fivem.net/vehicles/gbesperta.webp</v>
      </c>
    </row>
    <row r="508" spans="1:5" ht="15.75" customHeight="1" x14ac:dyDescent="0.4">
      <c r="A508" s="38" t="str">
        <f ca="1">IFERROR(__xludf.DUMMYFUNCTION("""COMPUTED_VALUE"""),"gbgresleystx")</f>
        <v>gbgresleystx</v>
      </c>
      <c r="B508" s="38" t="str">
        <f ca="1">IFERROR(__xludf.DUMMYFUNCTION("""COMPUTED_VALUE"""),"Gresley STX")</f>
        <v>Gresley STX</v>
      </c>
      <c r="C508" s="39" t="str">
        <f ca="1">IFERROR(__xludf.DUMMYFUNCTION("""COMPUTED_VALUE"""),"Null")</f>
        <v>Null</v>
      </c>
      <c r="D508" s="39" t="str">
        <f ca="1">IFERROR(__xludf.DUMMYFUNCTION("""COMPUTED_VALUE"""),"VIP")</f>
        <v>VIP</v>
      </c>
      <c r="E508" s="40" t="str">
        <f ca="1">IFERROR(__xludf.DUMMYFUNCTION("""COMPUTED_VALUE"""),"https://docs.fivem.net/vehicles/gbgresleystx.webp")</f>
        <v>https://docs.fivem.net/vehicles/gbgresleystx.webp</v>
      </c>
    </row>
    <row r="509" spans="1:5" ht="15.75" customHeight="1" x14ac:dyDescent="0.4">
      <c r="A509" s="38" t="str">
        <f ca="1">IFERROR(__xludf.DUMMYFUNCTION("""COMPUTED_VALUE"""),"gbhades")</f>
        <v>gbhades</v>
      </c>
      <c r="B509" s="38" t="str">
        <f ca="1">IFERROR(__xludf.DUMMYFUNCTION("""COMPUTED_VALUE"""),"Hades")</f>
        <v>Hades</v>
      </c>
      <c r="C509" s="39" t="str">
        <f ca="1">IFERROR(__xludf.DUMMYFUNCTION("""COMPUTED_VALUE"""),"Null")</f>
        <v>Null</v>
      </c>
      <c r="D509" s="39" t="str">
        <f ca="1">IFERROR(__xludf.DUMMYFUNCTION("""COMPUTED_VALUE"""),"VIP")</f>
        <v>VIP</v>
      </c>
      <c r="E509" s="40" t="str">
        <f ca="1">IFERROR(__xludf.DUMMYFUNCTION("""COMPUTED_VALUE"""),"https://docs.fivem.net/vehicles/gbhades.webp")</f>
        <v>https://docs.fivem.net/vehicles/gbhades.webp</v>
      </c>
    </row>
    <row r="510" spans="1:5" ht="15.75" customHeight="1" x14ac:dyDescent="0.4">
      <c r="A510" s="38" t="str">
        <f ca="1">IFERROR(__xludf.DUMMYFUNCTION("""COMPUTED_VALUE"""),"gbharmann")</f>
        <v>gbharmann</v>
      </c>
      <c r="B510" s="38" t="str">
        <f ca="1">IFERROR(__xludf.DUMMYFUNCTION("""COMPUTED_VALUE"""),"Harmann")</f>
        <v>Harmann</v>
      </c>
      <c r="C510" s="39" t="str">
        <f ca="1">IFERROR(__xludf.DUMMYFUNCTION("""COMPUTED_VALUE"""),"Null")</f>
        <v>Null</v>
      </c>
      <c r="D510" s="39" t="str">
        <f ca="1">IFERROR(__xludf.DUMMYFUNCTION("""COMPUTED_VALUE"""),"VIP")</f>
        <v>VIP</v>
      </c>
      <c r="E510" s="40" t="str">
        <f ca="1">IFERROR(__xludf.DUMMYFUNCTION("""COMPUTED_VALUE"""),"https://docs.fivem.net/vehicles/gbharmann.webp")</f>
        <v>https://docs.fivem.net/vehicles/gbharmann.webp</v>
      </c>
    </row>
    <row r="511" spans="1:5" ht="15.75" customHeight="1" x14ac:dyDescent="0.4">
      <c r="A511" s="38" t="str">
        <f ca="1">IFERROR(__xludf.DUMMYFUNCTION("""COMPUTED_VALUE"""),"gbimpaler")</f>
        <v>gbimpaler</v>
      </c>
      <c r="B511" s="38" t="str">
        <f ca="1">IFERROR(__xludf.DUMMYFUNCTION("""COMPUTED_VALUE"""),"Impaler")</f>
        <v>Impaler</v>
      </c>
      <c r="C511" s="39" t="str">
        <f ca="1">IFERROR(__xludf.DUMMYFUNCTION("""COMPUTED_VALUE"""),"Null")</f>
        <v>Null</v>
      </c>
      <c r="D511" s="39" t="str">
        <f ca="1">IFERROR(__xludf.DUMMYFUNCTION("""COMPUTED_VALUE"""),"VIP")</f>
        <v>VIP</v>
      </c>
      <c r="E511" s="40" t="str">
        <f ca="1">IFERROR(__xludf.DUMMYFUNCTION("""COMPUTED_VALUE"""),"https://docs.fivem.net/vehicles/gbimpaler.webp")</f>
        <v>https://docs.fivem.net/vehicles/gbimpaler.webp</v>
      </c>
    </row>
    <row r="512" spans="1:5" ht="15.75" customHeight="1" x14ac:dyDescent="0.4">
      <c r="A512" s="38" t="str">
        <f ca="1">IFERROR(__xludf.DUMMYFUNCTION("""COMPUTED_VALUE"""),"gbirisz")</f>
        <v>gbirisz</v>
      </c>
      <c r="B512" s="38" t="str">
        <f ca="1">IFERROR(__xludf.DUMMYFUNCTION("""COMPUTED_VALUE"""),"Iris Z")</f>
        <v>Iris Z</v>
      </c>
      <c r="C512" s="39" t="str">
        <f ca="1">IFERROR(__xludf.DUMMYFUNCTION("""COMPUTED_VALUE"""),"Null")</f>
        <v>Null</v>
      </c>
      <c r="D512" s="39" t="str">
        <f ca="1">IFERROR(__xludf.DUMMYFUNCTION("""COMPUTED_VALUE"""),"VIP")</f>
        <v>VIP</v>
      </c>
      <c r="E512" s="40" t="str">
        <f ca="1">IFERROR(__xludf.DUMMYFUNCTION("""COMPUTED_VALUE"""),"https://docs.fivem.net/vehicles/gbirisz.webp")</f>
        <v>https://docs.fivem.net/vehicles/gbirisz.webp</v>
      </c>
    </row>
    <row r="513" spans="1:5" ht="15.75" customHeight="1" x14ac:dyDescent="0.4">
      <c r="A513" s="38" t="str">
        <f ca="1">IFERROR(__xludf.DUMMYFUNCTION("""COMPUTED_VALUE"""),"gbissimetro")</f>
        <v>gbissimetro</v>
      </c>
      <c r="B513" s="38" t="str">
        <f ca="1">IFERROR(__xludf.DUMMYFUNCTION("""COMPUTED_VALUE"""),"Issi Metro")</f>
        <v>Issi Metro</v>
      </c>
      <c r="C513" s="39" t="str">
        <f ca="1">IFERROR(__xludf.DUMMYFUNCTION("""COMPUTED_VALUE"""),"Null")</f>
        <v>Null</v>
      </c>
      <c r="D513" s="39" t="str">
        <f ca="1">IFERROR(__xludf.DUMMYFUNCTION("""COMPUTED_VALUE"""),"VIP")</f>
        <v>VIP</v>
      </c>
      <c r="E513" s="40" t="str">
        <f ca="1">IFERROR(__xludf.DUMMYFUNCTION("""COMPUTED_VALUE"""),"https://docs.fivem.net/vehicles/gbissimetro.webp")</f>
        <v>https://docs.fivem.net/vehicles/gbissimetro.webp</v>
      </c>
    </row>
    <row r="514" spans="1:5" ht="15.75" customHeight="1" x14ac:dyDescent="0.4">
      <c r="A514" s="38" t="str">
        <f ca="1">IFERROR(__xludf.DUMMYFUNCTION("""COMPUTED_VALUE"""),"gbkomodagt")</f>
        <v>gbkomodagt</v>
      </c>
      <c r="B514" s="38" t="str">
        <f ca="1">IFERROR(__xludf.DUMMYFUNCTION("""COMPUTED_VALUE"""),"Komoda GT")</f>
        <v>Komoda GT</v>
      </c>
      <c r="C514" s="39" t="str">
        <f ca="1">IFERROR(__xludf.DUMMYFUNCTION("""COMPUTED_VALUE"""),"Null")</f>
        <v>Null</v>
      </c>
      <c r="D514" s="39" t="str">
        <f ca="1">IFERROR(__xludf.DUMMYFUNCTION("""COMPUTED_VALUE"""),"VIP")</f>
        <v>VIP</v>
      </c>
      <c r="E514" s="40" t="str">
        <f ca="1">IFERROR(__xludf.DUMMYFUNCTION("""COMPUTED_VALUE"""),"https://docs.fivem.net/vehicles/gbkomodagt.webp")</f>
        <v>https://docs.fivem.net/vehicles/gbkomodagt.webp</v>
      </c>
    </row>
    <row r="515" spans="1:5" ht="15.75" customHeight="1" x14ac:dyDescent="0.4">
      <c r="A515" s="38" t="str">
        <f ca="1">IFERROR(__xludf.DUMMYFUNCTION("""COMPUTED_VALUE"""),"gblod4")</f>
        <v>gblod4</v>
      </c>
      <c r="B515" s="38" t="str">
        <f ca="1">IFERROR(__xludf.DUMMYFUNCTION("""COMPUTED_VALUE"""),"LOD4")</f>
        <v>LOD4</v>
      </c>
      <c r="C515" s="39" t="str">
        <f ca="1">IFERROR(__xludf.DUMMYFUNCTION("""COMPUTED_VALUE"""),"Null")</f>
        <v>Null</v>
      </c>
      <c r="D515" s="39" t="str">
        <f ca="1">IFERROR(__xludf.DUMMYFUNCTION("""COMPUTED_VALUE"""),"VIP")</f>
        <v>VIP</v>
      </c>
      <c r="E515" s="40" t="str">
        <f ca="1">IFERROR(__xludf.DUMMYFUNCTION("""COMPUTED_VALUE"""),"https://docs.fivem.net/vehicles/gblod4.webp")</f>
        <v>https://docs.fivem.net/vehicles/gblod4.webp</v>
      </c>
    </row>
    <row r="516" spans="1:5" ht="15.75" customHeight="1" x14ac:dyDescent="0.4">
      <c r="A516" s="38" t="str">
        <f ca="1">IFERROR(__xludf.DUMMYFUNCTION("""COMPUTED_VALUE"""),"gbmilano")</f>
        <v>gbmilano</v>
      </c>
      <c r="B516" s="38" t="str">
        <f ca="1">IFERROR(__xludf.DUMMYFUNCTION("""COMPUTED_VALUE"""),"Milano")</f>
        <v>Milano</v>
      </c>
      <c r="C516" s="39" t="str">
        <f ca="1">IFERROR(__xludf.DUMMYFUNCTION("""COMPUTED_VALUE"""),"Null")</f>
        <v>Null</v>
      </c>
      <c r="D516" s="39" t="str">
        <f ca="1">IFERROR(__xludf.DUMMYFUNCTION("""COMPUTED_VALUE"""),"VIP")</f>
        <v>VIP</v>
      </c>
      <c r="E516" s="40" t="str">
        <f ca="1">IFERROR(__xludf.DUMMYFUNCTION("""COMPUTED_VALUE"""),"https://docs.fivem.net/vehicles/gbmilano.webp")</f>
        <v>https://docs.fivem.net/vehicles/gbmilano.webp</v>
      </c>
    </row>
    <row r="517" spans="1:5" ht="15.75" customHeight="1" x14ac:dyDescent="0.4">
      <c r="A517" s="38" t="str">
        <f ca="1">IFERROR(__xludf.DUMMYFUNCTION("""COMPUTED_VALUE"""),"gbmogulrs")</f>
        <v>gbmogulrs</v>
      </c>
      <c r="B517" s="38" t="str">
        <f ca="1">IFERROR(__xludf.DUMMYFUNCTION("""COMPUTED_VALUE"""),"Mogul RS")</f>
        <v>Mogul RS</v>
      </c>
      <c r="C517" s="39" t="str">
        <f ca="1">IFERROR(__xludf.DUMMYFUNCTION("""COMPUTED_VALUE"""),"Null")</f>
        <v>Null</v>
      </c>
      <c r="D517" s="39" t="str">
        <f ca="1">IFERROR(__xludf.DUMMYFUNCTION("""COMPUTED_VALUE"""),"VIP")</f>
        <v>VIP</v>
      </c>
      <c r="E517" s="40" t="str">
        <f ca="1">IFERROR(__xludf.DUMMYFUNCTION("""COMPUTED_VALUE"""),"https://docs.fivem.net/vehicles/gbmogulrs.webp")</f>
        <v>https://docs.fivem.net/vehicles/gbmogulrs.webp</v>
      </c>
    </row>
    <row r="518" spans="1:5" ht="15.75" customHeight="1" x14ac:dyDescent="0.4">
      <c r="A518" s="38" t="str">
        <f ca="1">IFERROR(__xludf.DUMMYFUNCTION("""COMPUTED_VALUE"""),"gbmojave")</f>
        <v>gbmojave</v>
      </c>
      <c r="B518" s="38" t="str">
        <f ca="1">IFERROR(__xludf.DUMMYFUNCTION("""COMPUTED_VALUE"""),"Mojave")</f>
        <v>Mojave</v>
      </c>
      <c r="C518" s="39" t="str">
        <f ca="1">IFERROR(__xludf.DUMMYFUNCTION("""COMPUTED_VALUE"""),"Null")</f>
        <v>Null</v>
      </c>
      <c r="D518" s="39" t="str">
        <f ca="1">IFERROR(__xludf.DUMMYFUNCTION("""COMPUTED_VALUE"""),"VIP")</f>
        <v>VIP</v>
      </c>
      <c r="E518" s="40" t="str">
        <f ca="1">IFERROR(__xludf.DUMMYFUNCTION("""COMPUTED_VALUE"""),"https://docs.fivem.net/vehicles/gbmojave.webp")</f>
        <v>https://docs.fivem.net/vehicles/gbmojave.webp</v>
      </c>
    </row>
    <row r="519" spans="1:5" ht="15.75" customHeight="1" x14ac:dyDescent="0.4">
      <c r="A519" s="38" t="str">
        <f ca="1">IFERROR(__xludf.DUMMYFUNCTION("""COMPUTED_VALUE"""),"gbneonct")</f>
        <v>gbneonct</v>
      </c>
      <c r="B519" s="38" t="str">
        <f ca="1">IFERROR(__xludf.DUMMYFUNCTION("""COMPUTED_VALUE"""),"Neon CT")</f>
        <v>Neon CT</v>
      </c>
      <c r="C519" s="39" t="str">
        <f ca="1">IFERROR(__xludf.DUMMYFUNCTION("""COMPUTED_VALUE"""),"Null")</f>
        <v>Null</v>
      </c>
      <c r="D519" s="39" t="str">
        <f ca="1">IFERROR(__xludf.DUMMYFUNCTION("""COMPUTED_VALUE"""),"VIP")</f>
        <v>VIP</v>
      </c>
      <c r="E519" s="40" t="str">
        <f ca="1">IFERROR(__xludf.DUMMYFUNCTION("""COMPUTED_VALUE"""),"https://docs.fivem.net/vehicles/gbneonct.webp")</f>
        <v>https://docs.fivem.net/vehicles/gbneonct.webp</v>
      </c>
    </row>
    <row r="520" spans="1:5" ht="15.75" customHeight="1" x14ac:dyDescent="0.4">
      <c r="A520" s="38" t="str">
        <f ca="1">IFERROR(__xludf.DUMMYFUNCTION("""COMPUTED_VALUE"""),"gbnexusrr")</f>
        <v>gbnexusrr</v>
      </c>
      <c r="B520" s="38" t="str">
        <f ca="1">IFERROR(__xludf.DUMMYFUNCTION("""COMPUTED_VALUE"""),"Nexus RR")</f>
        <v>Nexus RR</v>
      </c>
      <c r="C520" s="39" t="str">
        <f ca="1">IFERROR(__xludf.DUMMYFUNCTION("""COMPUTED_VALUE"""),"Null")</f>
        <v>Null</v>
      </c>
      <c r="D520" s="39" t="str">
        <f ca="1">IFERROR(__xludf.DUMMYFUNCTION("""COMPUTED_VALUE"""),"VIP")</f>
        <v>VIP</v>
      </c>
      <c r="E520" s="40" t="str">
        <f ca="1">IFERROR(__xludf.DUMMYFUNCTION("""COMPUTED_VALUE"""),"https://docs.fivem.net/vehicles/gbnexusrr.webp")</f>
        <v>https://docs.fivem.net/vehicles/gbnexusrr.webp</v>
      </c>
    </row>
    <row r="521" spans="1:5" ht="15.75" customHeight="1" x14ac:dyDescent="0.4">
      <c r="A521" s="38" t="str">
        <f ca="1">IFERROR(__xludf.DUMMYFUNCTION("""COMPUTED_VALUE"""),"gbprospero")</f>
        <v>gbprospero</v>
      </c>
      <c r="B521" s="38" t="str">
        <f ca="1">IFERROR(__xludf.DUMMYFUNCTION("""COMPUTED_VALUE"""),"Prospero")</f>
        <v>Prospero</v>
      </c>
      <c r="C521" s="39" t="str">
        <f ca="1">IFERROR(__xludf.DUMMYFUNCTION("""COMPUTED_VALUE"""),"Null")</f>
        <v>Null</v>
      </c>
      <c r="D521" s="39" t="str">
        <f ca="1">IFERROR(__xludf.DUMMYFUNCTION("""COMPUTED_VALUE"""),"VIP")</f>
        <v>VIP</v>
      </c>
      <c r="E521" s="40" t="str">
        <f ca="1">IFERROR(__xludf.DUMMYFUNCTION("""COMPUTED_VALUE"""),"https://docs.fivem.net/vehicles/gbprospero.webp")</f>
        <v>https://docs.fivem.net/vehicles/gbprospero.webp</v>
      </c>
    </row>
    <row r="522" spans="1:5" ht="15.75" customHeight="1" x14ac:dyDescent="0.4">
      <c r="A522" s="38" t="str">
        <f ca="1">IFERROR(__xludf.DUMMYFUNCTION("""COMPUTED_VALUE"""),"gbraidillon")</f>
        <v>gbraidillon</v>
      </c>
      <c r="B522" s="38" t="str">
        <f ca="1">IFERROR(__xludf.DUMMYFUNCTION("""COMPUTED_VALUE"""),"Raidillon")</f>
        <v>Raidillon</v>
      </c>
      <c r="C522" s="39" t="str">
        <f ca="1">IFERROR(__xludf.DUMMYFUNCTION("""COMPUTED_VALUE"""),"Null")</f>
        <v>Null</v>
      </c>
      <c r="D522" s="39" t="str">
        <f ca="1">IFERROR(__xludf.DUMMYFUNCTION("""COMPUTED_VALUE"""),"VIP")</f>
        <v>VIP</v>
      </c>
      <c r="E522" s="40" t="str">
        <f ca="1">IFERROR(__xludf.DUMMYFUNCTION("""COMPUTED_VALUE"""),"https://docs.fivem.net/vehicles/gbraidillon.webp")</f>
        <v>https://docs.fivem.net/vehicles/gbraidillon.webp</v>
      </c>
    </row>
    <row r="523" spans="1:5" ht="15.75" customHeight="1" x14ac:dyDescent="0.4">
      <c r="A523" s="38" t="str">
        <f ca="1">IFERROR(__xludf.DUMMYFUNCTION("""COMPUTED_VALUE"""),"gbronin")</f>
        <v>gbronin</v>
      </c>
      <c r="B523" s="38" t="str">
        <f ca="1">IFERROR(__xludf.DUMMYFUNCTION("""COMPUTED_VALUE"""),"Ronin")</f>
        <v>Ronin</v>
      </c>
      <c r="C523" s="39" t="str">
        <f ca="1">IFERROR(__xludf.DUMMYFUNCTION("""COMPUTED_VALUE"""),"Null")</f>
        <v>Null</v>
      </c>
      <c r="D523" s="39" t="str">
        <f ca="1">IFERROR(__xludf.DUMMYFUNCTION("""COMPUTED_VALUE"""),"VIP")</f>
        <v>VIP</v>
      </c>
      <c r="E523" s="40" t="str">
        <f ca="1">IFERROR(__xludf.DUMMYFUNCTION("""COMPUTED_VALUE"""),"https://docs.fivem.net/vehicles/gbronin.webp")</f>
        <v>https://docs.fivem.net/vehicles/gbronin.webp</v>
      </c>
    </row>
    <row r="524" spans="1:5" ht="15.75" customHeight="1" x14ac:dyDescent="0.4">
      <c r="A524" s="38" t="str">
        <f ca="1">IFERROR(__xludf.DUMMYFUNCTION("""COMPUTED_VALUE"""),"gbsapphire")</f>
        <v>gbsapphire</v>
      </c>
      <c r="B524" s="38" t="str">
        <f ca="1">IFERROR(__xludf.DUMMYFUNCTION("""COMPUTED_VALUE"""),"Sapphire")</f>
        <v>Sapphire</v>
      </c>
      <c r="C524" s="39" t="str">
        <f ca="1">IFERROR(__xludf.DUMMYFUNCTION("""COMPUTED_VALUE"""),"Null")</f>
        <v>Null</v>
      </c>
      <c r="D524" s="39" t="str">
        <f ca="1">IFERROR(__xludf.DUMMYFUNCTION("""COMPUTED_VALUE"""),"VIP")</f>
        <v>VIP</v>
      </c>
      <c r="E524" s="40" t="str">
        <f ca="1">IFERROR(__xludf.DUMMYFUNCTION("""COMPUTED_VALUE"""),"https://docs.fivem.net/vehicles/gbsapphire.webp")</f>
        <v>https://docs.fivem.net/vehicles/gbsapphire.webp</v>
      </c>
    </row>
    <row r="525" spans="1:5" ht="15.75" customHeight="1" x14ac:dyDescent="0.4">
      <c r="A525" s="38" t="str">
        <f ca="1">IFERROR(__xludf.DUMMYFUNCTION("""COMPUTED_VALUE"""),"gbschlagenr")</f>
        <v>gbschlagenr</v>
      </c>
      <c r="B525" s="38" t="str">
        <f ca="1">IFERROR(__xludf.DUMMYFUNCTION("""COMPUTED_VALUE"""),"Schlagen R")</f>
        <v>Schlagen R</v>
      </c>
      <c r="C525" s="39" t="str">
        <f ca="1">IFERROR(__xludf.DUMMYFUNCTION("""COMPUTED_VALUE"""),"Null")</f>
        <v>Null</v>
      </c>
      <c r="D525" s="39" t="str">
        <f ca="1">IFERROR(__xludf.DUMMYFUNCTION("""COMPUTED_VALUE"""),"VIP")</f>
        <v>VIP</v>
      </c>
      <c r="E525" s="40" t="str">
        <f ca="1">IFERROR(__xludf.DUMMYFUNCTION("""COMPUTED_VALUE"""),"https://docs.fivem.net/vehicles/gbschlagenr.webp")</f>
        <v>https://docs.fivem.net/vehicles/gbschlagenr.webp</v>
      </c>
    </row>
    <row r="526" spans="1:5" ht="15.75" customHeight="1" x14ac:dyDescent="0.4">
      <c r="A526" s="38" t="str">
        <f ca="1">IFERROR(__xludf.DUMMYFUNCTION("""COMPUTED_VALUE"""),"gbschlagensp")</f>
        <v>gbschlagensp</v>
      </c>
      <c r="B526" s="38" t="str">
        <f ca="1">IFERROR(__xludf.DUMMYFUNCTION("""COMPUTED_VALUE"""),"Schlagen SP")</f>
        <v>Schlagen SP</v>
      </c>
      <c r="C526" s="39" t="str">
        <f ca="1">IFERROR(__xludf.DUMMYFUNCTION("""COMPUTED_VALUE"""),"Null")</f>
        <v>Null</v>
      </c>
      <c r="D526" s="39" t="str">
        <f ca="1">IFERROR(__xludf.DUMMYFUNCTION("""COMPUTED_VALUE"""),"VIP")</f>
        <v>VIP</v>
      </c>
      <c r="E526" s="40" t="str">
        <f ca="1">IFERROR(__xludf.DUMMYFUNCTION("""COMPUTED_VALUE"""),"https://docs.fivem.net/vehicles/gbschlagensp.webp")</f>
        <v>https://docs.fivem.net/vehicles/gbschlagensp.webp</v>
      </c>
    </row>
    <row r="527" spans="1:5" ht="15.75" customHeight="1" x14ac:dyDescent="0.4">
      <c r="A527" s="38" t="str">
        <f ca="1">IFERROR(__xludf.DUMMYFUNCTION("""COMPUTED_VALUE"""),"gbschrauber")</f>
        <v>gbschrauber</v>
      </c>
      <c r="B527" s="38" t="str">
        <f ca="1">IFERROR(__xludf.DUMMYFUNCTION("""COMPUTED_VALUE"""),"Schrauber")</f>
        <v>Schrauber</v>
      </c>
      <c r="C527" s="39" t="str">
        <f ca="1">IFERROR(__xludf.DUMMYFUNCTION("""COMPUTED_VALUE"""),"Null")</f>
        <v>Null</v>
      </c>
      <c r="D527" s="39" t="str">
        <f ca="1">IFERROR(__xludf.DUMMYFUNCTION("""COMPUTED_VALUE"""),"VIP")</f>
        <v>VIP</v>
      </c>
      <c r="E527" s="40" t="str">
        <f ca="1">IFERROR(__xludf.DUMMYFUNCTION("""COMPUTED_VALUE"""),"https://docs.fivem.net/vehicles/gbschrauber.webp")</f>
        <v>https://docs.fivem.net/vehicles/gbschrauber.webp</v>
      </c>
    </row>
    <row r="528" spans="1:5" ht="15.75" customHeight="1" x14ac:dyDescent="0.4">
      <c r="A528" s="38" t="str">
        <f ca="1">IFERROR(__xludf.DUMMYFUNCTION("""COMPUTED_VALUE"""),"gbschwartzers")</f>
        <v>gbschwartzers</v>
      </c>
      <c r="B528" s="38" t="str">
        <f ca="1">IFERROR(__xludf.DUMMYFUNCTION("""COMPUTED_VALUE"""),"Schwartzer S")</f>
        <v>Schwartzer S</v>
      </c>
      <c r="C528" s="39" t="str">
        <f ca="1">IFERROR(__xludf.DUMMYFUNCTION("""COMPUTED_VALUE"""),"Null")</f>
        <v>Null</v>
      </c>
      <c r="D528" s="39" t="str">
        <f ca="1">IFERROR(__xludf.DUMMYFUNCTION("""COMPUTED_VALUE"""),"VIP")</f>
        <v>VIP</v>
      </c>
      <c r="E528" s="40" t="str">
        <f ca="1">IFERROR(__xludf.DUMMYFUNCTION("""COMPUTED_VALUE"""),"https://docs.fivem.net/vehicles/gbschwartzers.webp")</f>
        <v>https://docs.fivem.net/vehicles/gbschwartzers.webp</v>
      </c>
    </row>
    <row r="529" spans="1:5" ht="15.75" customHeight="1" x14ac:dyDescent="0.4">
      <c r="A529" s="38" t="str">
        <f ca="1">IFERROR(__xludf.DUMMYFUNCTION("""COMPUTED_VALUE"""),"gbsentinelgts")</f>
        <v>gbsentinelgts</v>
      </c>
      <c r="B529" s="38" t="str">
        <f ca="1">IFERROR(__xludf.DUMMYFUNCTION("""COMPUTED_VALUE"""),"Sentinel GTS")</f>
        <v>Sentinel GTS</v>
      </c>
      <c r="C529" s="39" t="str">
        <f ca="1">IFERROR(__xludf.DUMMYFUNCTION("""COMPUTED_VALUE"""),"Null")</f>
        <v>Null</v>
      </c>
      <c r="D529" s="39" t="str">
        <f ca="1">IFERROR(__xludf.DUMMYFUNCTION("""COMPUTED_VALUE"""),"VIP")</f>
        <v>VIP</v>
      </c>
      <c r="E529" s="40" t="str">
        <f ca="1">IFERROR(__xludf.DUMMYFUNCTION("""COMPUTED_VALUE"""),"https://docs.fivem.net/vehicles/gbsentinelgts.webp")</f>
        <v>https://docs.fivem.net/vehicles/gbsentinelgts.webp</v>
      </c>
    </row>
    <row r="530" spans="1:5" ht="15.75" customHeight="1" x14ac:dyDescent="0.4">
      <c r="A530" s="38" t="str">
        <f ca="1">IFERROR(__xludf.DUMMYFUNCTION("""COMPUTED_VALUE"""),"gbsidewinder")</f>
        <v>gbsidewinder</v>
      </c>
      <c r="B530" s="38" t="str">
        <f ca="1">IFERROR(__xludf.DUMMYFUNCTION("""COMPUTED_VALUE"""),"Sidewinder")</f>
        <v>Sidewinder</v>
      </c>
      <c r="C530" s="39" t="str">
        <f ca="1">IFERROR(__xludf.DUMMYFUNCTION("""COMPUTED_VALUE"""),"Null")</f>
        <v>Null</v>
      </c>
      <c r="D530" s="39" t="str">
        <f ca="1">IFERROR(__xludf.DUMMYFUNCTION("""COMPUTED_VALUE"""),"VIP")</f>
        <v>VIP</v>
      </c>
      <c r="E530" s="40" t="str">
        <f ca="1">IFERROR(__xludf.DUMMYFUNCTION("""COMPUTED_VALUE"""),"https://docs.fivem.net/vehicles/gbsidewinder.webp")</f>
        <v>https://docs.fivem.net/vehicles/gbsidewinder.webp</v>
      </c>
    </row>
    <row r="531" spans="1:5" ht="15.75" customHeight="1" x14ac:dyDescent="0.4">
      <c r="A531" s="38" t="str">
        <f ca="1">IFERROR(__xludf.DUMMYFUNCTION("""COMPUTED_VALUE"""),"gbsolace")</f>
        <v>gbsolace</v>
      </c>
      <c r="B531" s="38" t="str">
        <f ca="1">IFERROR(__xludf.DUMMYFUNCTION("""COMPUTED_VALUE"""),"Solace")</f>
        <v>Solace</v>
      </c>
      <c r="C531" s="39" t="str">
        <f ca="1">IFERROR(__xludf.DUMMYFUNCTION("""COMPUTED_VALUE"""),"Null")</f>
        <v>Null</v>
      </c>
      <c r="D531" s="39" t="str">
        <f ca="1">IFERROR(__xludf.DUMMYFUNCTION("""COMPUTED_VALUE"""),"VIP")</f>
        <v>VIP</v>
      </c>
      <c r="E531" s="40" t="str">
        <f ca="1">IFERROR(__xludf.DUMMYFUNCTION("""COMPUTED_VALUE"""),"https://docs.fivem.net/vehicles/gbsolace.webp")</f>
        <v>https://docs.fivem.net/vehicles/gbsolace.webp</v>
      </c>
    </row>
    <row r="532" spans="1:5" ht="15.75" customHeight="1" x14ac:dyDescent="0.4">
      <c r="A532" s="38" t="str">
        <f ca="1">IFERROR(__xludf.DUMMYFUNCTION("""COMPUTED_VALUE"""),"gbsolacev")</f>
        <v>gbsolacev</v>
      </c>
      <c r="B532" s="38" t="str">
        <f ca="1">IFERROR(__xludf.DUMMYFUNCTION("""COMPUTED_VALUE"""),"Solace V")</f>
        <v>Solace V</v>
      </c>
      <c r="C532" s="39" t="str">
        <f ca="1">IFERROR(__xludf.DUMMYFUNCTION("""COMPUTED_VALUE"""),"Null")</f>
        <v>Null</v>
      </c>
      <c r="D532" s="39" t="str">
        <f ca="1">IFERROR(__xludf.DUMMYFUNCTION("""COMPUTED_VALUE"""),"VIP")</f>
        <v>VIP</v>
      </c>
      <c r="E532" s="40" t="str">
        <f ca="1">IFERROR(__xludf.DUMMYFUNCTION("""COMPUTED_VALUE"""),"https://docs.fivem.net/vehicles/gbsolacev.webp")</f>
        <v>https://docs.fivem.net/vehicles/gbsolacev.webp</v>
      </c>
    </row>
    <row r="533" spans="1:5" ht="15.75" customHeight="1" x14ac:dyDescent="0.4">
      <c r="A533" s="38" t="str">
        <f ca="1">IFERROR(__xludf.DUMMYFUNCTION("""COMPUTED_VALUE"""),"gbstarlight")</f>
        <v>gbstarlight</v>
      </c>
      <c r="B533" s="38" t="str">
        <f ca="1">IFERROR(__xludf.DUMMYFUNCTION("""COMPUTED_VALUE"""),"Starlight")</f>
        <v>Starlight</v>
      </c>
      <c r="C533" s="39" t="str">
        <f ca="1">IFERROR(__xludf.DUMMYFUNCTION("""COMPUTED_VALUE"""),"Null")</f>
        <v>Null</v>
      </c>
      <c r="D533" s="39" t="str">
        <f ca="1">IFERROR(__xludf.DUMMYFUNCTION("""COMPUTED_VALUE"""),"VIP")</f>
        <v>VIP</v>
      </c>
      <c r="E533" s="40" t="str">
        <f ca="1">IFERROR(__xludf.DUMMYFUNCTION("""COMPUTED_VALUE"""),"https://docs.fivem.net/vehicles/gbstarlight.webp")</f>
        <v>https://docs.fivem.net/vehicles/gbstarlight.webp</v>
      </c>
    </row>
    <row r="534" spans="1:5" ht="15.75" customHeight="1" x14ac:dyDescent="0.4">
      <c r="A534" s="38" t="str">
        <f ca="1">IFERROR(__xludf.DUMMYFUNCTION("""COMPUTED_VALUE"""),"gbsultanrsx")</f>
        <v>gbsultanrsx</v>
      </c>
      <c r="B534" s="38" t="str">
        <f ca="1">IFERROR(__xludf.DUMMYFUNCTION("""COMPUTED_VALUE"""),"Sultan RSX")</f>
        <v>Sultan RSX</v>
      </c>
      <c r="C534" s="39" t="str">
        <f ca="1">IFERROR(__xludf.DUMMYFUNCTION("""COMPUTED_VALUE"""),"Null")</f>
        <v>Null</v>
      </c>
      <c r="D534" s="39" t="str">
        <f ca="1">IFERROR(__xludf.DUMMYFUNCTION("""COMPUTED_VALUE"""),"VIP")</f>
        <v>VIP</v>
      </c>
      <c r="E534" s="40" t="str">
        <f ca="1">IFERROR(__xludf.DUMMYFUNCTION("""COMPUTED_VALUE"""),"https://docs.fivem.net/vehicles/gbsultanrsx.webp")</f>
        <v>https://docs.fivem.net/vehicles/gbsultanrsx.webp</v>
      </c>
    </row>
    <row r="535" spans="1:5" ht="15.75" customHeight="1" x14ac:dyDescent="0.4">
      <c r="A535" s="38" t="str">
        <f ca="1">IFERROR(__xludf.DUMMYFUNCTION("""COMPUTED_VALUE"""),"gbtahomagt")</f>
        <v>gbtahomagt</v>
      </c>
      <c r="B535" s="38" t="str">
        <f ca="1">IFERROR(__xludf.DUMMYFUNCTION("""COMPUTED_VALUE"""),"Tahoma GT")</f>
        <v>Tahoma GT</v>
      </c>
      <c r="C535" s="39" t="str">
        <f ca="1">IFERROR(__xludf.DUMMYFUNCTION("""COMPUTED_VALUE"""),"Null")</f>
        <v>Null</v>
      </c>
      <c r="D535" s="39" t="str">
        <f ca="1">IFERROR(__xludf.DUMMYFUNCTION("""COMPUTED_VALUE"""),"VIP")</f>
        <v>VIP</v>
      </c>
      <c r="E535" s="41" t="str">
        <f ca="1">IFERROR(__xludf.DUMMYFUNCTION("""COMPUTED_VALUE"""),"https://docs.fivem.net/vehicles/gbtahomagt.webp")</f>
        <v>https://docs.fivem.net/vehicles/gbtahomagt.webp</v>
      </c>
    </row>
    <row r="536" spans="1:5" ht="15.75" customHeight="1" x14ac:dyDescent="0.4">
      <c r="A536" s="38" t="str">
        <f ca="1">IFERROR(__xludf.DUMMYFUNCTION("""COMPUTED_VALUE"""),"gbtenfr")</f>
        <v>gbtenfr</v>
      </c>
      <c r="B536" s="38" t="str">
        <f ca="1">IFERROR(__xludf.DUMMYFUNCTION("""COMPUTED_VALUE"""),"Ten FR")</f>
        <v>Ten FR</v>
      </c>
      <c r="C536" s="39" t="str">
        <f ca="1">IFERROR(__xludf.DUMMYFUNCTION("""COMPUTED_VALUE"""),"Null")</f>
        <v>Null</v>
      </c>
      <c r="D536" s="39" t="str">
        <f ca="1">IFERROR(__xludf.DUMMYFUNCTION("""COMPUTED_VALUE"""),"VIP")</f>
        <v>VIP</v>
      </c>
      <c r="E536" s="41" t="str">
        <f ca="1">IFERROR(__xludf.DUMMYFUNCTION("""COMPUTED_VALUE"""),"https://docs.fivem.net/vehicles/gbtenfr.webp")</f>
        <v>https://docs.fivem.net/vehicles/gbtenfr.webp</v>
      </c>
    </row>
    <row r="537" spans="1:5" ht="15.75" customHeight="1" x14ac:dyDescent="0.4">
      <c r="A537" s="38" t="str">
        <f ca="1">IFERROR(__xludf.DUMMYFUNCTION("""COMPUTED_VALUE"""),"gbterrorizer")</f>
        <v>gbterrorizer</v>
      </c>
      <c r="B537" s="38" t="str">
        <f ca="1">IFERROR(__xludf.DUMMYFUNCTION("""COMPUTED_VALUE"""),"Terrorizer")</f>
        <v>Terrorizer</v>
      </c>
      <c r="C537" s="39" t="str">
        <f ca="1">IFERROR(__xludf.DUMMYFUNCTION("""COMPUTED_VALUE"""),"Null")</f>
        <v>Null</v>
      </c>
      <c r="D537" s="39" t="str">
        <f ca="1">IFERROR(__xludf.DUMMYFUNCTION("""COMPUTED_VALUE"""),"VIP")</f>
        <v>VIP</v>
      </c>
      <c r="E537" s="41" t="str">
        <f ca="1">IFERROR(__xludf.DUMMYFUNCTION("""COMPUTED_VALUE"""),"https://docs.fivem.net/vehicles/gbterrorizer.webp")</f>
        <v>https://docs.fivem.net/vehicles/gbterrorizer.webp</v>
      </c>
    </row>
    <row r="538" spans="1:5" ht="15.75" customHeight="1" x14ac:dyDescent="0.4">
      <c r="A538" s="38" t="str">
        <f ca="1">IFERROR(__xludf.DUMMYFUNCTION("""COMPUTED_VALUE"""),"gbtr3s")</f>
        <v>gbtr3s</v>
      </c>
      <c r="B538" s="38" t="str">
        <f ca="1">IFERROR(__xludf.DUMMYFUNCTION("""COMPUTED_VALUE"""),"TR3S")</f>
        <v>TR3S</v>
      </c>
      <c r="C538" s="39" t="str">
        <f ca="1">IFERROR(__xludf.DUMMYFUNCTION("""COMPUTED_VALUE"""),"Null")</f>
        <v>Null</v>
      </c>
      <c r="D538" s="39" t="str">
        <f ca="1">IFERROR(__xludf.DUMMYFUNCTION("""COMPUTED_VALUE"""),"VIP")</f>
        <v>VIP</v>
      </c>
      <c r="E538" s="41" t="str">
        <f ca="1">IFERROR(__xludf.DUMMYFUNCTION("""COMPUTED_VALUE"""),"https://docs.fivem.net/vehicles/gbtr3s.webp")</f>
        <v>https://docs.fivem.net/vehicles/gbtr3s.webp</v>
      </c>
    </row>
    <row r="539" spans="1:5" ht="15.75" customHeight="1" x14ac:dyDescent="0.4">
      <c r="A539" s="38" t="str">
        <f ca="1">IFERROR(__xludf.DUMMYFUNCTION("""COMPUTED_VALUE"""),"gbturismogts")</f>
        <v>gbturismogts</v>
      </c>
      <c r="B539" s="38" t="str">
        <f ca="1">IFERROR(__xludf.DUMMYFUNCTION("""COMPUTED_VALUE"""),"Turismo GTS")</f>
        <v>Turismo GTS</v>
      </c>
      <c r="C539" s="39" t="str">
        <f ca="1">IFERROR(__xludf.DUMMYFUNCTION("""COMPUTED_VALUE"""),"Null")</f>
        <v>Null</v>
      </c>
      <c r="D539" s="39" t="str">
        <f ca="1">IFERROR(__xludf.DUMMYFUNCTION("""COMPUTED_VALUE"""),"VIP")</f>
        <v>VIP</v>
      </c>
      <c r="E539" s="41" t="str">
        <f ca="1">IFERROR(__xludf.DUMMYFUNCTION("""COMPUTED_VALUE"""),"https://docs.fivem.net/vehicles/gbturismogts.webp")</f>
        <v>https://docs.fivem.net/vehicles/gbturismogts.webp</v>
      </c>
    </row>
    <row r="540" spans="1:5" ht="15.75" customHeight="1" x14ac:dyDescent="0.4">
      <c r="A540" s="38" t="str">
        <f ca="1">IFERROR(__xludf.DUMMYFUNCTION("""COMPUTED_VALUE"""),"gbvivant")</f>
        <v>gbvivant</v>
      </c>
      <c r="B540" s="38" t="str">
        <f ca="1">IFERROR(__xludf.DUMMYFUNCTION("""COMPUTED_VALUE"""),"Vivant")</f>
        <v>Vivant</v>
      </c>
      <c r="C540" s="39" t="str">
        <f ca="1">IFERROR(__xludf.DUMMYFUNCTION("""COMPUTED_VALUE"""),"Null")</f>
        <v>Null</v>
      </c>
      <c r="D540" s="39" t="str">
        <f ca="1">IFERROR(__xludf.DUMMYFUNCTION("""COMPUTED_VALUE"""),"VIP")</f>
        <v>VIP</v>
      </c>
      <c r="E540" s="41" t="str">
        <f ca="1">IFERROR(__xludf.DUMMYFUNCTION("""COMPUTED_VALUE"""),"https://docs.fivem.net/vehicles/gbvivant.webp")</f>
        <v>https://docs.fivem.net/vehicles/gbvivant.webp</v>
      </c>
    </row>
    <row r="541" spans="1:5" ht="15.75" customHeight="1" x14ac:dyDescent="0.4">
      <c r="A541" s="38" t="str">
        <f ca="1">IFERROR(__xludf.DUMMYFUNCTION("""COMPUTED_VALUE"""),"gbvivantgrb")</f>
        <v>gbvivantgrb</v>
      </c>
      <c r="B541" s="38" t="str">
        <f ca="1">IFERROR(__xludf.DUMMYFUNCTION("""COMPUTED_VALUE"""),"Vivant GRB")</f>
        <v>Vivant GRB</v>
      </c>
      <c r="C541" s="39" t="str">
        <f ca="1">IFERROR(__xludf.DUMMYFUNCTION("""COMPUTED_VALUE"""),"Null")</f>
        <v>Null</v>
      </c>
      <c r="D541" s="39" t="str">
        <f ca="1">IFERROR(__xludf.DUMMYFUNCTION("""COMPUTED_VALUE"""),"VIP")</f>
        <v>VIP</v>
      </c>
      <c r="E541" s="41" t="str">
        <f ca="1">IFERROR(__xludf.DUMMYFUNCTION("""COMPUTED_VALUE"""),"https://docs.fivem.net/vehicles/gbvivantgrb.webp")</f>
        <v>https://docs.fivem.net/vehicles/gbvivantgrb.webp</v>
      </c>
    </row>
    <row r="542" spans="1:5" ht="15.75" customHeight="1" x14ac:dyDescent="0.4">
      <c r="A542" s="38" t="str">
        <f ca="1">IFERROR(__xludf.DUMMYFUNCTION("""COMPUTED_VALUE"""),"ixr")</f>
        <v>ixr</v>
      </c>
      <c r="B542" s="38" t="str">
        <f ca="1">IFERROR(__xludf.DUMMYFUNCTION("""COMPUTED_VALUE"""),"IXR")</f>
        <v>IXR</v>
      </c>
      <c r="C542" s="39" t="str">
        <f ca="1">IFERROR(__xludf.DUMMYFUNCTION("""COMPUTED_VALUE"""),"Null")</f>
        <v>Null</v>
      </c>
      <c r="D542" s="39" t="str">
        <f ca="1">IFERROR(__xludf.DUMMYFUNCTION("""COMPUTED_VALUE"""),"VIP")</f>
        <v>VIP</v>
      </c>
      <c r="E542" s="41" t="str">
        <f ca="1">IFERROR(__xludf.DUMMYFUNCTION("""COMPUTED_VALUE"""),"https://docs.fivem.net/vehicles/ixr.webp")</f>
        <v>https://docs.fivem.net/vehicles/ixr.webp</v>
      </c>
    </row>
    <row r="543" spans="1:5" ht="15.75" customHeight="1" x14ac:dyDescent="0.4">
      <c r="A543" s="38" t="str">
        <f ca="1">IFERROR(__xludf.DUMMYFUNCTION("""COMPUTED_VALUE"""),"obeysport")</f>
        <v>obeysport</v>
      </c>
      <c r="B543" s="38" t="str">
        <f ca="1">IFERROR(__xludf.DUMMYFUNCTION("""COMPUTED_VALUE"""),"Obey Sport GT")</f>
        <v>Obey Sport GT</v>
      </c>
      <c r="C543" s="39" t="str">
        <f ca="1">IFERROR(__xludf.DUMMYFUNCTION("""COMPUTED_VALUE"""),"Null")</f>
        <v>Null</v>
      </c>
      <c r="D543" s="39" t="str">
        <f ca="1">IFERROR(__xludf.DUMMYFUNCTION("""COMPUTED_VALUE"""),"VIP")</f>
        <v>VIP</v>
      </c>
      <c r="E543" s="41" t="str">
        <f ca="1">IFERROR(__xludf.DUMMYFUNCTION("""COMPUTED_VALUE"""),"https://docs.fivem.net/vehicles/obeysport.webp")</f>
        <v>https://docs.fivem.net/vehicles/obeysport.webp</v>
      </c>
    </row>
    <row r="544" spans="1:5" ht="15.75" customHeight="1" x14ac:dyDescent="0.4">
      <c r="A544" s="38" t="str">
        <f ca="1">IFERROR(__xludf.DUMMYFUNCTION("""COMPUTED_VALUE"""),"offzenith")</f>
        <v>offzenith</v>
      </c>
      <c r="B544" s="38" t="str">
        <f ca="1">IFERROR(__xludf.DUMMYFUNCTION("""COMPUTED_VALUE"""),"Zenith Offroad")</f>
        <v>Zenith Offroad</v>
      </c>
      <c r="C544" s="39" t="str">
        <f ca="1">IFERROR(__xludf.DUMMYFUNCTION("""COMPUTED_VALUE"""),"Null")</f>
        <v>Null</v>
      </c>
      <c r="D544" s="39" t="str">
        <f ca="1">IFERROR(__xludf.DUMMYFUNCTION("""COMPUTED_VALUE"""),"VIP")</f>
        <v>VIP</v>
      </c>
      <c r="E544" s="41" t="str">
        <f ca="1">IFERROR(__xludf.DUMMYFUNCTION("""COMPUTED_VALUE"""),"https://docs.fivem.net/vehicles/offzenith.webp")</f>
        <v>https://docs.fivem.net/vehicles/offzenith.webp</v>
      </c>
    </row>
    <row r="545" spans="1:5" ht="15.75" customHeight="1" x14ac:dyDescent="0.4">
      <c r="A545" s="38" t="str">
        <f ca="1">IFERROR(__xludf.DUMMYFUNCTION("""COMPUTED_VALUE"""),"revenant")</f>
        <v>revenant</v>
      </c>
      <c r="B545" s="38" t="str">
        <f ca="1">IFERROR(__xludf.DUMMYFUNCTION("""COMPUTED_VALUE"""),"revenant")</f>
        <v>revenant</v>
      </c>
      <c r="C545" s="39" t="str">
        <f ca="1">IFERROR(__xludf.DUMMYFUNCTION("""COMPUTED_VALUE"""),"Null")</f>
        <v>Null</v>
      </c>
      <c r="D545" s="39" t="str">
        <f ca="1">IFERROR(__xludf.DUMMYFUNCTION("""COMPUTED_VALUE"""),"VIP")</f>
        <v>VIP</v>
      </c>
      <c r="E545" s="41" t="str">
        <f ca="1">IFERROR(__xludf.DUMMYFUNCTION("""COMPUTED_VALUE"""),"https://docs.fivem.net/vehicles/revenant.webp")</f>
        <v>https://docs.fivem.net/vehicles/revenant.webp</v>
      </c>
    </row>
    <row r="546" spans="1:5" ht="15.75" customHeight="1" x14ac:dyDescent="0.4">
      <c r="A546" s="38" t="str">
        <f ca="1">IFERROR(__xludf.DUMMYFUNCTION("""COMPUTED_VALUE"""),"s790 ")</f>
        <v xml:space="preserve">s790 </v>
      </c>
      <c r="B546" s="38" t="str">
        <f ca="1">IFERROR(__xludf.DUMMYFUNCTION("""COMPUTED_VALUE"""),"s790  ")</f>
        <v xml:space="preserve">s790  </v>
      </c>
      <c r="C546" s="39" t="str">
        <f ca="1">IFERROR(__xludf.DUMMYFUNCTION("""COMPUTED_VALUE"""),"Null")</f>
        <v>Null</v>
      </c>
      <c r="D546" s="39" t="str">
        <f ca="1">IFERROR(__xludf.DUMMYFUNCTION("""COMPUTED_VALUE"""),"VIP")</f>
        <v>VIP</v>
      </c>
      <c r="E546" s="39" t="str">
        <f ca="1">IFERROR(__xludf.DUMMYFUNCTION("""COMPUTED_VALUE"""),"https://docs.fivem.net/vehicles/s790 .webp")</f>
        <v>https://docs.fivem.net/vehicles/s790 .webp</v>
      </c>
    </row>
    <row r="547" spans="1:5" ht="15.75" customHeight="1" x14ac:dyDescent="0.4">
      <c r="A547" s="38" t="str">
        <f ca="1">IFERROR(__xludf.DUMMYFUNCTION("""COMPUTED_VALUE"""),"s790anim")</f>
        <v>s790anim</v>
      </c>
      <c r="B547" s="38" t="str">
        <f ca="1">IFERROR(__xludf.DUMMYFUNCTION("""COMPUTED_VALUE"""),"S790 Animated")</f>
        <v>S790 Animated</v>
      </c>
      <c r="C547" s="39" t="str">
        <f ca="1">IFERROR(__xludf.DUMMYFUNCTION("""COMPUTED_VALUE"""),"Null")</f>
        <v>Null</v>
      </c>
      <c r="D547" s="39" t="str">
        <f ca="1">IFERROR(__xludf.DUMMYFUNCTION("""COMPUTED_VALUE"""),"VIP")</f>
        <v>VIP</v>
      </c>
      <c r="E547" s="41" t="str">
        <f ca="1">IFERROR(__xludf.DUMMYFUNCTION("""COMPUTED_VALUE"""),"https://docs.fivem.net/vehicles/s790anim.webp")</f>
        <v>https://docs.fivem.net/vehicles/s790anim.webp</v>
      </c>
    </row>
    <row r="548" spans="1:5" ht="15.75" customHeight="1" x14ac:dyDescent="0.4">
      <c r="A548" s="38" t="str">
        <f ca="1">IFERROR(__xludf.DUMMYFUNCTION("""COMPUTED_VALUE"""),"terminator")</f>
        <v>terminator</v>
      </c>
      <c r="B548" s="38" t="str">
        <f ca="1">IFERROR(__xludf.DUMMYFUNCTION("""COMPUTED_VALUE"""),"Terminator")</f>
        <v>Terminator</v>
      </c>
      <c r="C548" s="39" t="str">
        <f ca="1">IFERROR(__xludf.DUMMYFUNCTION("""COMPUTED_VALUE"""),"Null")</f>
        <v>Null</v>
      </c>
      <c r="D548" s="39" t="str">
        <f ca="1">IFERROR(__xludf.DUMMYFUNCTION("""COMPUTED_VALUE"""),"VIP")</f>
        <v>VIP</v>
      </c>
      <c r="E548" s="41" t="str">
        <f ca="1">IFERROR(__xludf.DUMMYFUNCTION("""COMPUTED_VALUE"""),"https://docs.fivem.net/vehicles/terminator.webp")</f>
        <v>https://docs.fivem.net/vehicles/terminator.webp</v>
      </c>
    </row>
    <row r="549" spans="1:5" ht="15.75" customHeight="1" x14ac:dyDescent="0.4">
      <c r="A549" s="38" t="str">
        <f ca="1">IFERROR(__xludf.DUMMYFUNCTION("""COMPUTED_VALUE"""),"toroslxstance")</f>
        <v>toroslxstance</v>
      </c>
      <c r="B549" s="38" t="str">
        <f ca="1">IFERROR(__xludf.DUMMYFUNCTION("""COMPUTED_VALUE"""),"Toros LX Stance")</f>
        <v>Toros LX Stance</v>
      </c>
      <c r="C549" s="39" t="str">
        <f ca="1">IFERROR(__xludf.DUMMYFUNCTION("""COMPUTED_VALUE"""),"Null")</f>
        <v>Null</v>
      </c>
      <c r="D549" s="39" t="str">
        <f ca="1">IFERROR(__xludf.DUMMYFUNCTION("""COMPUTED_VALUE"""),"VIP")</f>
        <v>VIP</v>
      </c>
      <c r="E549" s="41" t="str">
        <f ca="1">IFERROR(__xludf.DUMMYFUNCTION("""COMPUTED_VALUE"""),"https://docs.fivem.net/vehicles/toroslxstance.webp")</f>
        <v>https://docs.fivem.net/vehicles/toroslxstance.webp</v>
      </c>
    </row>
    <row r="550" spans="1:5" ht="15.75" customHeight="1" x14ac:dyDescent="0.4">
      <c r="A550" s="38" t="str">
        <f ca="1">IFERROR(__xludf.DUMMYFUNCTION("""COMPUTED_VALUE"""),"zenith")</f>
        <v>zenith</v>
      </c>
      <c r="B550" s="38" t="str">
        <f ca="1">IFERROR(__xludf.DUMMYFUNCTION("""COMPUTED_VALUE"""),"Benefactor Zenith")</f>
        <v>Benefactor Zenith</v>
      </c>
      <c r="C550" s="39" t="str">
        <f ca="1">IFERROR(__xludf.DUMMYFUNCTION("""COMPUTED_VALUE"""),"Null")</f>
        <v>Null</v>
      </c>
      <c r="D550" s="39" t="str">
        <f ca="1">IFERROR(__xludf.DUMMYFUNCTION("""COMPUTED_VALUE"""),"VIP")</f>
        <v>VIP</v>
      </c>
      <c r="E550" s="41" t="str">
        <f ca="1">IFERROR(__xludf.DUMMYFUNCTION("""COMPUTED_VALUE"""),"https://docs.fivem.net/vehicles/zenith.webp")</f>
        <v>https://docs.fivem.net/vehicles/zenith.webp</v>
      </c>
    </row>
    <row r="551" spans="1:5" ht="15.75" customHeight="1" x14ac:dyDescent="0.4">
      <c r="A551" s="38" t="str">
        <f ca="1">IFERROR(__xludf.DUMMYFUNCTION("""COMPUTED_VALUE"""),"zr6gt")</f>
        <v>zr6gt</v>
      </c>
      <c r="B551" s="38" t="str">
        <f ca="1">IFERROR(__xludf.DUMMYFUNCTION("""COMPUTED_VALUE"""),"ZR6 GT")</f>
        <v>ZR6 GT</v>
      </c>
      <c r="C551" s="39" t="str">
        <f ca="1">IFERROR(__xludf.DUMMYFUNCTION("""COMPUTED_VALUE"""),"Null")</f>
        <v>Null</v>
      </c>
      <c r="D551" s="39" t="str">
        <f ca="1">IFERROR(__xludf.DUMMYFUNCTION("""COMPUTED_VALUE"""),"VIP")</f>
        <v>VIP</v>
      </c>
      <c r="E551" s="41" t="str">
        <f ca="1">IFERROR(__xludf.DUMMYFUNCTION("""COMPUTED_VALUE"""),"https://docs.fivem.net/vehicles/zr6gt.webp")</f>
        <v>https://docs.fivem.net/vehicles/zr6gt.webp</v>
      </c>
    </row>
    <row r="552" spans="1:5" ht="15.75" customHeight="1" x14ac:dyDescent="0.4">
      <c r="A552" s="38"/>
      <c r="B552" s="38"/>
      <c r="C552" s="39"/>
      <c r="D552" s="39"/>
      <c r="E552" s="39"/>
    </row>
    <row r="553" spans="1:5" ht="15.75" customHeight="1" x14ac:dyDescent="0.4">
      <c r="A553" s="38"/>
      <c r="B553" s="38"/>
      <c r="C553" s="39"/>
      <c r="D553" s="39"/>
      <c r="E553" s="39"/>
    </row>
    <row r="554" spans="1:5" ht="15.75" customHeight="1" x14ac:dyDescent="0.4">
      <c r="A554" s="38"/>
      <c r="B554" s="38"/>
      <c r="C554" s="39"/>
      <c r="D554" s="39"/>
      <c r="E554" s="39"/>
    </row>
    <row r="555" spans="1:5" ht="15.75" customHeight="1" x14ac:dyDescent="0.4">
      <c r="A555" s="38"/>
      <c r="B555" s="38"/>
      <c r="C555" s="39"/>
      <c r="D555" s="39"/>
      <c r="E555" s="39"/>
    </row>
    <row r="556" spans="1:5" ht="15.75" customHeight="1" x14ac:dyDescent="0.4">
      <c r="A556" s="38"/>
      <c r="B556" s="38"/>
      <c r="C556" s="39"/>
      <c r="D556" s="39"/>
      <c r="E556" s="39"/>
    </row>
    <row r="557" spans="1:5" ht="15.75" customHeight="1" x14ac:dyDescent="0.4">
      <c r="A557" s="38"/>
      <c r="B557" s="38"/>
      <c r="C557" s="39"/>
      <c r="D557" s="39"/>
      <c r="E557" s="39"/>
    </row>
    <row r="558" spans="1:5" ht="15.75" customHeight="1" x14ac:dyDescent="0.4">
      <c r="A558" s="38"/>
      <c r="B558" s="38"/>
      <c r="C558" s="39"/>
      <c r="D558" s="39"/>
      <c r="E558" s="39"/>
    </row>
    <row r="559" spans="1:5" ht="15.75" customHeight="1" x14ac:dyDescent="0.4">
      <c r="A559" s="38"/>
      <c r="B559" s="38"/>
      <c r="C559" s="39"/>
      <c r="D559" s="39"/>
      <c r="E559" s="39"/>
    </row>
    <row r="560" spans="1:5" ht="15.75" customHeight="1" x14ac:dyDescent="0.4">
      <c r="A560" s="38"/>
      <c r="B560" s="38"/>
      <c r="C560" s="39"/>
      <c r="D560" s="39"/>
      <c r="E560" s="39"/>
    </row>
    <row r="561" spans="1:5" ht="15.75" customHeight="1" x14ac:dyDescent="0.4">
      <c r="A561" s="38"/>
      <c r="B561" s="38"/>
      <c r="C561" s="39"/>
      <c r="D561" s="39"/>
      <c r="E561" s="39"/>
    </row>
    <row r="562" spans="1:5" ht="15.75" customHeight="1" x14ac:dyDescent="0.4">
      <c r="A562" s="38"/>
      <c r="B562" s="38"/>
      <c r="C562" s="39"/>
      <c r="D562" s="39"/>
      <c r="E562" s="39"/>
    </row>
    <row r="563" spans="1:5" ht="15.75" customHeight="1" x14ac:dyDescent="0.4">
      <c r="A563" s="38"/>
      <c r="B563" s="38"/>
      <c r="C563" s="39"/>
      <c r="D563" s="39"/>
      <c r="E563" s="39"/>
    </row>
    <row r="564" spans="1:5" ht="15.75" customHeight="1" x14ac:dyDescent="0.4">
      <c r="A564" s="38"/>
      <c r="B564" s="38"/>
      <c r="C564" s="39"/>
      <c r="D564" s="39"/>
      <c r="E564" s="39"/>
    </row>
    <row r="565" spans="1:5" ht="15.75" customHeight="1" x14ac:dyDescent="0.4">
      <c r="A565" s="38"/>
      <c r="B565" s="38"/>
      <c r="C565" s="39"/>
      <c r="D565" s="39"/>
      <c r="E565" s="39"/>
    </row>
    <row r="566" spans="1:5" ht="15.75" customHeight="1" x14ac:dyDescent="0.4">
      <c r="A566" s="38"/>
      <c r="B566" s="38"/>
      <c r="C566" s="39"/>
      <c r="D566" s="39"/>
      <c r="E566" s="39"/>
    </row>
    <row r="567" spans="1:5" ht="15.75" customHeight="1" x14ac:dyDescent="0.4">
      <c r="A567" s="38"/>
      <c r="B567" s="38"/>
      <c r="C567" s="39"/>
      <c r="D567" s="39"/>
      <c r="E567" s="39"/>
    </row>
    <row r="568" spans="1:5" ht="15.75" customHeight="1" x14ac:dyDescent="0.4">
      <c r="A568" s="38"/>
      <c r="B568" s="38"/>
      <c r="C568" s="39"/>
      <c r="D568" s="39"/>
      <c r="E568" s="39"/>
    </row>
    <row r="569" spans="1:5" ht="15.75" customHeight="1" x14ac:dyDescent="0.4">
      <c r="A569" s="38"/>
      <c r="B569" s="38"/>
      <c r="C569" s="39"/>
      <c r="D569" s="39"/>
      <c r="E569" s="39"/>
    </row>
    <row r="570" spans="1:5" ht="15.75" customHeight="1" x14ac:dyDescent="0.4">
      <c r="A570" s="38"/>
      <c r="B570" s="38"/>
      <c r="C570" s="39"/>
      <c r="D570" s="39"/>
      <c r="E570" s="39"/>
    </row>
    <row r="571" spans="1:5" ht="15.75" customHeight="1" x14ac:dyDescent="0.4">
      <c r="A571" s="38"/>
      <c r="B571" s="38"/>
      <c r="C571" s="39"/>
      <c r="D571" s="39"/>
      <c r="E571" s="39"/>
    </row>
    <row r="572" spans="1:5" ht="15.75" customHeight="1" x14ac:dyDescent="0.4">
      <c r="A572" s="38"/>
      <c r="B572" s="38"/>
      <c r="C572" s="39"/>
      <c r="D572" s="39"/>
      <c r="E572" s="39"/>
    </row>
    <row r="573" spans="1:5" ht="15.75" customHeight="1" x14ac:dyDescent="0.4">
      <c r="A573" s="38"/>
      <c r="B573" s="38"/>
      <c r="C573" s="39"/>
      <c r="D573" s="39"/>
      <c r="E573" s="39"/>
    </row>
    <row r="574" spans="1:5" ht="15.75" customHeight="1" x14ac:dyDescent="0.4">
      <c r="A574" s="38"/>
      <c r="B574" s="38"/>
      <c r="C574" s="39"/>
      <c r="D574" s="39"/>
      <c r="E574" s="39"/>
    </row>
    <row r="575" spans="1:5" ht="15.75" customHeight="1" x14ac:dyDescent="0.4">
      <c r="A575" s="38"/>
      <c r="B575" s="38"/>
      <c r="C575" s="39"/>
      <c r="D575" s="39"/>
      <c r="E575" s="39"/>
    </row>
    <row r="576" spans="1:5" ht="15.75" customHeight="1" x14ac:dyDescent="0.4">
      <c r="A576" s="38"/>
      <c r="B576" s="38"/>
      <c r="C576" s="39"/>
      <c r="D576" s="39"/>
      <c r="E576" s="39"/>
    </row>
    <row r="577" spans="1:5" ht="15.75" customHeight="1" x14ac:dyDescent="0.4">
      <c r="A577" s="38"/>
      <c r="B577" s="38"/>
      <c r="C577" s="39"/>
      <c r="D577" s="39"/>
      <c r="E577" s="39"/>
    </row>
    <row r="578" spans="1:5" ht="15.75" customHeight="1" x14ac:dyDescent="0.4">
      <c r="A578" s="38"/>
      <c r="B578" s="38"/>
      <c r="C578" s="39"/>
      <c r="D578" s="39"/>
      <c r="E578" s="39"/>
    </row>
    <row r="579" spans="1:5" ht="15.75" customHeight="1" x14ac:dyDescent="0.4">
      <c r="A579" s="38"/>
      <c r="B579" s="38"/>
      <c r="C579" s="39"/>
      <c r="D579" s="39"/>
      <c r="E579" s="39"/>
    </row>
    <row r="580" spans="1:5" ht="15.75" customHeight="1" x14ac:dyDescent="0.4">
      <c r="A580" s="38"/>
      <c r="B580" s="38"/>
      <c r="C580" s="39"/>
      <c r="D580" s="39"/>
      <c r="E580" s="39"/>
    </row>
    <row r="581" spans="1:5" ht="15.75" customHeight="1" x14ac:dyDescent="0.4">
      <c r="A581" s="38"/>
      <c r="B581" s="38"/>
      <c r="C581" s="39"/>
      <c r="D581" s="39"/>
      <c r="E581" s="39"/>
    </row>
    <row r="582" spans="1:5" ht="15.75" customHeight="1" x14ac:dyDescent="0.4">
      <c r="A582" s="38"/>
      <c r="B582" s="38"/>
      <c r="C582" s="39"/>
      <c r="D582" s="39"/>
      <c r="E582" s="39"/>
    </row>
    <row r="583" spans="1:5" ht="15.75" customHeight="1" x14ac:dyDescent="0.4">
      <c r="A583" s="38"/>
      <c r="B583" s="38"/>
      <c r="C583" s="39"/>
      <c r="D583" s="39"/>
      <c r="E583" s="39"/>
    </row>
    <row r="584" spans="1:5" ht="15.75" customHeight="1" x14ac:dyDescent="0.4">
      <c r="A584" s="38"/>
      <c r="B584" s="38"/>
      <c r="C584" s="39"/>
      <c r="D584" s="39"/>
      <c r="E584" s="39"/>
    </row>
    <row r="585" spans="1:5" ht="15.75" customHeight="1" x14ac:dyDescent="0.4">
      <c r="A585" s="38"/>
      <c r="B585" s="38"/>
      <c r="C585" s="39"/>
      <c r="D585" s="39"/>
      <c r="E585" s="39"/>
    </row>
    <row r="586" spans="1:5" ht="15.75" customHeight="1" x14ac:dyDescent="0.4">
      <c r="A586" s="38"/>
      <c r="B586" s="38"/>
      <c r="C586" s="39"/>
      <c r="D586" s="39"/>
      <c r="E586" s="39"/>
    </row>
    <row r="587" spans="1:5" ht="15.75" customHeight="1" x14ac:dyDescent="0.4">
      <c r="A587" s="38"/>
      <c r="B587" s="38"/>
      <c r="C587" s="39"/>
      <c r="D587" s="39"/>
      <c r="E587" s="39"/>
    </row>
    <row r="588" spans="1:5" ht="15.75" customHeight="1" x14ac:dyDescent="0.4">
      <c r="A588" s="38"/>
      <c r="B588" s="38"/>
      <c r="C588" s="39"/>
      <c r="D588" s="39"/>
      <c r="E588" s="39"/>
    </row>
    <row r="589" spans="1:5" ht="15.75" customHeight="1" x14ac:dyDescent="0.4">
      <c r="A589" s="38"/>
      <c r="B589" s="38"/>
      <c r="C589" s="39"/>
      <c r="D589" s="39"/>
      <c r="E589" s="39"/>
    </row>
    <row r="590" spans="1:5" ht="15.75" customHeight="1" x14ac:dyDescent="0.4">
      <c r="A590" s="38"/>
      <c r="B590" s="38"/>
      <c r="C590" s="39"/>
      <c r="D590" s="39"/>
      <c r="E590" s="39"/>
    </row>
    <row r="591" spans="1:5" ht="15.75" customHeight="1" x14ac:dyDescent="0.4">
      <c r="A591" s="38"/>
      <c r="B591" s="38"/>
      <c r="C591" s="39"/>
      <c r="D591" s="39"/>
      <c r="E591" s="39"/>
    </row>
    <row r="592" spans="1:5" ht="15.75" customHeight="1" x14ac:dyDescent="0.4">
      <c r="A592" s="38"/>
      <c r="B592" s="38"/>
      <c r="C592" s="39"/>
      <c r="D592" s="39"/>
      <c r="E592" s="39"/>
    </row>
    <row r="593" spans="1:5" ht="15.75" customHeight="1" x14ac:dyDescent="0.4">
      <c r="A593" s="38"/>
      <c r="B593" s="38"/>
      <c r="C593" s="39"/>
      <c r="D593" s="39"/>
      <c r="E593" s="39"/>
    </row>
    <row r="594" spans="1:5" ht="15.75" customHeight="1" x14ac:dyDescent="0.4">
      <c r="A594" s="38"/>
      <c r="B594" s="38"/>
      <c r="C594" s="39"/>
      <c r="D594" s="39"/>
      <c r="E594" s="39"/>
    </row>
    <row r="595" spans="1:5" ht="15.75" customHeight="1" x14ac:dyDescent="0.4">
      <c r="A595" s="38"/>
      <c r="B595" s="38"/>
      <c r="C595" s="39"/>
      <c r="D595" s="39"/>
      <c r="E595" s="39"/>
    </row>
    <row r="596" spans="1:5" ht="15.75" customHeight="1" x14ac:dyDescent="0.4">
      <c r="A596" s="38"/>
      <c r="B596" s="38"/>
      <c r="C596" s="39"/>
      <c r="D596" s="39"/>
      <c r="E596" s="39"/>
    </row>
    <row r="597" spans="1:5" ht="15.75" customHeight="1" x14ac:dyDescent="0.4">
      <c r="A597" s="38"/>
      <c r="B597" s="38"/>
      <c r="C597" s="39"/>
      <c r="D597" s="39"/>
      <c r="E597" s="39"/>
    </row>
    <row r="598" spans="1:5" ht="15.75" customHeight="1" x14ac:dyDescent="0.4">
      <c r="A598" s="38"/>
      <c r="B598" s="38"/>
      <c r="C598" s="39"/>
      <c r="D598" s="39"/>
      <c r="E598" s="39"/>
    </row>
    <row r="599" spans="1:5" ht="15.75" customHeight="1" x14ac:dyDescent="0.4">
      <c r="A599" s="38"/>
      <c r="B599" s="38"/>
      <c r="C599" s="39"/>
      <c r="D599" s="39"/>
      <c r="E599" s="39"/>
    </row>
    <row r="600" spans="1:5" ht="15.75" customHeight="1" x14ac:dyDescent="0.4">
      <c r="A600" s="38"/>
      <c r="B600" s="38"/>
      <c r="C600" s="39"/>
      <c r="D600" s="39"/>
      <c r="E600" s="39"/>
    </row>
    <row r="601" spans="1:5" ht="15.75" customHeight="1" x14ac:dyDescent="0.4">
      <c r="A601" s="38"/>
      <c r="B601" s="38"/>
      <c r="C601" s="39"/>
      <c r="D601" s="39"/>
      <c r="E601" s="39"/>
    </row>
    <row r="602" spans="1:5" ht="15.75" customHeight="1" x14ac:dyDescent="0.4">
      <c r="A602" s="38"/>
      <c r="B602" s="38"/>
      <c r="C602" s="39"/>
      <c r="D602" s="39"/>
      <c r="E602" s="39"/>
    </row>
    <row r="603" spans="1:5" ht="15.75" customHeight="1" x14ac:dyDescent="0.4">
      <c r="A603" s="38"/>
      <c r="B603" s="38"/>
      <c r="C603" s="39"/>
      <c r="D603" s="39"/>
      <c r="E603" s="39"/>
    </row>
    <row r="604" spans="1:5" ht="15.75" customHeight="1" x14ac:dyDescent="0.4">
      <c r="A604" s="38"/>
      <c r="B604" s="38"/>
      <c r="C604" s="39"/>
      <c r="D604" s="39"/>
      <c r="E604" s="39"/>
    </row>
    <row r="605" spans="1:5" ht="15.75" customHeight="1" x14ac:dyDescent="0.4">
      <c r="A605" s="38"/>
      <c r="B605" s="38"/>
      <c r="C605" s="39"/>
      <c r="D605" s="39"/>
      <c r="E605" s="39"/>
    </row>
    <row r="606" spans="1:5" ht="15.75" customHeight="1" x14ac:dyDescent="0.4">
      <c r="A606" s="38"/>
      <c r="B606" s="38"/>
      <c r="C606" s="39"/>
      <c r="D606" s="39"/>
      <c r="E606" s="39"/>
    </row>
    <row r="607" spans="1:5" ht="15.75" customHeight="1" x14ac:dyDescent="0.4">
      <c r="A607" s="38"/>
      <c r="B607" s="38"/>
      <c r="C607" s="39"/>
      <c r="D607" s="39"/>
      <c r="E607" s="39"/>
    </row>
    <row r="608" spans="1:5" ht="15.75" customHeight="1" x14ac:dyDescent="0.4">
      <c r="A608" s="38"/>
      <c r="B608" s="38"/>
      <c r="C608" s="39"/>
      <c r="D608" s="39"/>
      <c r="E608" s="39"/>
    </row>
    <row r="609" spans="1:5" ht="15.75" customHeight="1" x14ac:dyDescent="0.4">
      <c r="A609" s="38"/>
      <c r="B609" s="38"/>
      <c r="C609" s="39"/>
      <c r="D609" s="39"/>
      <c r="E609" s="39"/>
    </row>
    <row r="610" spans="1:5" ht="15.75" customHeight="1" x14ac:dyDescent="0.4">
      <c r="A610" s="38"/>
      <c r="B610" s="38"/>
      <c r="C610" s="39"/>
      <c r="D610" s="39"/>
      <c r="E610" s="39"/>
    </row>
    <row r="611" spans="1:5" ht="15.75" customHeight="1" x14ac:dyDescent="0.4">
      <c r="A611" s="38"/>
      <c r="B611" s="38"/>
      <c r="C611" s="39"/>
      <c r="D611" s="39"/>
      <c r="E611" s="39"/>
    </row>
    <row r="612" spans="1:5" ht="15.75" customHeight="1" x14ac:dyDescent="0.4">
      <c r="A612" s="38"/>
      <c r="B612" s="38"/>
      <c r="C612" s="39"/>
      <c r="D612" s="39"/>
      <c r="E612" s="39"/>
    </row>
    <row r="613" spans="1:5" ht="15.75" customHeight="1" x14ac:dyDescent="0.4">
      <c r="A613" s="38"/>
      <c r="B613" s="38"/>
      <c r="C613" s="39"/>
      <c r="D613" s="39"/>
      <c r="E613" s="39"/>
    </row>
    <row r="614" spans="1:5" ht="15.75" customHeight="1" x14ac:dyDescent="0.4">
      <c r="A614" s="38"/>
      <c r="B614" s="38"/>
      <c r="C614" s="39"/>
      <c r="D614" s="39"/>
      <c r="E614" s="39"/>
    </row>
    <row r="615" spans="1:5" ht="15.75" customHeight="1" x14ac:dyDescent="0.4">
      <c r="A615" s="38"/>
      <c r="B615" s="38"/>
      <c r="C615" s="39"/>
      <c r="D615" s="39"/>
      <c r="E615" s="39"/>
    </row>
    <row r="616" spans="1:5" ht="15.75" customHeight="1" x14ac:dyDescent="0.4">
      <c r="A616" s="38"/>
      <c r="B616" s="38"/>
      <c r="C616" s="39"/>
      <c r="D616" s="39"/>
      <c r="E616" s="39"/>
    </row>
    <row r="617" spans="1:5" ht="15.75" customHeight="1" x14ac:dyDescent="0.4">
      <c r="A617" s="38"/>
      <c r="B617" s="38"/>
      <c r="C617" s="39"/>
      <c r="D617" s="39"/>
      <c r="E617" s="39"/>
    </row>
    <row r="618" spans="1:5" ht="15.75" customHeight="1" x14ac:dyDescent="0.4">
      <c r="A618" s="38"/>
      <c r="B618" s="38"/>
      <c r="C618" s="39"/>
      <c r="D618" s="39"/>
      <c r="E618" s="39"/>
    </row>
    <row r="619" spans="1:5" ht="15.75" customHeight="1" x14ac:dyDescent="0.4">
      <c r="A619" s="38"/>
      <c r="B619" s="38"/>
      <c r="C619" s="39"/>
      <c r="D619" s="39"/>
      <c r="E619" s="39"/>
    </row>
    <row r="620" spans="1:5" ht="15.75" customHeight="1" x14ac:dyDescent="0.4">
      <c r="A620" s="38"/>
      <c r="B620" s="38"/>
      <c r="C620" s="39"/>
      <c r="D620" s="39"/>
      <c r="E620" s="39"/>
    </row>
    <row r="621" spans="1:5" ht="15.75" customHeight="1" x14ac:dyDescent="0.4">
      <c r="A621" s="38"/>
      <c r="B621" s="38"/>
      <c r="C621" s="39"/>
      <c r="D621" s="39"/>
      <c r="E621" s="39"/>
    </row>
    <row r="622" spans="1:5" ht="15.75" customHeight="1" x14ac:dyDescent="0.4">
      <c r="A622" s="38"/>
      <c r="B622" s="38"/>
      <c r="C622" s="39"/>
      <c r="D622" s="39"/>
      <c r="E622" s="39"/>
    </row>
    <row r="623" spans="1:5" ht="15.75" customHeight="1" x14ac:dyDescent="0.4">
      <c r="A623" s="38"/>
      <c r="B623" s="38"/>
      <c r="C623" s="39"/>
      <c r="D623" s="39"/>
      <c r="E623" s="39"/>
    </row>
    <row r="624" spans="1:5" ht="15.75" customHeight="1" x14ac:dyDescent="0.4">
      <c r="A624" s="38"/>
      <c r="B624" s="38"/>
      <c r="C624" s="39"/>
      <c r="D624" s="39"/>
      <c r="E624" s="39"/>
    </row>
    <row r="625" spans="1:5" ht="15.75" customHeight="1" x14ac:dyDescent="0.4">
      <c r="A625" s="38"/>
      <c r="B625" s="38"/>
      <c r="C625" s="39"/>
      <c r="D625" s="39"/>
      <c r="E625" s="39"/>
    </row>
    <row r="626" spans="1:5" ht="15.75" customHeight="1" x14ac:dyDescent="0.4">
      <c r="A626" s="38"/>
      <c r="B626" s="38"/>
      <c r="C626" s="39"/>
      <c r="D626" s="39"/>
      <c r="E626" s="39"/>
    </row>
    <row r="627" spans="1:5" ht="15.75" customHeight="1" x14ac:dyDescent="0.4">
      <c r="A627" s="38"/>
      <c r="B627" s="38"/>
      <c r="C627" s="39"/>
      <c r="D627" s="39"/>
      <c r="E627" s="39"/>
    </row>
    <row r="628" spans="1:5" ht="15.75" customHeight="1" x14ac:dyDescent="0.4">
      <c r="A628" s="38"/>
      <c r="B628" s="38"/>
      <c r="C628" s="39"/>
      <c r="D628" s="39"/>
      <c r="E628" s="39"/>
    </row>
    <row r="629" spans="1:5" ht="15.75" customHeight="1" x14ac:dyDescent="0.4">
      <c r="A629" s="38"/>
      <c r="B629" s="38"/>
      <c r="C629" s="39"/>
      <c r="D629" s="39"/>
      <c r="E629" s="39"/>
    </row>
    <row r="630" spans="1:5" ht="15.75" customHeight="1" x14ac:dyDescent="0.4">
      <c r="A630" s="38"/>
      <c r="B630" s="38"/>
      <c r="C630" s="39"/>
      <c r="D630" s="39"/>
      <c r="E630" s="39"/>
    </row>
    <row r="631" spans="1:5" ht="15.75" customHeight="1" x14ac:dyDescent="0.4">
      <c r="A631" s="38"/>
      <c r="B631" s="38"/>
      <c r="C631" s="39"/>
      <c r="D631" s="39"/>
      <c r="E631" s="39"/>
    </row>
    <row r="632" spans="1:5" ht="15.75" customHeight="1" x14ac:dyDescent="0.4">
      <c r="A632" s="38"/>
      <c r="B632" s="38"/>
      <c r="C632" s="39"/>
      <c r="D632" s="39"/>
      <c r="E632" s="39"/>
    </row>
    <row r="633" spans="1:5" ht="15.75" customHeight="1" x14ac:dyDescent="0.4">
      <c r="A633" s="38"/>
      <c r="B633" s="38"/>
      <c r="C633" s="39"/>
      <c r="D633" s="39"/>
      <c r="E633" s="39"/>
    </row>
    <row r="634" spans="1:5" ht="15.75" customHeight="1" x14ac:dyDescent="0.4">
      <c r="A634" s="38"/>
      <c r="B634" s="38"/>
      <c r="C634" s="39"/>
      <c r="D634" s="39"/>
      <c r="E634" s="39"/>
    </row>
    <row r="635" spans="1:5" ht="15.75" customHeight="1" x14ac:dyDescent="0.4">
      <c r="A635" s="38"/>
      <c r="B635" s="38"/>
      <c r="C635" s="39"/>
      <c r="D635" s="39"/>
      <c r="E635" s="39"/>
    </row>
    <row r="636" spans="1:5" ht="15.75" customHeight="1" x14ac:dyDescent="0.4">
      <c r="A636" s="38"/>
      <c r="B636" s="38"/>
      <c r="C636" s="39"/>
      <c r="D636" s="39"/>
      <c r="E636" s="39"/>
    </row>
    <row r="637" spans="1:5" ht="15.75" customHeight="1" x14ac:dyDescent="0.4">
      <c r="A637" s="38"/>
      <c r="B637" s="38"/>
      <c r="C637" s="39"/>
      <c r="D637" s="39"/>
      <c r="E637" s="39"/>
    </row>
    <row r="638" spans="1:5" ht="15.75" customHeight="1" x14ac:dyDescent="0.4">
      <c r="A638" s="38"/>
      <c r="B638" s="38"/>
      <c r="C638" s="39"/>
      <c r="D638" s="39"/>
      <c r="E638" s="39"/>
    </row>
    <row r="639" spans="1:5" ht="15.75" customHeight="1" x14ac:dyDescent="0.4">
      <c r="A639" s="38"/>
      <c r="B639" s="38"/>
      <c r="C639" s="39"/>
      <c r="D639" s="39"/>
      <c r="E639" s="39"/>
    </row>
    <row r="640" spans="1:5" ht="15.75" customHeight="1" x14ac:dyDescent="0.4">
      <c r="A640" s="38"/>
      <c r="B640" s="38"/>
      <c r="C640" s="39"/>
      <c r="D640" s="39"/>
      <c r="E640" s="39"/>
    </row>
    <row r="641" spans="1:5" ht="15.75" customHeight="1" x14ac:dyDescent="0.4">
      <c r="A641" s="38"/>
      <c r="B641" s="38"/>
      <c r="C641" s="39"/>
      <c r="D641" s="39"/>
      <c r="E641" s="39"/>
    </row>
    <row r="642" spans="1:5" ht="15.75" customHeight="1" x14ac:dyDescent="0.4">
      <c r="A642" s="38"/>
      <c r="B642" s="38"/>
      <c r="C642" s="39"/>
      <c r="D642" s="39"/>
      <c r="E642" s="39"/>
    </row>
    <row r="643" spans="1:5" ht="15.75" customHeight="1" x14ac:dyDescent="0.4">
      <c r="A643" s="38"/>
      <c r="B643" s="38"/>
      <c r="C643" s="39"/>
      <c r="D643" s="39"/>
      <c r="E643" s="39"/>
    </row>
    <row r="644" spans="1:5" ht="15.75" customHeight="1" x14ac:dyDescent="0.4">
      <c r="A644" s="38"/>
      <c r="B644" s="38"/>
      <c r="C644" s="39"/>
      <c r="D644" s="39"/>
      <c r="E644" s="39"/>
    </row>
    <row r="645" spans="1:5" ht="15.75" customHeight="1" x14ac:dyDescent="0.4">
      <c r="A645" s="38"/>
      <c r="B645" s="38"/>
      <c r="C645" s="39"/>
      <c r="D645" s="39"/>
      <c r="E645" s="39"/>
    </row>
    <row r="646" spans="1:5" ht="15.75" customHeight="1" x14ac:dyDescent="0.4">
      <c r="A646" s="38"/>
      <c r="B646" s="38"/>
      <c r="C646" s="39"/>
      <c r="D646" s="39"/>
      <c r="E646" s="39"/>
    </row>
    <row r="647" spans="1:5" ht="15.75" customHeight="1" x14ac:dyDescent="0.4">
      <c r="A647" s="38"/>
      <c r="B647" s="38"/>
      <c r="C647" s="39"/>
      <c r="D647" s="39"/>
      <c r="E647" s="39"/>
    </row>
    <row r="648" spans="1:5" ht="15.75" customHeight="1" x14ac:dyDescent="0.4">
      <c r="A648" s="38"/>
      <c r="B648" s="38"/>
      <c r="C648" s="39"/>
      <c r="D648" s="39"/>
      <c r="E648" s="39"/>
    </row>
    <row r="649" spans="1:5" ht="15.75" customHeight="1" x14ac:dyDescent="0.4">
      <c r="A649" s="38"/>
      <c r="B649" s="38"/>
      <c r="C649" s="39"/>
      <c r="D649" s="39"/>
      <c r="E649" s="39"/>
    </row>
    <row r="650" spans="1:5" ht="15.75" customHeight="1" x14ac:dyDescent="0.4">
      <c r="A650" s="38"/>
      <c r="B650" s="38"/>
      <c r="C650" s="39"/>
      <c r="D650" s="39"/>
      <c r="E650" s="39"/>
    </row>
    <row r="651" spans="1:5" ht="15.75" customHeight="1" x14ac:dyDescent="0.4">
      <c r="A651" s="38"/>
      <c r="B651" s="38"/>
      <c r="C651" s="39"/>
      <c r="D651" s="39"/>
      <c r="E651" s="39"/>
    </row>
    <row r="652" spans="1:5" ht="15.75" customHeight="1" x14ac:dyDescent="0.4">
      <c r="A652" s="38"/>
      <c r="B652" s="38"/>
      <c r="C652" s="39"/>
      <c r="D652" s="39"/>
      <c r="E652" s="39"/>
    </row>
    <row r="653" spans="1:5" ht="15.75" customHeight="1" x14ac:dyDescent="0.4">
      <c r="A653" s="38"/>
      <c r="B653" s="38"/>
      <c r="C653" s="39"/>
      <c r="D653" s="39"/>
      <c r="E653" s="39"/>
    </row>
    <row r="654" spans="1:5" ht="15.75" customHeight="1" x14ac:dyDescent="0.4">
      <c r="A654" s="38"/>
      <c r="B654" s="38"/>
      <c r="C654" s="39"/>
      <c r="D654" s="39"/>
      <c r="E654" s="39"/>
    </row>
    <row r="655" spans="1:5" ht="15.75" customHeight="1" x14ac:dyDescent="0.4">
      <c r="A655" s="38"/>
      <c r="B655" s="38"/>
      <c r="C655" s="39"/>
      <c r="D655" s="39"/>
      <c r="E655" s="39"/>
    </row>
    <row r="656" spans="1:5" ht="15.75" customHeight="1" x14ac:dyDescent="0.4">
      <c r="A656" s="38"/>
      <c r="B656" s="38"/>
      <c r="C656" s="39"/>
      <c r="D656" s="39"/>
      <c r="E656" s="39"/>
    </row>
    <row r="657" spans="1:5" ht="15.75" customHeight="1" x14ac:dyDescent="0.4">
      <c r="A657" s="38"/>
      <c r="B657" s="38"/>
      <c r="C657" s="39"/>
      <c r="D657" s="39"/>
      <c r="E657" s="39"/>
    </row>
    <row r="658" spans="1:5" ht="15.75" customHeight="1" x14ac:dyDescent="0.4">
      <c r="A658" s="38"/>
      <c r="B658" s="38"/>
      <c r="C658" s="39"/>
      <c r="D658" s="39"/>
      <c r="E658" s="39"/>
    </row>
    <row r="659" spans="1:5" ht="15.75" customHeight="1" x14ac:dyDescent="0.4">
      <c r="A659" s="38"/>
      <c r="B659" s="38"/>
      <c r="C659" s="39"/>
      <c r="D659" s="39"/>
      <c r="E659" s="39"/>
    </row>
    <row r="660" spans="1:5" ht="15.75" customHeight="1" x14ac:dyDescent="0.4">
      <c r="A660" s="38"/>
      <c r="B660" s="38"/>
      <c r="C660" s="39"/>
      <c r="D660" s="39"/>
      <c r="E660" s="39"/>
    </row>
    <row r="661" spans="1:5" ht="15.75" customHeight="1" x14ac:dyDescent="0.4">
      <c r="A661" s="38"/>
      <c r="B661" s="38"/>
      <c r="C661" s="39"/>
      <c r="D661" s="39"/>
      <c r="E661" s="39"/>
    </row>
    <row r="662" spans="1:5" ht="15.75" customHeight="1" x14ac:dyDescent="0.4">
      <c r="A662" s="38"/>
      <c r="B662" s="38"/>
      <c r="C662" s="39"/>
      <c r="D662" s="39"/>
      <c r="E662" s="39"/>
    </row>
    <row r="663" spans="1:5" ht="15.75" customHeight="1" x14ac:dyDescent="0.4">
      <c r="A663" s="38"/>
      <c r="B663" s="38"/>
      <c r="C663" s="39"/>
      <c r="D663" s="39"/>
      <c r="E663" s="39"/>
    </row>
    <row r="664" spans="1:5" ht="15.75" customHeight="1" x14ac:dyDescent="0.4">
      <c r="A664" s="38"/>
      <c r="B664" s="38"/>
      <c r="C664" s="39"/>
      <c r="D664" s="39"/>
      <c r="E664" s="39"/>
    </row>
    <row r="665" spans="1:5" ht="15.75" customHeight="1" x14ac:dyDescent="0.4">
      <c r="A665" s="38"/>
      <c r="B665" s="38"/>
      <c r="C665" s="39"/>
      <c r="D665" s="39"/>
      <c r="E665" s="39"/>
    </row>
    <row r="666" spans="1:5" ht="15.75" customHeight="1" x14ac:dyDescent="0.4">
      <c r="A666" s="38"/>
      <c r="B666" s="38"/>
      <c r="C666" s="39"/>
      <c r="D666" s="39"/>
      <c r="E666" s="39"/>
    </row>
    <row r="667" spans="1:5" ht="15.75" customHeight="1" x14ac:dyDescent="0.4">
      <c r="A667" s="38"/>
      <c r="B667" s="38"/>
      <c r="C667" s="39"/>
      <c r="D667" s="39"/>
      <c r="E667" s="39"/>
    </row>
    <row r="668" spans="1:5" ht="15.75" customHeight="1" x14ac:dyDescent="0.4">
      <c r="A668" s="38"/>
      <c r="B668" s="38"/>
      <c r="C668" s="39"/>
      <c r="D668" s="39"/>
      <c r="E668" s="39"/>
    </row>
    <row r="669" spans="1:5" ht="15.75" customHeight="1" x14ac:dyDescent="0.4">
      <c r="A669" s="38"/>
      <c r="B669" s="38"/>
      <c r="C669" s="39"/>
      <c r="D669" s="39"/>
      <c r="E669" s="39"/>
    </row>
    <row r="670" spans="1:5" ht="15.75" customHeight="1" x14ac:dyDescent="0.4">
      <c r="A670" s="38"/>
      <c r="B670" s="38"/>
      <c r="C670" s="39"/>
      <c r="D670" s="39"/>
      <c r="E670" s="39"/>
    </row>
    <row r="671" spans="1:5" ht="15.75" customHeight="1" x14ac:dyDescent="0.4">
      <c r="A671" s="38"/>
      <c r="B671" s="38"/>
      <c r="C671" s="39"/>
      <c r="D671" s="39"/>
      <c r="E671" s="39"/>
    </row>
    <row r="672" spans="1:5" ht="15.75" customHeight="1" x14ac:dyDescent="0.4">
      <c r="A672" s="38"/>
      <c r="B672" s="38"/>
      <c r="C672" s="39"/>
      <c r="D672" s="39"/>
      <c r="E672" s="39"/>
    </row>
    <row r="673" spans="1:5" ht="15.75" customHeight="1" x14ac:dyDescent="0.4">
      <c r="A673" s="38"/>
      <c r="B673" s="38"/>
      <c r="C673" s="39"/>
      <c r="D673" s="39"/>
      <c r="E673" s="39"/>
    </row>
    <row r="674" spans="1:5" ht="15.75" customHeight="1" x14ac:dyDescent="0.4">
      <c r="A674" s="38"/>
      <c r="B674" s="38"/>
      <c r="C674" s="39"/>
      <c r="D674" s="39"/>
      <c r="E674" s="39"/>
    </row>
    <row r="675" spans="1:5" ht="15.75" customHeight="1" x14ac:dyDescent="0.4">
      <c r="A675" s="38"/>
      <c r="B675" s="38"/>
      <c r="C675" s="39"/>
      <c r="D675" s="39"/>
      <c r="E675" s="39"/>
    </row>
    <row r="676" spans="1:5" ht="15.75" customHeight="1" x14ac:dyDescent="0.4">
      <c r="A676" s="38"/>
      <c r="B676" s="38"/>
      <c r="C676" s="39"/>
      <c r="D676" s="39"/>
      <c r="E676" s="39"/>
    </row>
    <row r="677" spans="1:5" ht="15.75" customHeight="1" x14ac:dyDescent="0.4">
      <c r="A677" s="38"/>
      <c r="B677" s="38"/>
      <c r="C677" s="39"/>
      <c r="D677" s="39"/>
      <c r="E677" s="39"/>
    </row>
    <row r="678" spans="1:5" ht="15.75" customHeight="1" x14ac:dyDescent="0.4">
      <c r="A678" s="38"/>
      <c r="B678" s="38"/>
      <c r="C678" s="39"/>
      <c r="D678" s="39"/>
      <c r="E678" s="39"/>
    </row>
    <row r="679" spans="1:5" ht="15.75" customHeight="1" x14ac:dyDescent="0.4">
      <c r="A679" s="38"/>
      <c r="B679" s="38"/>
      <c r="C679" s="39"/>
      <c r="D679" s="39"/>
      <c r="E679" s="39"/>
    </row>
    <row r="680" spans="1:5" ht="15.75" customHeight="1" x14ac:dyDescent="0.4">
      <c r="A680" s="38"/>
      <c r="B680" s="38"/>
      <c r="C680" s="39"/>
      <c r="D680" s="39"/>
      <c r="E680" s="39"/>
    </row>
    <row r="681" spans="1:5" ht="15.75" customHeight="1" x14ac:dyDescent="0.4">
      <c r="A681" s="38"/>
      <c r="B681" s="38"/>
      <c r="C681" s="39"/>
      <c r="D681" s="39"/>
      <c r="E681" s="39"/>
    </row>
    <row r="682" spans="1:5" ht="15.75" customHeight="1" x14ac:dyDescent="0.4">
      <c r="A682" s="38"/>
      <c r="B682" s="38"/>
      <c r="C682" s="39"/>
      <c r="D682" s="39"/>
      <c r="E682" s="39"/>
    </row>
    <row r="683" spans="1:5" ht="15.75" customHeight="1" x14ac:dyDescent="0.4">
      <c r="A683" s="38"/>
      <c r="B683" s="38"/>
      <c r="C683" s="39"/>
      <c r="D683" s="39"/>
      <c r="E683" s="39"/>
    </row>
    <row r="684" spans="1:5" ht="15.75" customHeight="1" x14ac:dyDescent="0.4">
      <c r="A684" s="38"/>
      <c r="B684" s="38"/>
      <c r="C684" s="39"/>
      <c r="D684" s="39"/>
      <c r="E684" s="39"/>
    </row>
    <row r="685" spans="1:5" ht="15.75" customHeight="1" x14ac:dyDescent="0.4">
      <c r="A685" s="38"/>
      <c r="B685" s="38"/>
      <c r="C685" s="39"/>
      <c r="D685" s="39"/>
      <c r="E685" s="39"/>
    </row>
    <row r="686" spans="1:5" ht="15.75" customHeight="1" x14ac:dyDescent="0.4">
      <c r="A686" s="38"/>
      <c r="B686" s="38"/>
      <c r="C686" s="39"/>
      <c r="D686" s="39"/>
      <c r="E686" s="39"/>
    </row>
    <row r="687" spans="1:5" ht="15.75" customHeight="1" x14ac:dyDescent="0.4">
      <c r="A687" s="38"/>
      <c r="B687" s="38"/>
      <c r="C687" s="39"/>
      <c r="D687" s="39"/>
      <c r="E687" s="39"/>
    </row>
    <row r="688" spans="1:5" ht="15.75" customHeight="1" x14ac:dyDescent="0.4">
      <c r="A688" s="38"/>
      <c r="B688" s="38"/>
      <c r="C688" s="39"/>
      <c r="D688" s="39"/>
      <c r="E688" s="39"/>
    </row>
    <row r="689" spans="1:5" ht="15.75" customHeight="1" x14ac:dyDescent="0.4">
      <c r="A689" s="38"/>
      <c r="B689" s="38"/>
      <c r="C689" s="39"/>
      <c r="D689" s="39"/>
      <c r="E689" s="39"/>
    </row>
    <row r="690" spans="1:5" ht="15.75" customHeight="1" x14ac:dyDescent="0.4">
      <c r="A690" s="38"/>
      <c r="B690" s="38"/>
      <c r="C690" s="39"/>
      <c r="D690" s="39"/>
      <c r="E690" s="39"/>
    </row>
    <row r="691" spans="1:5" ht="15.75" customHeight="1" x14ac:dyDescent="0.4">
      <c r="A691" s="38"/>
      <c r="B691" s="38"/>
      <c r="C691" s="39"/>
      <c r="D691" s="39"/>
      <c r="E691" s="39"/>
    </row>
    <row r="692" spans="1:5" ht="15.75" customHeight="1" x14ac:dyDescent="0.4">
      <c r="A692" s="38"/>
      <c r="B692" s="38"/>
      <c r="C692" s="39"/>
      <c r="D692" s="39"/>
      <c r="E692" s="39"/>
    </row>
    <row r="693" spans="1:5" ht="15.75" customHeight="1" x14ac:dyDescent="0.4">
      <c r="A693" s="38"/>
      <c r="B693" s="38"/>
      <c r="C693" s="39"/>
      <c r="D693" s="39"/>
      <c r="E693" s="39"/>
    </row>
    <row r="694" spans="1:5" ht="15.75" customHeight="1" x14ac:dyDescent="0.4">
      <c r="A694" s="38"/>
      <c r="B694" s="38"/>
      <c r="C694" s="39"/>
      <c r="D694" s="39"/>
      <c r="E694" s="39"/>
    </row>
    <row r="695" spans="1:5" ht="15.75" customHeight="1" x14ac:dyDescent="0.4">
      <c r="A695" s="38"/>
      <c r="B695" s="38"/>
      <c r="C695" s="39"/>
      <c r="D695" s="39"/>
      <c r="E695" s="39"/>
    </row>
    <row r="696" spans="1:5" ht="15.75" customHeight="1" x14ac:dyDescent="0.4">
      <c r="A696" s="38"/>
      <c r="B696" s="38"/>
      <c r="C696" s="39"/>
      <c r="D696" s="39"/>
      <c r="E696" s="39"/>
    </row>
    <row r="697" spans="1:5" ht="15.75" customHeight="1" x14ac:dyDescent="0.4">
      <c r="A697" s="38"/>
      <c r="B697" s="38"/>
      <c r="C697" s="39"/>
      <c r="D697" s="39"/>
      <c r="E697" s="39"/>
    </row>
    <row r="698" spans="1:5" ht="15.75" customHeight="1" x14ac:dyDescent="0.4">
      <c r="A698" s="38"/>
      <c r="B698" s="38"/>
      <c r="C698" s="39"/>
      <c r="D698" s="39"/>
      <c r="E698" s="39"/>
    </row>
    <row r="699" spans="1:5" ht="15.75" customHeight="1" x14ac:dyDescent="0.4">
      <c r="A699" s="38"/>
      <c r="B699" s="38"/>
      <c r="C699" s="39"/>
      <c r="D699" s="39"/>
      <c r="E699" s="39"/>
    </row>
    <row r="700" spans="1:5" ht="15.75" customHeight="1" x14ac:dyDescent="0.4">
      <c r="A700" s="38"/>
      <c r="B700" s="38"/>
      <c r="C700" s="39"/>
      <c r="D700" s="39"/>
      <c r="E700" s="39"/>
    </row>
    <row r="701" spans="1:5" ht="15.75" customHeight="1" x14ac:dyDescent="0.4">
      <c r="A701" s="38"/>
      <c r="B701" s="38"/>
      <c r="C701" s="39"/>
      <c r="D701" s="39"/>
      <c r="E701" s="39"/>
    </row>
    <row r="702" spans="1:5" ht="15.75" customHeight="1" x14ac:dyDescent="0.4">
      <c r="A702" s="38"/>
      <c r="B702" s="38"/>
      <c r="C702" s="39"/>
      <c r="D702" s="39"/>
      <c r="E702" s="39"/>
    </row>
    <row r="703" spans="1:5" ht="15.75" customHeight="1" x14ac:dyDescent="0.4">
      <c r="A703" s="38"/>
      <c r="B703" s="38"/>
      <c r="C703" s="39"/>
      <c r="D703" s="39"/>
      <c r="E703" s="39"/>
    </row>
    <row r="704" spans="1:5" ht="15.75" customHeight="1" x14ac:dyDescent="0.4">
      <c r="A704" s="38"/>
      <c r="B704" s="38"/>
      <c r="C704" s="39"/>
      <c r="D704" s="39"/>
      <c r="E704" s="39"/>
    </row>
    <row r="705" spans="1:5" ht="15.75" customHeight="1" x14ac:dyDescent="0.4">
      <c r="A705" s="38"/>
      <c r="B705" s="38"/>
      <c r="C705" s="39"/>
      <c r="D705" s="39"/>
      <c r="E705" s="39"/>
    </row>
    <row r="706" spans="1:5" ht="15.75" customHeight="1" x14ac:dyDescent="0.4">
      <c r="A706" s="38"/>
      <c r="B706" s="38"/>
      <c r="C706" s="39"/>
      <c r="D706" s="39"/>
      <c r="E706" s="39"/>
    </row>
    <row r="707" spans="1:5" ht="15.75" customHeight="1" x14ac:dyDescent="0.4">
      <c r="A707" s="38"/>
      <c r="B707" s="38"/>
      <c r="C707" s="39"/>
      <c r="D707" s="39"/>
      <c r="E707" s="39"/>
    </row>
    <row r="708" spans="1:5" ht="15.75" customHeight="1" x14ac:dyDescent="0.4">
      <c r="A708" s="38"/>
      <c r="B708" s="38"/>
      <c r="C708" s="39"/>
      <c r="D708" s="39"/>
      <c r="E708" s="39"/>
    </row>
    <row r="709" spans="1:5" ht="15.75" customHeight="1" x14ac:dyDescent="0.4">
      <c r="A709" s="38"/>
      <c r="B709" s="38"/>
      <c r="C709" s="39"/>
      <c r="D709" s="39"/>
      <c r="E709" s="39"/>
    </row>
    <row r="710" spans="1:5" ht="15.75" customHeight="1" x14ac:dyDescent="0.4">
      <c r="A710" s="38"/>
      <c r="B710" s="38"/>
      <c r="C710" s="39"/>
      <c r="D710" s="39"/>
      <c r="E710" s="39"/>
    </row>
    <row r="711" spans="1:5" ht="15.75" customHeight="1" x14ac:dyDescent="0.4">
      <c r="A711" s="38"/>
      <c r="B711" s="38"/>
      <c r="C711" s="39"/>
      <c r="D711" s="39"/>
      <c r="E711" s="39"/>
    </row>
    <row r="712" spans="1:5" ht="15.75" customHeight="1" x14ac:dyDescent="0.4">
      <c r="A712" s="38"/>
      <c r="B712" s="38"/>
      <c r="C712" s="39"/>
      <c r="D712" s="39"/>
      <c r="E712" s="39"/>
    </row>
    <row r="713" spans="1:5" ht="15.75" customHeight="1" x14ac:dyDescent="0.4">
      <c r="A713" s="38"/>
      <c r="B713" s="38"/>
      <c r="C713" s="39"/>
      <c r="D713" s="39"/>
      <c r="E713" s="39"/>
    </row>
    <row r="714" spans="1:5" ht="15.75" customHeight="1" x14ac:dyDescent="0.4">
      <c r="A714" s="38"/>
      <c r="B714" s="38"/>
      <c r="C714" s="39"/>
      <c r="D714" s="39"/>
      <c r="E714" s="39"/>
    </row>
    <row r="715" spans="1:5" ht="15.75" customHeight="1" x14ac:dyDescent="0.4">
      <c r="A715" s="38"/>
      <c r="B715" s="38"/>
      <c r="C715" s="39"/>
      <c r="D715" s="39"/>
      <c r="E715" s="39"/>
    </row>
    <row r="716" spans="1:5" ht="15.75" customHeight="1" x14ac:dyDescent="0.4">
      <c r="A716" s="38"/>
      <c r="B716" s="38"/>
      <c r="C716" s="39"/>
      <c r="D716" s="39"/>
      <c r="E716" s="39"/>
    </row>
    <row r="717" spans="1:5" ht="15.75" customHeight="1" x14ac:dyDescent="0.4">
      <c r="A717" s="38"/>
      <c r="B717" s="38"/>
      <c r="C717" s="39"/>
      <c r="D717" s="39"/>
      <c r="E717" s="39"/>
    </row>
    <row r="718" spans="1:5" ht="15.75" customHeight="1" x14ac:dyDescent="0.4">
      <c r="A718" s="38"/>
      <c r="B718" s="38"/>
      <c r="C718" s="39"/>
      <c r="D718" s="39"/>
      <c r="E718" s="39"/>
    </row>
    <row r="719" spans="1:5" ht="15.75" customHeight="1" x14ac:dyDescent="0.4">
      <c r="A719" s="38"/>
      <c r="B719" s="38"/>
      <c r="C719" s="39"/>
      <c r="D719" s="39"/>
      <c r="E719" s="39"/>
    </row>
    <row r="720" spans="1:5" ht="15.75" customHeight="1" x14ac:dyDescent="0.4">
      <c r="A720" s="38"/>
      <c r="B720" s="38"/>
      <c r="C720" s="39"/>
      <c r="D720" s="39"/>
      <c r="E720" s="39"/>
    </row>
    <row r="721" spans="1:5" ht="15.75" customHeight="1" x14ac:dyDescent="0.4">
      <c r="A721" s="38"/>
      <c r="B721" s="38"/>
      <c r="C721" s="39"/>
      <c r="D721" s="39"/>
      <c r="E721" s="39"/>
    </row>
    <row r="722" spans="1:5" ht="15.75" customHeight="1" x14ac:dyDescent="0.4">
      <c r="A722" s="38"/>
      <c r="B722" s="38"/>
      <c r="C722" s="39"/>
      <c r="D722" s="39"/>
      <c r="E722" s="39"/>
    </row>
    <row r="723" spans="1:5" ht="15.75" customHeight="1" x14ac:dyDescent="0.4">
      <c r="A723" s="38"/>
      <c r="B723" s="38"/>
      <c r="C723" s="39"/>
      <c r="D723" s="39"/>
      <c r="E723" s="39"/>
    </row>
    <row r="724" spans="1:5" ht="15.75" customHeight="1" x14ac:dyDescent="0.4">
      <c r="A724" s="38"/>
      <c r="B724" s="38"/>
      <c r="C724" s="39"/>
      <c r="D724" s="39"/>
      <c r="E724" s="39"/>
    </row>
    <row r="725" spans="1:5" ht="15.75" customHeight="1" x14ac:dyDescent="0.4">
      <c r="A725" s="38"/>
      <c r="B725" s="38"/>
      <c r="C725" s="39"/>
      <c r="D725" s="39"/>
      <c r="E725" s="39"/>
    </row>
    <row r="726" spans="1:5" ht="15.75" customHeight="1" x14ac:dyDescent="0.4">
      <c r="A726" s="38"/>
      <c r="B726" s="38"/>
      <c r="C726" s="39"/>
      <c r="D726" s="39"/>
      <c r="E726" s="39"/>
    </row>
    <row r="727" spans="1:5" ht="15.75" customHeight="1" x14ac:dyDescent="0.4">
      <c r="A727" s="38"/>
      <c r="B727" s="38"/>
      <c r="C727" s="39"/>
      <c r="D727" s="39"/>
      <c r="E727" s="39"/>
    </row>
    <row r="728" spans="1:5" ht="15.75" customHeight="1" x14ac:dyDescent="0.4">
      <c r="A728" s="38"/>
      <c r="B728" s="38"/>
      <c r="C728" s="39"/>
      <c r="D728" s="39"/>
      <c r="E728" s="39"/>
    </row>
    <row r="729" spans="1:5" ht="15.75" customHeight="1" x14ac:dyDescent="0.4">
      <c r="A729" s="38"/>
      <c r="B729" s="38"/>
      <c r="C729" s="39"/>
      <c r="D729" s="39"/>
      <c r="E729" s="39"/>
    </row>
    <row r="730" spans="1:5" ht="15.75" customHeight="1" x14ac:dyDescent="0.4">
      <c r="A730" s="38"/>
      <c r="B730" s="38"/>
      <c r="C730" s="39"/>
      <c r="D730" s="39"/>
      <c r="E730" s="39"/>
    </row>
    <row r="731" spans="1:5" ht="15.75" customHeight="1" x14ac:dyDescent="0.4">
      <c r="A731" s="38"/>
      <c r="B731" s="38"/>
      <c r="C731" s="39"/>
      <c r="D731" s="39"/>
      <c r="E731" s="39"/>
    </row>
    <row r="732" spans="1:5" ht="15.75" customHeight="1" x14ac:dyDescent="0.4">
      <c r="A732" s="38"/>
      <c r="B732" s="38"/>
      <c r="C732" s="39"/>
      <c r="D732" s="39"/>
      <c r="E732" s="39"/>
    </row>
    <row r="733" spans="1:5" ht="15.75" customHeight="1" x14ac:dyDescent="0.4">
      <c r="A733" s="38"/>
      <c r="B733" s="38"/>
      <c r="C733" s="39"/>
      <c r="D733" s="39"/>
      <c r="E733" s="39"/>
    </row>
    <row r="734" spans="1:5" ht="15.75" customHeight="1" x14ac:dyDescent="0.4">
      <c r="A734" s="38"/>
      <c r="B734" s="38"/>
      <c r="C734" s="39"/>
      <c r="D734" s="39"/>
      <c r="E734" s="39"/>
    </row>
    <row r="735" spans="1:5" ht="15.75" customHeight="1" x14ac:dyDescent="0.35">
      <c r="A735" s="42"/>
      <c r="B735" s="42"/>
      <c r="C735" s="42"/>
      <c r="D735" s="42"/>
      <c r="E735" s="42"/>
    </row>
    <row r="736" spans="1:5" ht="15.75" customHeight="1" x14ac:dyDescent="0.35">
      <c r="A736" s="42"/>
      <c r="B736" s="42"/>
      <c r="C736" s="42"/>
      <c r="D736" s="42"/>
      <c r="E736" s="42"/>
    </row>
    <row r="737" spans="1:5" ht="15.75" customHeight="1" x14ac:dyDescent="0.35">
      <c r="A737" s="42"/>
      <c r="B737" s="42"/>
      <c r="C737" s="42"/>
      <c r="D737" s="42"/>
      <c r="E737" s="42"/>
    </row>
    <row r="738" spans="1:5" ht="15.75" customHeight="1" x14ac:dyDescent="0.35">
      <c r="A738" s="42"/>
      <c r="B738" s="42"/>
      <c r="C738" s="42"/>
      <c r="D738" s="42"/>
      <c r="E738" s="42"/>
    </row>
    <row r="739" spans="1:5" ht="15.75" customHeight="1" x14ac:dyDescent="0.35">
      <c r="A739" s="42"/>
      <c r="B739" s="42"/>
      <c r="C739" s="42"/>
      <c r="D739" s="42"/>
      <c r="E739" s="42"/>
    </row>
    <row r="740" spans="1:5" ht="15.75" customHeight="1" x14ac:dyDescent="0.35">
      <c r="A740" s="42"/>
      <c r="B740" s="42"/>
      <c r="C740" s="42"/>
      <c r="D740" s="42"/>
      <c r="E740" s="42"/>
    </row>
    <row r="741" spans="1:5" ht="15.75" customHeight="1" x14ac:dyDescent="0.35">
      <c r="A741" s="42"/>
      <c r="B741" s="42"/>
      <c r="C741" s="42"/>
      <c r="D741" s="42"/>
      <c r="E741" s="42"/>
    </row>
    <row r="742" spans="1:5" ht="15.75" customHeight="1" x14ac:dyDescent="0.35">
      <c r="A742" s="42"/>
      <c r="B742" s="42"/>
      <c r="C742" s="42"/>
      <c r="D742" s="42"/>
      <c r="E742" s="42"/>
    </row>
    <row r="743" spans="1:5" ht="15.75" customHeight="1" x14ac:dyDescent="0.35">
      <c r="A743" s="42"/>
      <c r="B743" s="42"/>
      <c r="C743" s="42"/>
      <c r="D743" s="42"/>
      <c r="E743" s="42"/>
    </row>
    <row r="744" spans="1:5" ht="15.75" customHeight="1" x14ac:dyDescent="0.35">
      <c r="A744" s="42"/>
      <c r="B744" s="42"/>
      <c r="C744" s="42"/>
      <c r="D744" s="42"/>
      <c r="E744" s="42"/>
    </row>
    <row r="745" spans="1:5" ht="15.75" customHeight="1" x14ac:dyDescent="0.35">
      <c r="A745" s="42"/>
      <c r="B745" s="42"/>
      <c r="C745" s="42"/>
      <c r="D745" s="42"/>
      <c r="E745" s="42"/>
    </row>
    <row r="746" spans="1:5" ht="15.75" customHeight="1" x14ac:dyDescent="0.35">
      <c r="A746" s="42"/>
      <c r="B746" s="42"/>
      <c r="C746" s="42"/>
      <c r="D746" s="42"/>
      <c r="E746" s="42"/>
    </row>
    <row r="747" spans="1:5" ht="15.75" customHeight="1" x14ac:dyDescent="0.35">
      <c r="A747" s="42"/>
      <c r="B747" s="42"/>
      <c r="C747" s="42"/>
      <c r="D747" s="42"/>
      <c r="E747" s="42"/>
    </row>
    <row r="748" spans="1:5" ht="15.75" customHeight="1" x14ac:dyDescent="0.35">
      <c r="A748" s="42"/>
      <c r="B748" s="42"/>
      <c r="C748" s="42"/>
      <c r="D748" s="42"/>
      <c r="E748" s="42"/>
    </row>
    <row r="749" spans="1:5" ht="15.75" customHeight="1" x14ac:dyDescent="0.35">
      <c r="A749" s="42"/>
      <c r="B749" s="42"/>
      <c r="C749" s="42"/>
      <c r="D749" s="42"/>
      <c r="E749" s="42"/>
    </row>
    <row r="750" spans="1:5" ht="15.75" customHeight="1" x14ac:dyDescent="0.35">
      <c r="A750" s="42"/>
      <c r="B750" s="42"/>
      <c r="C750" s="42"/>
      <c r="D750" s="42"/>
      <c r="E750" s="42"/>
    </row>
    <row r="751" spans="1:5" ht="15.75" customHeight="1" x14ac:dyDescent="0.35">
      <c r="A751" s="42"/>
      <c r="B751" s="42"/>
      <c r="C751" s="42"/>
      <c r="D751" s="42"/>
      <c r="E751" s="42"/>
    </row>
    <row r="752" spans="1:5" ht="15.75" customHeight="1" x14ac:dyDescent="0.35">
      <c r="A752" s="42"/>
      <c r="B752" s="42"/>
      <c r="C752" s="42"/>
      <c r="D752" s="42"/>
      <c r="E752" s="42"/>
    </row>
    <row r="753" spans="1:5" ht="15.75" customHeight="1" x14ac:dyDescent="0.35">
      <c r="A753" s="42"/>
      <c r="B753" s="42"/>
      <c r="C753" s="42"/>
      <c r="D753" s="42"/>
      <c r="E753" s="42"/>
    </row>
    <row r="754" spans="1:5" ht="15.75" customHeight="1" x14ac:dyDescent="0.35">
      <c r="A754" s="42"/>
      <c r="B754" s="42"/>
      <c r="C754" s="42"/>
      <c r="D754" s="42"/>
      <c r="E754" s="42"/>
    </row>
    <row r="755" spans="1:5" ht="15.75" customHeight="1" x14ac:dyDescent="0.35">
      <c r="A755" s="42"/>
      <c r="B755" s="42"/>
      <c r="C755" s="42"/>
      <c r="D755" s="42"/>
      <c r="E755" s="42"/>
    </row>
    <row r="756" spans="1:5" ht="15.75" customHeight="1" x14ac:dyDescent="0.35">
      <c r="A756" s="42"/>
      <c r="B756" s="42"/>
      <c r="C756" s="42"/>
      <c r="D756" s="42"/>
      <c r="E756" s="42"/>
    </row>
    <row r="757" spans="1:5" ht="15.75" customHeight="1" x14ac:dyDescent="0.35">
      <c r="A757" s="42"/>
      <c r="B757" s="42"/>
      <c r="C757" s="42"/>
      <c r="D757" s="42"/>
      <c r="E757" s="42"/>
    </row>
    <row r="758" spans="1:5" ht="15.75" customHeight="1" x14ac:dyDescent="0.35">
      <c r="A758" s="42"/>
      <c r="B758" s="42"/>
      <c r="C758" s="42"/>
      <c r="D758" s="42"/>
      <c r="E758" s="42"/>
    </row>
    <row r="759" spans="1:5" ht="15.75" customHeight="1" x14ac:dyDescent="0.35">
      <c r="A759" s="42"/>
      <c r="B759" s="42"/>
      <c r="C759" s="42"/>
      <c r="D759" s="42"/>
      <c r="E759" s="42"/>
    </row>
    <row r="760" spans="1:5" ht="15.75" customHeight="1" x14ac:dyDescent="0.35">
      <c r="A760" s="42"/>
      <c r="B760" s="42"/>
      <c r="C760" s="42"/>
      <c r="D760" s="42"/>
      <c r="E760" s="42"/>
    </row>
    <row r="761" spans="1:5" ht="15.75" customHeight="1" x14ac:dyDescent="0.35">
      <c r="A761" s="42"/>
      <c r="B761" s="42"/>
      <c r="C761" s="42"/>
      <c r="D761" s="42"/>
      <c r="E761" s="42"/>
    </row>
    <row r="762" spans="1:5" ht="15.75" customHeight="1" x14ac:dyDescent="0.35">
      <c r="A762" s="42"/>
      <c r="B762" s="42"/>
      <c r="C762" s="42"/>
      <c r="D762" s="42"/>
      <c r="E762" s="42"/>
    </row>
    <row r="763" spans="1:5" ht="15.75" customHeight="1" x14ac:dyDescent="0.35">
      <c r="A763" s="42"/>
      <c r="B763" s="42"/>
      <c r="C763" s="42"/>
      <c r="D763" s="42"/>
      <c r="E763" s="42"/>
    </row>
    <row r="764" spans="1:5" ht="15.75" customHeight="1" x14ac:dyDescent="0.35">
      <c r="A764" s="42"/>
      <c r="B764" s="42"/>
      <c r="C764" s="42"/>
      <c r="D764" s="42"/>
      <c r="E764" s="42"/>
    </row>
    <row r="765" spans="1:5" ht="15.75" customHeight="1" x14ac:dyDescent="0.35">
      <c r="A765" s="42"/>
      <c r="B765" s="42"/>
      <c r="C765" s="42"/>
      <c r="D765" s="42"/>
      <c r="E765" s="42"/>
    </row>
    <row r="766" spans="1:5" ht="15.75" customHeight="1" x14ac:dyDescent="0.35">
      <c r="A766" s="42"/>
      <c r="B766" s="42"/>
      <c r="C766" s="42"/>
      <c r="D766" s="42"/>
      <c r="E766" s="42"/>
    </row>
    <row r="767" spans="1:5" ht="15.75" customHeight="1" x14ac:dyDescent="0.35">
      <c r="A767" s="42"/>
      <c r="B767" s="42"/>
      <c r="C767" s="42"/>
      <c r="D767" s="42"/>
      <c r="E767" s="42"/>
    </row>
    <row r="768" spans="1:5" ht="15.75" customHeight="1" x14ac:dyDescent="0.35">
      <c r="A768" s="42"/>
      <c r="B768" s="42"/>
      <c r="C768" s="42"/>
      <c r="D768" s="42"/>
      <c r="E768" s="42"/>
    </row>
    <row r="769" spans="1:5" ht="15.75" customHeight="1" x14ac:dyDescent="0.35">
      <c r="A769" s="42"/>
      <c r="B769" s="42"/>
      <c r="C769" s="42"/>
      <c r="D769" s="42"/>
      <c r="E769" s="42"/>
    </row>
    <row r="770" spans="1:5" ht="15.75" customHeight="1" x14ac:dyDescent="0.35">
      <c r="A770" s="42"/>
      <c r="B770" s="42"/>
      <c r="C770" s="42"/>
      <c r="D770" s="42"/>
      <c r="E770" s="42"/>
    </row>
    <row r="771" spans="1:5" ht="15.75" customHeight="1" x14ac:dyDescent="0.35">
      <c r="A771" s="42"/>
      <c r="B771" s="42"/>
      <c r="C771" s="42"/>
      <c r="D771" s="42"/>
      <c r="E771" s="42"/>
    </row>
    <row r="772" spans="1:5" ht="15.75" customHeight="1" x14ac:dyDescent="0.35">
      <c r="A772" s="42"/>
      <c r="B772" s="42"/>
      <c r="C772" s="42"/>
      <c r="D772" s="42"/>
      <c r="E772" s="42"/>
    </row>
    <row r="773" spans="1:5" ht="15.75" customHeight="1" x14ac:dyDescent="0.35">
      <c r="A773" s="42"/>
      <c r="B773" s="42"/>
      <c r="C773" s="42"/>
      <c r="D773" s="42"/>
      <c r="E773" s="42"/>
    </row>
    <row r="774" spans="1:5" ht="15.75" customHeight="1" x14ac:dyDescent="0.35">
      <c r="A774" s="42"/>
      <c r="B774" s="42"/>
      <c r="C774" s="42"/>
      <c r="D774" s="42"/>
      <c r="E774" s="42"/>
    </row>
    <row r="775" spans="1:5" ht="15.75" customHeight="1" x14ac:dyDescent="0.35">
      <c r="A775" s="42"/>
      <c r="B775" s="42"/>
      <c r="C775" s="42"/>
      <c r="D775" s="42"/>
      <c r="E775" s="42"/>
    </row>
    <row r="776" spans="1:5" ht="15.75" customHeight="1" x14ac:dyDescent="0.35">
      <c r="A776" s="42"/>
      <c r="B776" s="42"/>
      <c r="C776" s="42"/>
      <c r="D776" s="42"/>
      <c r="E776" s="42"/>
    </row>
    <row r="777" spans="1:5" ht="15.75" customHeight="1" x14ac:dyDescent="0.35">
      <c r="A777" s="42"/>
      <c r="B777" s="42"/>
      <c r="C777" s="42"/>
      <c r="D777" s="42"/>
      <c r="E777" s="42"/>
    </row>
    <row r="778" spans="1:5" ht="15.75" customHeight="1" x14ac:dyDescent="0.35">
      <c r="A778" s="42"/>
      <c r="B778" s="42"/>
      <c r="C778" s="42"/>
      <c r="D778" s="42"/>
      <c r="E778" s="42"/>
    </row>
    <row r="779" spans="1:5" ht="15.75" customHeight="1" x14ac:dyDescent="0.35">
      <c r="A779" s="42"/>
      <c r="B779" s="42"/>
      <c r="C779" s="42"/>
      <c r="D779" s="42"/>
      <c r="E779" s="42"/>
    </row>
    <row r="780" spans="1:5" ht="15.75" customHeight="1" x14ac:dyDescent="0.35">
      <c r="A780" s="42"/>
      <c r="B780" s="42"/>
      <c r="C780" s="42"/>
      <c r="D780" s="42"/>
      <c r="E780" s="42"/>
    </row>
    <row r="781" spans="1:5" ht="15.75" customHeight="1" x14ac:dyDescent="0.35">
      <c r="A781" s="42"/>
      <c r="B781" s="42"/>
      <c r="C781" s="42"/>
      <c r="D781" s="42"/>
      <c r="E781" s="42"/>
    </row>
    <row r="782" spans="1:5" ht="15.75" customHeight="1" x14ac:dyDescent="0.35">
      <c r="A782" s="42"/>
      <c r="B782" s="42"/>
      <c r="C782" s="42"/>
      <c r="D782" s="42"/>
      <c r="E782" s="42"/>
    </row>
    <row r="783" spans="1:5" ht="15.75" customHeight="1" x14ac:dyDescent="0.35">
      <c r="A783" s="42"/>
      <c r="B783" s="42"/>
      <c r="C783" s="42"/>
      <c r="D783" s="42"/>
      <c r="E783" s="42"/>
    </row>
    <row r="784" spans="1:5" ht="15.75" customHeight="1" x14ac:dyDescent="0.35">
      <c r="A784" s="42"/>
      <c r="B784" s="42"/>
      <c r="C784" s="42"/>
      <c r="D784" s="42"/>
      <c r="E784" s="42"/>
    </row>
    <row r="785" spans="1:5" ht="15.75" customHeight="1" x14ac:dyDescent="0.35">
      <c r="A785" s="42"/>
      <c r="B785" s="42"/>
      <c r="C785" s="42"/>
      <c r="D785" s="42"/>
      <c r="E785" s="42"/>
    </row>
    <row r="786" spans="1:5" ht="15.75" customHeight="1" x14ac:dyDescent="0.35">
      <c r="A786" s="42"/>
      <c r="B786" s="42"/>
      <c r="C786" s="42"/>
      <c r="D786" s="42"/>
      <c r="E786" s="42"/>
    </row>
    <row r="787" spans="1:5" ht="15.75" customHeight="1" x14ac:dyDescent="0.35">
      <c r="A787" s="42"/>
      <c r="B787" s="42"/>
      <c r="C787" s="42"/>
      <c r="D787" s="42"/>
      <c r="E787" s="42"/>
    </row>
    <row r="788" spans="1:5" ht="15.75" customHeight="1" x14ac:dyDescent="0.35">
      <c r="A788" s="42"/>
      <c r="B788" s="42"/>
      <c r="C788" s="42"/>
      <c r="D788" s="42"/>
      <c r="E788" s="42"/>
    </row>
    <row r="789" spans="1:5" ht="15.75" customHeight="1" x14ac:dyDescent="0.35">
      <c r="A789" s="42"/>
      <c r="B789" s="42"/>
      <c r="C789" s="42"/>
      <c r="D789" s="42"/>
      <c r="E789" s="42"/>
    </row>
    <row r="790" spans="1:5" ht="15.75" customHeight="1" x14ac:dyDescent="0.35">
      <c r="A790" s="42"/>
      <c r="B790" s="42"/>
      <c r="C790" s="42"/>
      <c r="D790" s="42"/>
      <c r="E790" s="42"/>
    </row>
    <row r="791" spans="1:5" ht="15.75" customHeight="1" x14ac:dyDescent="0.35">
      <c r="A791" s="42"/>
      <c r="B791" s="42"/>
      <c r="C791" s="42"/>
      <c r="D791" s="42"/>
      <c r="E791" s="42"/>
    </row>
    <row r="792" spans="1:5" ht="15.75" customHeight="1" x14ac:dyDescent="0.35">
      <c r="A792" s="42"/>
      <c r="B792" s="42"/>
      <c r="C792" s="42"/>
      <c r="D792" s="42"/>
      <c r="E792" s="42"/>
    </row>
    <row r="793" spans="1:5" ht="15.75" customHeight="1" x14ac:dyDescent="0.35">
      <c r="A793" s="42"/>
      <c r="B793" s="42"/>
      <c r="C793" s="42"/>
      <c r="D793" s="42"/>
      <c r="E793" s="42"/>
    </row>
    <row r="794" spans="1:5" ht="15.75" customHeight="1" x14ac:dyDescent="0.35">
      <c r="A794" s="42"/>
      <c r="B794" s="42"/>
      <c r="C794" s="42"/>
      <c r="D794" s="42"/>
      <c r="E794" s="42"/>
    </row>
    <row r="795" spans="1:5" ht="15.75" customHeight="1" x14ac:dyDescent="0.35">
      <c r="A795" s="42"/>
      <c r="B795" s="42"/>
      <c r="C795" s="42"/>
      <c r="D795" s="42"/>
      <c r="E795" s="42"/>
    </row>
    <row r="796" spans="1:5" ht="15.75" customHeight="1" x14ac:dyDescent="0.35">
      <c r="A796" s="42"/>
      <c r="B796" s="42"/>
      <c r="C796" s="42"/>
      <c r="D796" s="42"/>
      <c r="E796" s="42"/>
    </row>
    <row r="797" spans="1:5" ht="15.75" customHeight="1" x14ac:dyDescent="0.35">
      <c r="A797" s="42"/>
      <c r="B797" s="42"/>
      <c r="C797" s="42"/>
      <c r="D797" s="42"/>
      <c r="E797" s="42"/>
    </row>
    <row r="798" spans="1:5" ht="15.75" customHeight="1" x14ac:dyDescent="0.35">
      <c r="A798" s="42"/>
      <c r="B798" s="42"/>
      <c r="C798" s="42"/>
      <c r="D798" s="42"/>
      <c r="E798" s="42"/>
    </row>
    <row r="799" spans="1:5" ht="15.75" customHeight="1" x14ac:dyDescent="0.35">
      <c r="A799" s="42"/>
      <c r="B799" s="42"/>
      <c r="C799" s="42"/>
      <c r="D799" s="42"/>
      <c r="E799" s="42"/>
    </row>
    <row r="800" spans="1:5" ht="15.75" customHeight="1" x14ac:dyDescent="0.35">
      <c r="A800" s="42"/>
      <c r="B800" s="42"/>
      <c r="C800" s="42"/>
      <c r="D800" s="42"/>
      <c r="E800" s="42"/>
    </row>
    <row r="801" spans="1:5" ht="15.75" customHeight="1" x14ac:dyDescent="0.35">
      <c r="A801" s="42"/>
      <c r="B801" s="42"/>
      <c r="C801" s="42"/>
      <c r="D801" s="42"/>
      <c r="E801" s="42"/>
    </row>
    <row r="802" spans="1:5" ht="15.75" customHeight="1" x14ac:dyDescent="0.35">
      <c r="A802" s="42"/>
      <c r="B802" s="42"/>
      <c r="C802" s="42"/>
      <c r="D802" s="42"/>
      <c r="E802" s="42"/>
    </row>
    <row r="803" spans="1:5" ht="15.75" customHeight="1" x14ac:dyDescent="0.35">
      <c r="A803" s="42"/>
      <c r="B803" s="42"/>
      <c r="C803" s="42"/>
      <c r="D803" s="42"/>
      <c r="E803" s="42"/>
    </row>
    <row r="804" spans="1:5" ht="15.75" customHeight="1" x14ac:dyDescent="0.35">
      <c r="A804" s="42"/>
      <c r="B804" s="42"/>
      <c r="C804" s="42"/>
      <c r="D804" s="42"/>
      <c r="E804" s="42"/>
    </row>
    <row r="805" spans="1:5" ht="15.75" customHeight="1" x14ac:dyDescent="0.35">
      <c r="A805" s="42"/>
      <c r="B805" s="42"/>
      <c r="C805" s="42"/>
      <c r="D805" s="42"/>
      <c r="E805" s="42"/>
    </row>
    <row r="806" spans="1:5" ht="15.75" customHeight="1" x14ac:dyDescent="0.35">
      <c r="A806" s="42"/>
      <c r="B806" s="42"/>
      <c r="C806" s="42"/>
      <c r="D806" s="42"/>
      <c r="E806" s="42"/>
    </row>
    <row r="807" spans="1:5" ht="15.75" customHeight="1" x14ac:dyDescent="0.35">
      <c r="A807" s="42"/>
      <c r="B807" s="42"/>
      <c r="C807" s="42"/>
      <c r="D807" s="42"/>
      <c r="E807" s="42"/>
    </row>
    <row r="808" spans="1:5" ht="15.75" customHeight="1" x14ac:dyDescent="0.35">
      <c r="A808" s="42"/>
      <c r="B808" s="42"/>
      <c r="C808" s="42"/>
      <c r="D808" s="42"/>
      <c r="E808" s="42"/>
    </row>
    <row r="809" spans="1:5" ht="15.75" customHeight="1" x14ac:dyDescent="0.35">
      <c r="A809" s="42"/>
      <c r="B809" s="42"/>
      <c r="C809" s="42"/>
      <c r="D809" s="42"/>
      <c r="E809" s="42"/>
    </row>
    <row r="810" spans="1:5" ht="15.75" customHeight="1" x14ac:dyDescent="0.35">
      <c r="A810" s="42"/>
      <c r="B810" s="42"/>
      <c r="C810" s="42"/>
      <c r="D810" s="42"/>
      <c r="E810" s="42"/>
    </row>
    <row r="811" spans="1:5" ht="15.75" customHeight="1" x14ac:dyDescent="0.35">
      <c r="A811" s="42"/>
      <c r="B811" s="42"/>
      <c r="C811" s="42"/>
      <c r="D811" s="42"/>
      <c r="E811" s="42"/>
    </row>
    <row r="812" spans="1:5" ht="15.75" customHeight="1" x14ac:dyDescent="0.35">
      <c r="A812" s="42"/>
      <c r="B812" s="42"/>
      <c r="C812" s="42"/>
      <c r="D812" s="42"/>
      <c r="E812" s="42"/>
    </row>
    <row r="813" spans="1:5" ht="15.75" customHeight="1" x14ac:dyDescent="0.35">
      <c r="A813" s="42"/>
      <c r="B813" s="42"/>
      <c r="C813" s="42"/>
      <c r="D813" s="42"/>
      <c r="E813" s="42"/>
    </row>
    <row r="814" spans="1:5" ht="15.75" customHeight="1" x14ac:dyDescent="0.35">
      <c r="A814" s="42"/>
      <c r="B814" s="42"/>
      <c r="C814" s="42"/>
      <c r="D814" s="42"/>
      <c r="E814" s="42"/>
    </row>
    <row r="815" spans="1:5" ht="15.75" customHeight="1" x14ac:dyDescent="0.35">
      <c r="A815" s="42"/>
      <c r="B815" s="42"/>
      <c r="C815" s="42"/>
      <c r="D815" s="42"/>
      <c r="E815" s="42"/>
    </row>
    <row r="816" spans="1:5" ht="15.75" customHeight="1" x14ac:dyDescent="0.35">
      <c r="A816" s="42"/>
      <c r="B816" s="42"/>
      <c r="C816" s="42"/>
      <c r="D816" s="42"/>
      <c r="E816" s="42"/>
    </row>
    <row r="817" spans="1:5" ht="15.75" customHeight="1" x14ac:dyDescent="0.35">
      <c r="A817" s="42"/>
      <c r="B817" s="42"/>
      <c r="C817" s="42"/>
      <c r="D817" s="42"/>
      <c r="E817" s="42"/>
    </row>
    <row r="818" spans="1:5" ht="15.75" customHeight="1" x14ac:dyDescent="0.35">
      <c r="A818" s="42"/>
      <c r="B818" s="42"/>
      <c r="C818" s="42"/>
      <c r="D818" s="42"/>
      <c r="E818" s="42"/>
    </row>
    <row r="819" spans="1:5" ht="15.75" customHeight="1" x14ac:dyDescent="0.35">
      <c r="A819" s="42"/>
      <c r="B819" s="42"/>
      <c r="C819" s="42"/>
      <c r="D819" s="42"/>
      <c r="E819" s="42"/>
    </row>
    <row r="820" spans="1:5" ht="15.75" customHeight="1" x14ac:dyDescent="0.35">
      <c r="A820" s="42"/>
      <c r="B820" s="42"/>
      <c r="C820" s="42"/>
      <c r="D820" s="42"/>
      <c r="E820" s="42"/>
    </row>
    <row r="821" spans="1:5" ht="15.75" customHeight="1" x14ac:dyDescent="0.35">
      <c r="A821" s="42"/>
      <c r="B821" s="42"/>
      <c r="C821" s="42"/>
      <c r="D821" s="42"/>
      <c r="E821" s="42"/>
    </row>
    <row r="822" spans="1:5" ht="15.75" customHeight="1" x14ac:dyDescent="0.35">
      <c r="A822" s="42"/>
      <c r="B822" s="42"/>
      <c r="C822" s="42"/>
      <c r="D822" s="42"/>
      <c r="E822" s="42"/>
    </row>
    <row r="823" spans="1:5" ht="15.75" customHeight="1" x14ac:dyDescent="0.35">
      <c r="A823" s="42"/>
      <c r="B823" s="42"/>
      <c r="C823" s="42"/>
      <c r="D823" s="42"/>
      <c r="E823" s="42"/>
    </row>
    <row r="824" spans="1:5" ht="15.75" customHeight="1" x14ac:dyDescent="0.35">
      <c r="A824" s="42"/>
      <c r="B824" s="42"/>
      <c r="C824" s="42"/>
      <c r="D824" s="42"/>
      <c r="E824" s="42"/>
    </row>
    <row r="825" spans="1:5" ht="15.75" customHeight="1" x14ac:dyDescent="0.35">
      <c r="A825" s="42"/>
      <c r="B825" s="42"/>
      <c r="C825" s="42"/>
      <c r="D825" s="42"/>
      <c r="E825" s="42"/>
    </row>
    <row r="826" spans="1:5" ht="15.75" customHeight="1" x14ac:dyDescent="0.35">
      <c r="A826" s="42"/>
      <c r="B826" s="42"/>
      <c r="C826" s="42"/>
      <c r="D826" s="42"/>
      <c r="E826" s="42"/>
    </row>
    <row r="827" spans="1:5" ht="15.75" customHeight="1" x14ac:dyDescent="0.35">
      <c r="A827" s="42"/>
      <c r="B827" s="42"/>
      <c r="C827" s="42"/>
      <c r="D827" s="42"/>
      <c r="E827" s="42"/>
    </row>
    <row r="828" spans="1:5" ht="15.75" customHeight="1" x14ac:dyDescent="0.35">
      <c r="A828" s="42"/>
      <c r="B828" s="42"/>
      <c r="C828" s="42"/>
      <c r="D828" s="42"/>
      <c r="E828" s="42"/>
    </row>
    <row r="829" spans="1:5" ht="15.75" customHeight="1" x14ac:dyDescent="0.35">
      <c r="A829" s="42"/>
      <c r="B829" s="42"/>
      <c r="C829" s="42"/>
      <c r="D829" s="42"/>
      <c r="E829" s="42"/>
    </row>
    <row r="830" spans="1:5" ht="15.75" customHeight="1" x14ac:dyDescent="0.35">
      <c r="A830" s="42"/>
      <c r="B830" s="42"/>
      <c r="C830" s="42"/>
      <c r="D830" s="42"/>
      <c r="E830" s="42"/>
    </row>
    <row r="831" spans="1:5" ht="15.75" customHeight="1" x14ac:dyDescent="0.35">
      <c r="A831" s="42"/>
      <c r="B831" s="42"/>
      <c r="C831" s="42"/>
      <c r="D831" s="42"/>
      <c r="E831" s="42"/>
    </row>
    <row r="832" spans="1:5" ht="15.75" customHeight="1" x14ac:dyDescent="0.35">
      <c r="A832" s="42"/>
      <c r="B832" s="42"/>
      <c r="C832" s="42"/>
      <c r="D832" s="42"/>
      <c r="E832" s="42"/>
    </row>
    <row r="833" spans="1:5" ht="15.75" customHeight="1" x14ac:dyDescent="0.35">
      <c r="A833" s="42"/>
      <c r="B833" s="42"/>
      <c r="C833" s="42"/>
      <c r="D833" s="42"/>
      <c r="E833" s="42"/>
    </row>
    <row r="834" spans="1:5" ht="15.75" customHeight="1" x14ac:dyDescent="0.35">
      <c r="A834" s="42"/>
      <c r="B834" s="42"/>
      <c r="C834" s="42"/>
      <c r="D834" s="42"/>
      <c r="E834" s="42"/>
    </row>
    <row r="835" spans="1:5" ht="15.75" customHeight="1" x14ac:dyDescent="0.35">
      <c r="A835" s="42"/>
      <c r="B835" s="42"/>
      <c r="C835" s="42"/>
      <c r="D835" s="42"/>
      <c r="E835" s="42"/>
    </row>
    <row r="836" spans="1:5" ht="15.75" customHeight="1" x14ac:dyDescent="0.35">
      <c r="A836" s="42"/>
      <c r="B836" s="42"/>
      <c r="C836" s="42"/>
      <c r="D836" s="42"/>
      <c r="E836" s="42"/>
    </row>
    <row r="837" spans="1:5" ht="15.75" customHeight="1" x14ac:dyDescent="0.35">
      <c r="A837" s="42"/>
      <c r="B837" s="42"/>
      <c r="C837" s="42"/>
      <c r="D837" s="42"/>
      <c r="E837" s="42"/>
    </row>
    <row r="838" spans="1:5" ht="15.75" customHeight="1" x14ac:dyDescent="0.35">
      <c r="A838" s="42"/>
      <c r="B838" s="42"/>
      <c r="C838" s="42"/>
      <c r="D838" s="42"/>
      <c r="E838" s="42"/>
    </row>
    <row r="839" spans="1:5" ht="15.75" customHeight="1" x14ac:dyDescent="0.35">
      <c r="A839" s="42"/>
      <c r="B839" s="42"/>
      <c r="C839" s="42"/>
      <c r="D839" s="42"/>
      <c r="E839" s="42"/>
    </row>
    <row r="840" spans="1:5" ht="15.75" customHeight="1" x14ac:dyDescent="0.35">
      <c r="A840" s="42"/>
      <c r="B840" s="42"/>
      <c r="C840" s="42"/>
      <c r="D840" s="42"/>
      <c r="E840" s="42"/>
    </row>
    <row r="841" spans="1:5" ht="15.75" customHeight="1" x14ac:dyDescent="0.35">
      <c r="A841" s="42"/>
      <c r="B841" s="42"/>
      <c r="C841" s="42"/>
      <c r="D841" s="42"/>
      <c r="E841" s="42"/>
    </row>
    <row r="842" spans="1:5" ht="15.75" customHeight="1" x14ac:dyDescent="0.35">
      <c r="A842" s="42"/>
      <c r="B842" s="42"/>
      <c r="C842" s="42"/>
      <c r="D842" s="42"/>
      <c r="E842" s="42"/>
    </row>
    <row r="843" spans="1:5" ht="15.75" customHeight="1" x14ac:dyDescent="0.35">
      <c r="A843" s="42"/>
      <c r="B843" s="42"/>
      <c r="C843" s="42"/>
      <c r="D843" s="42"/>
      <c r="E843" s="42"/>
    </row>
    <row r="844" spans="1:5" ht="15.75" customHeight="1" x14ac:dyDescent="0.35">
      <c r="A844" s="42"/>
      <c r="B844" s="42"/>
      <c r="C844" s="42"/>
      <c r="D844" s="42"/>
      <c r="E844" s="42"/>
    </row>
    <row r="845" spans="1:5" ht="15.75" customHeight="1" x14ac:dyDescent="0.35">
      <c r="A845" s="42"/>
      <c r="B845" s="42"/>
      <c r="C845" s="42"/>
      <c r="D845" s="42"/>
      <c r="E845" s="42"/>
    </row>
    <row r="846" spans="1:5" ht="15.75" customHeight="1" x14ac:dyDescent="0.35">
      <c r="A846" s="42"/>
      <c r="B846" s="42"/>
      <c r="C846" s="42"/>
      <c r="D846" s="42"/>
      <c r="E846" s="42"/>
    </row>
    <row r="847" spans="1:5" ht="15.75" customHeight="1" x14ac:dyDescent="0.35">
      <c r="A847" s="42"/>
      <c r="B847" s="42"/>
      <c r="C847" s="42"/>
      <c r="D847" s="42"/>
      <c r="E847" s="42"/>
    </row>
    <row r="848" spans="1:5" ht="15.75" customHeight="1" x14ac:dyDescent="0.35">
      <c r="A848" s="42"/>
      <c r="B848" s="42"/>
      <c r="C848" s="42"/>
      <c r="D848" s="42"/>
      <c r="E848" s="42"/>
    </row>
    <row r="849" spans="1:5" ht="15.75" customHeight="1" x14ac:dyDescent="0.35">
      <c r="A849" s="42"/>
      <c r="B849" s="42"/>
      <c r="C849" s="42"/>
      <c r="D849" s="42"/>
      <c r="E849" s="42"/>
    </row>
    <row r="850" spans="1:5" ht="15.75" customHeight="1" x14ac:dyDescent="0.35">
      <c r="A850" s="42"/>
      <c r="B850" s="42"/>
      <c r="C850" s="42"/>
      <c r="D850" s="42"/>
      <c r="E850" s="42"/>
    </row>
    <row r="851" spans="1:5" ht="15.75" customHeight="1" x14ac:dyDescent="0.35">
      <c r="A851" s="42"/>
      <c r="B851" s="42"/>
      <c r="C851" s="42"/>
      <c r="D851" s="42"/>
      <c r="E851" s="42"/>
    </row>
    <row r="852" spans="1:5" ht="15.75" customHeight="1" x14ac:dyDescent="0.35">
      <c r="A852" s="42"/>
      <c r="B852" s="42"/>
      <c r="C852" s="42"/>
      <c r="D852" s="42"/>
      <c r="E852" s="42"/>
    </row>
    <row r="853" spans="1:5" ht="15.75" customHeight="1" x14ac:dyDescent="0.35">
      <c r="A853" s="42"/>
      <c r="B853" s="42"/>
      <c r="C853" s="42"/>
      <c r="D853" s="42"/>
      <c r="E853" s="42"/>
    </row>
    <row r="854" spans="1:5" ht="15.75" customHeight="1" x14ac:dyDescent="0.35">
      <c r="A854" s="42"/>
      <c r="B854" s="42"/>
      <c r="C854" s="42"/>
      <c r="D854" s="42"/>
      <c r="E854" s="42"/>
    </row>
    <row r="855" spans="1:5" ht="15.75" customHeight="1" x14ac:dyDescent="0.35">
      <c r="A855" s="42"/>
      <c r="B855" s="42"/>
      <c r="C855" s="42"/>
      <c r="D855" s="42"/>
      <c r="E855" s="42"/>
    </row>
    <row r="856" spans="1:5" ht="15.75" customHeight="1" x14ac:dyDescent="0.35">
      <c r="A856" s="42"/>
      <c r="B856" s="42"/>
      <c r="C856" s="42"/>
      <c r="D856" s="42"/>
      <c r="E856" s="42"/>
    </row>
    <row r="857" spans="1:5" ht="15.75" customHeight="1" x14ac:dyDescent="0.35">
      <c r="A857" s="42"/>
      <c r="B857" s="42"/>
      <c r="C857" s="42"/>
      <c r="D857" s="42"/>
      <c r="E857" s="42"/>
    </row>
    <row r="858" spans="1:5" ht="15.75" customHeight="1" x14ac:dyDescent="0.35">
      <c r="A858" s="42"/>
      <c r="B858" s="42"/>
      <c r="C858" s="42"/>
      <c r="D858" s="42"/>
      <c r="E858" s="42"/>
    </row>
    <row r="859" spans="1:5" ht="15.75" customHeight="1" x14ac:dyDescent="0.35">
      <c r="A859" s="42"/>
      <c r="B859" s="42"/>
      <c r="C859" s="42"/>
      <c r="D859" s="42"/>
      <c r="E859" s="42"/>
    </row>
    <row r="860" spans="1:5" ht="15.75" customHeight="1" x14ac:dyDescent="0.35">
      <c r="A860" s="42"/>
      <c r="B860" s="42"/>
      <c r="C860" s="42"/>
      <c r="D860" s="42"/>
      <c r="E860" s="42"/>
    </row>
    <row r="861" spans="1:5" ht="15.75" customHeight="1" x14ac:dyDescent="0.35">
      <c r="A861" s="42"/>
      <c r="B861" s="42"/>
      <c r="C861" s="42"/>
      <c r="D861" s="42"/>
      <c r="E861" s="42"/>
    </row>
    <row r="862" spans="1:5" ht="15.75" customHeight="1" x14ac:dyDescent="0.35">
      <c r="A862" s="42"/>
      <c r="B862" s="42"/>
      <c r="C862" s="42"/>
      <c r="D862" s="42"/>
      <c r="E862" s="42"/>
    </row>
    <row r="863" spans="1:5" ht="15.75" customHeight="1" x14ac:dyDescent="0.35">
      <c r="A863" s="42"/>
      <c r="B863" s="42"/>
      <c r="C863" s="42"/>
      <c r="D863" s="42"/>
      <c r="E863" s="42"/>
    </row>
    <row r="864" spans="1:5" ht="15.75" customHeight="1" x14ac:dyDescent="0.35">
      <c r="A864" s="42"/>
      <c r="B864" s="42"/>
      <c r="C864" s="42"/>
      <c r="D864" s="42"/>
      <c r="E864" s="42"/>
    </row>
    <row r="865" spans="1:5" ht="15.75" customHeight="1" x14ac:dyDescent="0.35">
      <c r="A865" s="42"/>
      <c r="B865" s="42"/>
      <c r="C865" s="42"/>
      <c r="D865" s="42"/>
      <c r="E865" s="42"/>
    </row>
    <row r="866" spans="1:5" ht="15.75" customHeight="1" x14ac:dyDescent="0.35">
      <c r="A866" s="42"/>
      <c r="B866" s="42"/>
      <c r="C866" s="42"/>
      <c r="D866" s="42"/>
      <c r="E866" s="42"/>
    </row>
    <row r="867" spans="1:5" ht="15.75" customHeight="1" x14ac:dyDescent="0.35">
      <c r="A867" s="42"/>
      <c r="B867" s="42"/>
      <c r="C867" s="42"/>
      <c r="D867" s="42"/>
      <c r="E867" s="42"/>
    </row>
    <row r="868" spans="1:5" ht="15.75" customHeight="1" x14ac:dyDescent="0.35">
      <c r="A868" s="42"/>
      <c r="B868" s="42"/>
      <c r="C868" s="42"/>
      <c r="D868" s="42"/>
      <c r="E868" s="42"/>
    </row>
    <row r="869" spans="1:5" ht="15.75" customHeight="1" x14ac:dyDescent="0.35">
      <c r="A869" s="42"/>
      <c r="B869" s="42"/>
      <c r="C869" s="42"/>
      <c r="D869" s="42"/>
      <c r="E869" s="42"/>
    </row>
    <row r="870" spans="1:5" ht="15.75" customHeight="1" x14ac:dyDescent="0.35">
      <c r="A870" s="42"/>
      <c r="B870" s="42"/>
      <c r="C870" s="42"/>
      <c r="D870" s="42"/>
      <c r="E870" s="42"/>
    </row>
    <row r="871" spans="1:5" ht="15.75" customHeight="1" x14ac:dyDescent="0.35">
      <c r="A871" s="42"/>
      <c r="B871" s="42"/>
      <c r="C871" s="42"/>
      <c r="D871" s="42"/>
      <c r="E871" s="42"/>
    </row>
    <row r="872" spans="1:5" ht="15.75" customHeight="1" x14ac:dyDescent="0.35">
      <c r="A872" s="42"/>
      <c r="B872" s="42"/>
      <c r="C872" s="42"/>
      <c r="D872" s="42"/>
      <c r="E872" s="42"/>
    </row>
    <row r="873" spans="1:5" ht="15.75" customHeight="1" x14ac:dyDescent="0.35">
      <c r="A873" s="42"/>
      <c r="B873" s="42"/>
      <c r="C873" s="42"/>
      <c r="D873" s="42"/>
      <c r="E873" s="42"/>
    </row>
    <row r="874" spans="1:5" ht="15.75" customHeight="1" x14ac:dyDescent="0.35">
      <c r="A874" s="42"/>
      <c r="B874" s="42"/>
      <c r="C874" s="42"/>
      <c r="D874" s="42"/>
      <c r="E874" s="42"/>
    </row>
    <row r="875" spans="1:5" ht="15.75" customHeight="1" x14ac:dyDescent="0.35">
      <c r="A875" s="42"/>
      <c r="B875" s="42"/>
      <c r="C875" s="42"/>
      <c r="D875" s="42"/>
      <c r="E875" s="42"/>
    </row>
    <row r="876" spans="1:5" ht="15.75" customHeight="1" x14ac:dyDescent="0.35">
      <c r="A876" s="42"/>
      <c r="B876" s="42"/>
      <c r="C876" s="42"/>
      <c r="D876" s="42"/>
      <c r="E876" s="42"/>
    </row>
    <row r="877" spans="1:5" ht="15.75" customHeight="1" x14ac:dyDescent="0.35">
      <c r="A877" s="42"/>
      <c r="B877" s="42"/>
      <c r="C877" s="42"/>
      <c r="D877" s="42"/>
      <c r="E877" s="42"/>
    </row>
    <row r="878" spans="1:5" ht="15.75" customHeight="1" x14ac:dyDescent="0.35">
      <c r="A878" s="42"/>
      <c r="B878" s="42"/>
      <c r="C878" s="42"/>
      <c r="D878" s="42"/>
      <c r="E878" s="42"/>
    </row>
    <row r="879" spans="1:5" ht="15.75" customHeight="1" x14ac:dyDescent="0.35">
      <c r="A879" s="42"/>
      <c r="B879" s="42"/>
      <c r="C879" s="42"/>
      <c r="D879" s="42"/>
      <c r="E879" s="42"/>
    </row>
    <row r="880" spans="1:5" ht="15.75" customHeight="1" x14ac:dyDescent="0.35">
      <c r="A880" s="42"/>
      <c r="B880" s="42"/>
      <c r="C880" s="42"/>
      <c r="D880" s="42"/>
      <c r="E880" s="42"/>
    </row>
    <row r="881" spans="1:5" ht="15.75" customHeight="1" x14ac:dyDescent="0.35">
      <c r="A881" s="42"/>
      <c r="B881" s="42"/>
      <c r="C881" s="42"/>
      <c r="D881" s="42"/>
      <c r="E881" s="42"/>
    </row>
    <row r="882" spans="1:5" ht="15.75" customHeight="1" x14ac:dyDescent="0.35">
      <c r="A882" s="42"/>
      <c r="B882" s="42"/>
      <c r="C882" s="42"/>
      <c r="D882" s="42"/>
      <c r="E882" s="42"/>
    </row>
    <row r="883" spans="1:5" ht="15.75" customHeight="1" x14ac:dyDescent="0.35">
      <c r="A883" s="42"/>
      <c r="B883" s="42"/>
      <c r="C883" s="42"/>
      <c r="D883" s="42"/>
      <c r="E883" s="42"/>
    </row>
    <row r="884" spans="1:5" ht="15.75" customHeight="1" x14ac:dyDescent="0.35">
      <c r="A884" s="42"/>
      <c r="B884" s="42"/>
      <c r="C884" s="42"/>
      <c r="D884" s="42"/>
      <c r="E884" s="42"/>
    </row>
    <row r="885" spans="1:5" ht="15.75" customHeight="1" x14ac:dyDescent="0.35">
      <c r="A885" s="42"/>
      <c r="B885" s="42"/>
      <c r="C885" s="42"/>
      <c r="D885" s="42"/>
      <c r="E885" s="42"/>
    </row>
    <row r="886" spans="1:5" ht="15.75" customHeight="1" x14ac:dyDescent="0.35">
      <c r="A886" s="42"/>
      <c r="B886" s="42"/>
      <c r="C886" s="42"/>
      <c r="D886" s="42"/>
      <c r="E886" s="42"/>
    </row>
    <row r="887" spans="1:5" ht="15.75" customHeight="1" x14ac:dyDescent="0.35">
      <c r="A887" s="42"/>
      <c r="B887" s="42"/>
      <c r="C887" s="42"/>
      <c r="D887" s="42"/>
      <c r="E887" s="42"/>
    </row>
    <row r="888" spans="1:5" ht="15.75" customHeight="1" x14ac:dyDescent="0.35">
      <c r="A888" s="42"/>
      <c r="B888" s="42"/>
      <c r="C888" s="42"/>
      <c r="D888" s="42"/>
      <c r="E888" s="42"/>
    </row>
    <row r="889" spans="1:5" ht="15.75" customHeight="1" x14ac:dyDescent="0.35">
      <c r="A889" s="42"/>
      <c r="B889" s="42"/>
      <c r="C889" s="42"/>
      <c r="D889" s="42"/>
      <c r="E889" s="42"/>
    </row>
    <row r="890" spans="1:5" ht="15.75" customHeight="1" x14ac:dyDescent="0.35">
      <c r="A890" s="42"/>
      <c r="B890" s="42"/>
      <c r="C890" s="42"/>
      <c r="D890" s="42"/>
      <c r="E890" s="42"/>
    </row>
    <row r="891" spans="1:5" ht="15.75" customHeight="1" x14ac:dyDescent="0.35">
      <c r="A891" s="42"/>
      <c r="B891" s="42"/>
      <c r="C891" s="42"/>
      <c r="D891" s="42"/>
      <c r="E891" s="42"/>
    </row>
    <row r="892" spans="1:5" ht="15.75" customHeight="1" x14ac:dyDescent="0.35">
      <c r="A892" s="42"/>
      <c r="B892" s="42"/>
      <c r="C892" s="42"/>
      <c r="D892" s="42"/>
      <c r="E892" s="42"/>
    </row>
    <row r="893" spans="1:5" ht="15.75" customHeight="1" x14ac:dyDescent="0.35">
      <c r="A893" s="42"/>
      <c r="B893" s="42"/>
      <c r="C893" s="42"/>
      <c r="D893" s="42"/>
      <c r="E893" s="42"/>
    </row>
    <row r="894" spans="1:5" ht="15.75" customHeight="1" x14ac:dyDescent="0.35">
      <c r="A894" s="42"/>
      <c r="B894" s="42"/>
      <c r="C894" s="42"/>
      <c r="D894" s="42"/>
      <c r="E894" s="42"/>
    </row>
    <row r="895" spans="1:5" ht="15.75" customHeight="1" x14ac:dyDescent="0.35">
      <c r="A895" s="42"/>
      <c r="B895" s="42"/>
      <c r="C895" s="42"/>
      <c r="D895" s="42"/>
      <c r="E895" s="42"/>
    </row>
    <row r="896" spans="1:5" ht="15.75" customHeight="1" x14ac:dyDescent="0.35">
      <c r="A896" s="42"/>
      <c r="B896" s="42"/>
      <c r="C896" s="42"/>
      <c r="D896" s="42"/>
      <c r="E896" s="42"/>
    </row>
    <row r="897" spans="1:5" ht="15.75" customHeight="1" x14ac:dyDescent="0.35">
      <c r="A897" s="42"/>
      <c r="B897" s="42"/>
      <c r="C897" s="42"/>
      <c r="D897" s="42"/>
      <c r="E897" s="42"/>
    </row>
    <row r="898" spans="1:5" ht="15.75" customHeight="1" x14ac:dyDescent="0.35">
      <c r="A898" s="42"/>
      <c r="B898" s="42"/>
      <c r="C898" s="42"/>
      <c r="D898" s="42"/>
      <c r="E898" s="42"/>
    </row>
    <row r="899" spans="1:5" ht="15.75" customHeight="1" x14ac:dyDescent="0.35">
      <c r="A899" s="42"/>
      <c r="B899" s="42"/>
      <c r="C899" s="42"/>
      <c r="D899" s="42"/>
      <c r="E899" s="42"/>
    </row>
    <row r="900" spans="1:5" ht="15.75" customHeight="1" x14ac:dyDescent="0.35">
      <c r="A900" s="42"/>
      <c r="B900" s="42"/>
      <c r="C900" s="42"/>
      <c r="D900" s="42"/>
      <c r="E900" s="42"/>
    </row>
    <row r="901" spans="1:5" ht="15.75" customHeight="1" x14ac:dyDescent="0.35">
      <c r="A901" s="42"/>
      <c r="B901" s="42"/>
      <c r="C901" s="42"/>
      <c r="D901" s="42"/>
      <c r="E901" s="42"/>
    </row>
    <row r="902" spans="1:5" ht="15.75" customHeight="1" x14ac:dyDescent="0.35">
      <c r="A902" s="42"/>
      <c r="B902" s="42"/>
      <c r="C902" s="42"/>
      <c r="D902" s="42"/>
      <c r="E902" s="42"/>
    </row>
    <row r="903" spans="1:5" ht="15.75" customHeight="1" x14ac:dyDescent="0.35">
      <c r="A903" s="42"/>
      <c r="B903" s="42"/>
      <c r="C903" s="42"/>
      <c r="D903" s="42"/>
      <c r="E903" s="42"/>
    </row>
    <row r="904" spans="1:5" ht="15.75" customHeight="1" x14ac:dyDescent="0.35">
      <c r="A904" s="42"/>
      <c r="B904" s="42"/>
      <c r="C904" s="42"/>
      <c r="D904" s="42"/>
      <c r="E904" s="42"/>
    </row>
    <row r="905" spans="1:5" ht="15.75" customHeight="1" x14ac:dyDescent="0.35">
      <c r="A905" s="42"/>
      <c r="B905" s="42"/>
      <c r="C905" s="42"/>
      <c r="D905" s="42"/>
      <c r="E905" s="42"/>
    </row>
    <row r="906" spans="1:5" ht="15.75" customHeight="1" x14ac:dyDescent="0.35">
      <c r="A906" s="42"/>
      <c r="B906" s="42"/>
      <c r="C906" s="42"/>
      <c r="D906" s="42"/>
      <c r="E906" s="42"/>
    </row>
    <row r="907" spans="1:5" ht="15.75" customHeight="1" x14ac:dyDescent="0.35">
      <c r="A907" s="42"/>
      <c r="B907" s="42"/>
      <c r="C907" s="42"/>
      <c r="D907" s="42"/>
      <c r="E907" s="42"/>
    </row>
    <row r="908" spans="1:5" ht="15.75" customHeight="1" x14ac:dyDescent="0.35">
      <c r="A908" s="42"/>
      <c r="B908" s="42"/>
      <c r="C908" s="42"/>
      <c r="D908" s="42"/>
      <c r="E908" s="42"/>
    </row>
    <row r="909" spans="1:5" ht="15.75" customHeight="1" x14ac:dyDescent="0.35">
      <c r="A909" s="42"/>
      <c r="B909" s="42"/>
      <c r="C909" s="42"/>
      <c r="D909" s="42"/>
      <c r="E909" s="42"/>
    </row>
    <row r="910" spans="1:5" ht="15.75" customHeight="1" x14ac:dyDescent="0.35">
      <c r="A910" s="42"/>
      <c r="B910" s="42"/>
      <c r="C910" s="42"/>
      <c r="D910" s="42"/>
      <c r="E910" s="42"/>
    </row>
    <row r="911" spans="1:5" ht="15.75" customHeight="1" x14ac:dyDescent="0.35">
      <c r="A911" s="42"/>
      <c r="B911" s="42"/>
      <c r="C911" s="42"/>
      <c r="D911" s="42"/>
      <c r="E911" s="42"/>
    </row>
    <row r="912" spans="1:5" ht="15.75" customHeight="1" x14ac:dyDescent="0.35">
      <c r="A912" s="42"/>
      <c r="B912" s="42"/>
      <c r="C912" s="42"/>
      <c r="D912" s="42"/>
      <c r="E912" s="42"/>
    </row>
    <row r="913" spans="1:5" ht="15.75" customHeight="1" x14ac:dyDescent="0.35">
      <c r="A913" s="42"/>
      <c r="B913" s="42"/>
      <c r="C913" s="42"/>
      <c r="D913" s="42"/>
      <c r="E913" s="42"/>
    </row>
    <row r="914" spans="1:5" ht="15.75" customHeight="1" x14ac:dyDescent="0.35">
      <c r="A914" s="42"/>
      <c r="B914" s="42"/>
      <c r="C914" s="42"/>
      <c r="D914" s="42"/>
      <c r="E914" s="42"/>
    </row>
    <row r="915" spans="1:5" ht="15.75" customHeight="1" x14ac:dyDescent="0.35">
      <c r="A915" s="42"/>
      <c r="B915" s="42"/>
      <c r="C915" s="42"/>
      <c r="D915" s="42"/>
      <c r="E915" s="42"/>
    </row>
    <row r="916" spans="1:5" ht="15.75" customHeight="1" x14ac:dyDescent="0.35">
      <c r="A916" s="42"/>
      <c r="B916" s="42"/>
      <c r="C916" s="42"/>
      <c r="D916" s="42"/>
      <c r="E916" s="42"/>
    </row>
    <row r="917" spans="1:5" ht="15.75" customHeight="1" x14ac:dyDescent="0.35">
      <c r="A917" s="42"/>
      <c r="B917" s="42"/>
      <c r="C917" s="42"/>
      <c r="D917" s="42"/>
      <c r="E917" s="42"/>
    </row>
    <row r="918" spans="1:5" ht="15.75" customHeight="1" x14ac:dyDescent="0.35">
      <c r="A918" s="42"/>
      <c r="B918" s="42"/>
      <c r="C918" s="42"/>
      <c r="D918" s="42"/>
      <c r="E918" s="42"/>
    </row>
    <row r="919" spans="1:5" ht="15.75" customHeight="1" x14ac:dyDescent="0.35">
      <c r="A919" s="42"/>
      <c r="B919" s="42"/>
      <c r="C919" s="42"/>
      <c r="D919" s="42"/>
      <c r="E919" s="42"/>
    </row>
    <row r="920" spans="1:5" ht="15.75" customHeight="1" x14ac:dyDescent="0.35">
      <c r="A920" s="42"/>
      <c r="B920" s="42"/>
      <c r="C920" s="42"/>
      <c r="D920" s="42"/>
      <c r="E920" s="42"/>
    </row>
    <row r="921" spans="1:5" ht="15.75" customHeight="1" x14ac:dyDescent="0.35">
      <c r="A921" s="42"/>
      <c r="B921" s="42"/>
      <c r="C921" s="42"/>
      <c r="D921" s="42"/>
      <c r="E921" s="42"/>
    </row>
    <row r="922" spans="1:5" ht="15.75" customHeight="1" x14ac:dyDescent="0.35">
      <c r="A922" s="42"/>
      <c r="B922" s="42"/>
      <c r="C922" s="42"/>
      <c r="D922" s="42"/>
      <c r="E922" s="42"/>
    </row>
    <row r="923" spans="1:5" ht="15.75" customHeight="1" x14ac:dyDescent="0.35">
      <c r="A923" s="42"/>
      <c r="B923" s="42"/>
      <c r="C923" s="42"/>
      <c r="D923" s="42"/>
      <c r="E923" s="42"/>
    </row>
    <row r="924" spans="1:5" ht="15.75" customHeight="1" x14ac:dyDescent="0.35">
      <c r="A924" s="42"/>
      <c r="B924" s="42"/>
      <c r="C924" s="42"/>
      <c r="D924" s="42"/>
      <c r="E924" s="42"/>
    </row>
    <row r="925" spans="1:5" ht="15.75" customHeight="1" x14ac:dyDescent="0.35">
      <c r="A925" s="42"/>
      <c r="B925" s="42"/>
      <c r="C925" s="42"/>
      <c r="D925" s="42"/>
      <c r="E925" s="42"/>
    </row>
    <row r="926" spans="1:5" ht="15.75" customHeight="1" x14ac:dyDescent="0.35">
      <c r="A926" s="42"/>
      <c r="B926" s="42"/>
      <c r="C926" s="42"/>
      <c r="D926" s="42"/>
      <c r="E926" s="42"/>
    </row>
    <row r="927" spans="1:5" ht="15.75" customHeight="1" x14ac:dyDescent="0.35">
      <c r="A927" s="42"/>
      <c r="B927" s="42"/>
      <c r="C927" s="42"/>
      <c r="D927" s="42"/>
      <c r="E927" s="42"/>
    </row>
    <row r="928" spans="1:5" ht="15.75" customHeight="1" x14ac:dyDescent="0.35">
      <c r="A928" s="42"/>
      <c r="B928" s="42"/>
      <c r="C928" s="42"/>
      <c r="D928" s="42"/>
      <c r="E928" s="42"/>
    </row>
    <row r="929" spans="1:5" ht="15.75" customHeight="1" x14ac:dyDescent="0.35">
      <c r="A929" s="42"/>
      <c r="B929" s="42"/>
      <c r="C929" s="42"/>
      <c r="D929" s="42"/>
      <c r="E929" s="42"/>
    </row>
    <row r="930" spans="1:5" ht="15.75" customHeight="1" x14ac:dyDescent="0.35">
      <c r="A930" s="42"/>
      <c r="B930" s="42"/>
      <c r="C930" s="42"/>
      <c r="D930" s="42"/>
      <c r="E930" s="42"/>
    </row>
    <row r="931" spans="1:5" ht="15.75" customHeight="1" x14ac:dyDescent="0.35">
      <c r="A931" s="42"/>
      <c r="B931" s="42"/>
      <c r="C931" s="42"/>
      <c r="D931" s="42"/>
      <c r="E931" s="42"/>
    </row>
    <row r="932" spans="1:5" ht="15.75" customHeight="1" x14ac:dyDescent="0.35">
      <c r="A932" s="42"/>
      <c r="B932" s="42"/>
      <c r="C932" s="42"/>
      <c r="D932" s="42"/>
      <c r="E932" s="42"/>
    </row>
    <row r="933" spans="1:5" ht="15.75" customHeight="1" x14ac:dyDescent="0.35">
      <c r="A933" s="42"/>
      <c r="B933" s="42"/>
      <c r="C933" s="42"/>
      <c r="D933" s="42"/>
      <c r="E933" s="42"/>
    </row>
    <row r="934" spans="1:5" ht="15.75" customHeight="1" x14ac:dyDescent="0.35">
      <c r="A934" s="42"/>
      <c r="B934" s="42"/>
      <c r="C934" s="42"/>
      <c r="D934" s="42"/>
      <c r="E934" s="42"/>
    </row>
    <row r="935" spans="1:5" ht="15.75" customHeight="1" x14ac:dyDescent="0.35">
      <c r="A935" s="42"/>
      <c r="B935" s="42"/>
      <c r="C935" s="42"/>
      <c r="D935" s="42"/>
      <c r="E935" s="42"/>
    </row>
    <row r="936" spans="1:5" ht="15.75" customHeight="1" x14ac:dyDescent="0.35">
      <c r="A936" s="42"/>
      <c r="B936" s="42"/>
      <c r="C936" s="42"/>
      <c r="D936" s="42"/>
      <c r="E936" s="42"/>
    </row>
    <row r="937" spans="1:5" ht="15.75" customHeight="1" x14ac:dyDescent="0.35">
      <c r="A937" s="42"/>
      <c r="B937" s="42"/>
      <c r="C937" s="42"/>
      <c r="D937" s="42"/>
      <c r="E937" s="42"/>
    </row>
    <row r="938" spans="1:5" ht="15.75" customHeight="1" x14ac:dyDescent="0.35">
      <c r="A938" s="42"/>
      <c r="B938" s="42"/>
      <c r="C938" s="42"/>
      <c r="D938" s="42"/>
      <c r="E938" s="42"/>
    </row>
    <row r="939" spans="1:5" ht="15.75" customHeight="1" x14ac:dyDescent="0.35">
      <c r="A939" s="42"/>
      <c r="B939" s="42"/>
      <c r="C939" s="42"/>
      <c r="D939" s="42"/>
      <c r="E939" s="42"/>
    </row>
    <row r="940" spans="1:5" ht="15.75" customHeight="1" x14ac:dyDescent="0.35">
      <c r="A940" s="42"/>
      <c r="B940" s="42"/>
      <c r="C940" s="42"/>
      <c r="D940" s="42"/>
      <c r="E940" s="42"/>
    </row>
    <row r="941" spans="1:5" ht="15.75" customHeight="1" x14ac:dyDescent="0.35">
      <c r="A941" s="42"/>
      <c r="B941" s="42"/>
      <c r="C941" s="42"/>
      <c r="D941" s="42"/>
      <c r="E941" s="42"/>
    </row>
    <row r="942" spans="1:5" ht="15.75" customHeight="1" x14ac:dyDescent="0.35">
      <c r="A942" s="42"/>
      <c r="B942" s="42"/>
      <c r="C942" s="42"/>
      <c r="D942" s="42"/>
      <c r="E942" s="42"/>
    </row>
    <row r="943" spans="1:5" ht="15.75" customHeight="1" x14ac:dyDescent="0.35">
      <c r="A943" s="42"/>
      <c r="B943" s="42"/>
      <c r="C943" s="42"/>
      <c r="D943" s="42"/>
      <c r="E943" s="42"/>
    </row>
    <row r="944" spans="1:5" ht="15.75" customHeight="1" x14ac:dyDescent="0.35">
      <c r="A944" s="42"/>
      <c r="B944" s="42"/>
      <c r="C944" s="42"/>
      <c r="D944" s="42"/>
      <c r="E944" s="42"/>
    </row>
    <row r="945" spans="1:5" ht="15.75" customHeight="1" x14ac:dyDescent="0.35">
      <c r="A945" s="42"/>
      <c r="B945" s="42"/>
      <c r="C945" s="42"/>
      <c r="D945" s="42"/>
      <c r="E945" s="42"/>
    </row>
    <row r="946" spans="1:5" ht="15.75" customHeight="1" x14ac:dyDescent="0.35">
      <c r="A946" s="42"/>
      <c r="B946" s="42"/>
      <c r="C946" s="42"/>
      <c r="D946" s="42"/>
      <c r="E946" s="42"/>
    </row>
    <row r="947" spans="1:5" ht="15.75" customHeight="1" x14ac:dyDescent="0.35">
      <c r="A947" s="42"/>
      <c r="B947" s="42"/>
      <c r="C947" s="42"/>
      <c r="D947" s="42"/>
      <c r="E947" s="42"/>
    </row>
    <row r="948" spans="1:5" ht="15.75" customHeight="1" x14ac:dyDescent="0.35">
      <c r="A948" s="42"/>
      <c r="B948" s="42"/>
      <c r="C948" s="42"/>
      <c r="D948" s="42"/>
      <c r="E948" s="42"/>
    </row>
    <row r="949" spans="1:5" ht="15.75" customHeight="1" x14ac:dyDescent="0.35">
      <c r="A949" s="42"/>
      <c r="B949" s="42"/>
      <c r="C949" s="42"/>
      <c r="D949" s="42"/>
      <c r="E949" s="42"/>
    </row>
    <row r="950" spans="1:5" ht="15.75" customHeight="1" x14ac:dyDescent="0.35">
      <c r="A950" s="42"/>
      <c r="B950" s="42"/>
      <c r="C950" s="42"/>
      <c r="D950" s="42"/>
      <c r="E950" s="42"/>
    </row>
    <row r="951" spans="1:5" ht="15.75" customHeight="1" x14ac:dyDescent="0.35">
      <c r="A951" s="42"/>
      <c r="B951" s="42"/>
      <c r="C951" s="42"/>
      <c r="D951" s="42"/>
      <c r="E951" s="42"/>
    </row>
    <row r="952" spans="1:5" ht="15.75" customHeight="1" x14ac:dyDescent="0.35">
      <c r="A952" s="42"/>
      <c r="B952" s="42"/>
      <c r="C952" s="42"/>
      <c r="D952" s="42"/>
      <c r="E952" s="42"/>
    </row>
    <row r="953" spans="1:5" ht="15.75" customHeight="1" x14ac:dyDescent="0.35">
      <c r="A953" s="42"/>
      <c r="B953" s="42"/>
      <c r="C953" s="42"/>
      <c r="D953" s="42"/>
      <c r="E953" s="42"/>
    </row>
    <row r="954" spans="1:5" ht="15.75" customHeight="1" x14ac:dyDescent="0.35">
      <c r="A954" s="42"/>
      <c r="B954" s="42"/>
      <c r="C954" s="42"/>
      <c r="D954" s="42"/>
      <c r="E954" s="42"/>
    </row>
    <row r="955" spans="1:5" ht="15.75" customHeight="1" x14ac:dyDescent="0.35">
      <c r="A955" s="42"/>
      <c r="B955" s="42"/>
      <c r="C955" s="42"/>
      <c r="D955" s="42"/>
      <c r="E955" s="42"/>
    </row>
    <row r="956" spans="1:5" ht="15.75" customHeight="1" x14ac:dyDescent="0.35">
      <c r="A956" s="42"/>
      <c r="B956" s="42"/>
      <c r="C956" s="42"/>
      <c r="D956" s="42"/>
      <c r="E956" s="42"/>
    </row>
    <row r="957" spans="1:5" ht="15.75" customHeight="1" x14ac:dyDescent="0.35">
      <c r="A957" s="42"/>
      <c r="B957" s="42"/>
      <c r="C957" s="42"/>
      <c r="D957" s="42"/>
      <c r="E957" s="42"/>
    </row>
    <row r="958" spans="1:5" ht="15.75" customHeight="1" x14ac:dyDescent="0.35">
      <c r="A958" s="42"/>
      <c r="B958" s="42"/>
      <c r="C958" s="42"/>
      <c r="D958" s="42"/>
      <c r="E958" s="42"/>
    </row>
    <row r="959" spans="1:5" ht="15.75" customHeight="1" x14ac:dyDescent="0.35">
      <c r="A959" s="42"/>
      <c r="B959" s="42"/>
      <c r="C959" s="42"/>
      <c r="D959" s="42"/>
      <c r="E959" s="42"/>
    </row>
    <row r="960" spans="1:5" ht="15.75" customHeight="1" x14ac:dyDescent="0.35">
      <c r="A960" s="42"/>
      <c r="B960" s="42"/>
      <c r="C960" s="42"/>
      <c r="D960" s="42"/>
      <c r="E960" s="42"/>
    </row>
    <row r="961" spans="1:5" ht="15.75" customHeight="1" x14ac:dyDescent="0.35">
      <c r="A961" s="42"/>
      <c r="B961" s="42"/>
      <c r="C961" s="42"/>
      <c r="D961" s="42"/>
      <c r="E961" s="42"/>
    </row>
    <row r="962" spans="1:5" ht="15.75" customHeight="1" x14ac:dyDescent="0.35">
      <c r="A962" s="42"/>
      <c r="B962" s="42"/>
      <c r="C962" s="42"/>
      <c r="D962" s="42"/>
      <c r="E962" s="42"/>
    </row>
    <row r="963" spans="1:5" ht="15.75" customHeight="1" x14ac:dyDescent="0.35">
      <c r="A963" s="42"/>
      <c r="B963" s="42"/>
      <c r="C963" s="42"/>
      <c r="D963" s="42"/>
      <c r="E963" s="42"/>
    </row>
    <row r="964" spans="1:5" ht="15.75" customHeight="1" x14ac:dyDescent="0.35">
      <c r="A964" s="42"/>
      <c r="B964" s="42"/>
      <c r="C964" s="42"/>
      <c r="D964" s="42"/>
      <c r="E964" s="42"/>
    </row>
    <row r="965" spans="1:5" ht="15.75" customHeight="1" x14ac:dyDescent="0.35">
      <c r="A965" s="42"/>
      <c r="B965" s="42"/>
      <c r="C965" s="42"/>
      <c r="D965" s="42"/>
      <c r="E965" s="42"/>
    </row>
    <row r="966" spans="1:5" ht="15.75" customHeight="1" x14ac:dyDescent="0.35">
      <c r="A966" s="42"/>
      <c r="B966" s="42"/>
      <c r="C966" s="42"/>
      <c r="D966" s="42"/>
      <c r="E966" s="42"/>
    </row>
    <row r="967" spans="1:5" ht="15.75" customHeight="1" x14ac:dyDescent="0.35">
      <c r="A967" s="42"/>
      <c r="B967" s="42"/>
      <c r="C967" s="42"/>
      <c r="D967" s="42"/>
      <c r="E967" s="42"/>
    </row>
    <row r="968" spans="1:5" ht="15.75" customHeight="1" x14ac:dyDescent="0.35">
      <c r="A968" s="42"/>
      <c r="B968" s="42"/>
      <c r="C968" s="42"/>
      <c r="D968" s="42"/>
      <c r="E968" s="42"/>
    </row>
    <row r="969" spans="1:5" ht="15.75" customHeight="1" x14ac:dyDescent="0.35">
      <c r="A969" s="42"/>
      <c r="B969" s="42"/>
      <c r="C969" s="42"/>
      <c r="D969" s="42"/>
      <c r="E969" s="42"/>
    </row>
    <row r="970" spans="1:5" ht="15.75" customHeight="1" x14ac:dyDescent="0.35">
      <c r="A970" s="42"/>
      <c r="B970" s="42"/>
      <c r="C970" s="42"/>
      <c r="D970" s="42"/>
      <c r="E970" s="42"/>
    </row>
    <row r="971" spans="1:5" ht="15.75" customHeight="1" x14ac:dyDescent="0.35">
      <c r="A971" s="42"/>
      <c r="B971" s="42"/>
      <c r="C971" s="42"/>
      <c r="D971" s="42"/>
      <c r="E971" s="42"/>
    </row>
    <row r="972" spans="1:5" ht="15.75" customHeight="1" x14ac:dyDescent="0.35">
      <c r="A972" s="42"/>
      <c r="B972" s="42"/>
      <c r="C972" s="42"/>
      <c r="D972" s="42"/>
      <c r="E972" s="42"/>
    </row>
    <row r="973" spans="1:5" ht="15.75" customHeight="1" x14ac:dyDescent="0.35">
      <c r="A973" s="42"/>
      <c r="B973" s="42"/>
      <c r="C973" s="42"/>
      <c r="D973" s="42"/>
      <c r="E973" s="42"/>
    </row>
    <row r="974" spans="1:5" ht="15.75" customHeight="1" x14ac:dyDescent="0.35">
      <c r="A974" s="42"/>
      <c r="B974" s="42"/>
      <c r="C974" s="42"/>
      <c r="D974" s="42"/>
      <c r="E974" s="42"/>
    </row>
    <row r="975" spans="1:5" ht="15.75" customHeight="1" x14ac:dyDescent="0.35">
      <c r="A975" s="42"/>
      <c r="B975" s="42"/>
      <c r="C975" s="42"/>
      <c r="D975" s="42"/>
      <c r="E975" s="42"/>
    </row>
    <row r="976" spans="1:5" ht="15.75" customHeight="1" x14ac:dyDescent="0.35">
      <c r="A976" s="42"/>
      <c r="B976" s="42"/>
      <c r="C976" s="42"/>
      <c r="D976" s="42"/>
      <c r="E976" s="42"/>
    </row>
    <row r="977" spans="1:5" ht="15.75" customHeight="1" x14ac:dyDescent="0.35">
      <c r="A977" s="42"/>
      <c r="B977" s="42"/>
      <c r="C977" s="42"/>
      <c r="D977" s="42"/>
      <c r="E977" s="42"/>
    </row>
    <row r="978" spans="1:5" ht="15.75" customHeight="1" x14ac:dyDescent="0.35">
      <c r="A978" s="42"/>
      <c r="B978" s="42"/>
      <c r="C978" s="42"/>
      <c r="D978" s="42"/>
      <c r="E978" s="42"/>
    </row>
    <row r="979" spans="1:5" ht="15.75" customHeight="1" x14ac:dyDescent="0.35">
      <c r="A979" s="42"/>
      <c r="B979" s="42"/>
      <c r="C979" s="42"/>
      <c r="D979" s="42"/>
      <c r="E979" s="42"/>
    </row>
    <row r="980" spans="1:5" ht="15.75" customHeight="1" x14ac:dyDescent="0.35">
      <c r="A980" s="42"/>
      <c r="B980" s="42"/>
      <c r="C980" s="42"/>
      <c r="D980" s="42"/>
      <c r="E980" s="42"/>
    </row>
    <row r="981" spans="1:5" ht="15.75" customHeight="1" x14ac:dyDescent="0.35">
      <c r="A981" s="42"/>
      <c r="B981" s="42"/>
      <c r="C981" s="42"/>
      <c r="D981" s="42"/>
      <c r="E981" s="42"/>
    </row>
    <row r="982" spans="1:5" ht="15.75" customHeight="1" x14ac:dyDescent="0.35">
      <c r="A982" s="42"/>
      <c r="B982" s="42"/>
      <c r="C982" s="42"/>
      <c r="D982" s="42"/>
      <c r="E982" s="42"/>
    </row>
    <row r="983" spans="1:5" ht="15.75" customHeight="1" x14ac:dyDescent="0.35">
      <c r="A983" s="42"/>
      <c r="B983" s="42"/>
      <c r="C983" s="42"/>
      <c r="D983" s="42"/>
      <c r="E983" s="42"/>
    </row>
    <row r="984" spans="1:5" ht="15.75" customHeight="1" x14ac:dyDescent="0.35">
      <c r="A984" s="42"/>
      <c r="B984" s="42"/>
      <c r="C984" s="42"/>
      <c r="D984" s="42"/>
      <c r="E984" s="42"/>
    </row>
    <row r="985" spans="1:5" ht="15.75" customHeight="1" x14ac:dyDescent="0.35">
      <c r="A985" s="42"/>
      <c r="B985" s="42"/>
      <c r="C985" s="42"/>
      <c r="D985" s="42"/>
      <c r="E985" s="42"/>
    </row>
    <row r="986" spans="1:5" ht="15.75" customHeight="1" x14ac:dyDescent="0.35">
      <c r="A986" s="42"/>
      <c r="B986" s="42"/>
      <c r="C986" s="42"/>
      <c r="D986" s="42"/>
      <c r="E986" s="42"/>
    </row>
    <row r="987" spans="1:5" ht="15.75" customHeight="1" x14ac:dyDescent="0.35">
      <c r="A987" s="42"/>
      <c r="B987" s="42"/>
      <c r="C987" s="42"/>
      <c r="D987" s="42"/>
      <c r="E987" s="42"/>
    </row>
    <row r="988" spans="1:5" ht="15.75" customHeight="1" x14ac:dyDescent="0.35">
      <c r="A988" s="42"/>
      <c r="B988" s="42"/>
      <c r="C988" s="42"/>
      <c r="D988" s="42"/>
      <c r="E988" s="42"/>
    </row>
    <row r="989" spans="1:5" ht="15.75" customHeight="1" x14ac:dyDescent="0.35">
      <c r="A989" s="42"/>
      <c r="B989" s="42"/>
      <c r="C989" s="42"/>
      <c r="D989" s="42"/>
      <c r="E989" s="42"/>
    </row>
    <row r="990" spans="1:5" ht="15.75" customHeight="1" x14ac:dyDescent="0.35">
      <c r="A990" s="42"/>
      <c r="B990" s="42"/>
      <c r="C990" s="42"/>
      <c r="D990" s="42"/>
      <c r="E990" s="42"/>
    </row>
    <row r="991" spans="1:5" ht="15.75" customHeight="1" x14ac:dyDescent="0.35"/>
    <row r="992" spans="1:5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hyperlinks>
    <hyperlink ref="E2" r:id="rId1" display="https://docs.fivem.net/vehicles/bmx.webp" xr:uid="{00000000-0004-0000-0100-000000000000}"/>
    <hyperlink ref="E3" r:id="rId2" display="https://docs.fivem.net/vehicles/cruiser.webp" xr:uid="{00000000-0004-0000-0100-000001000000}"/>
    <hyperlink ref="E4" r:id="rId3" display="https://docs.fivem.net/vehicles/fixter.webp" xr:uid="{00000000-0004-0000-0100-000002000000}"/>
    <hyperlink ref="E5" r:id="rId4" display="https://docs.fivem.net/vehicles/inductor.webp" xr:uid="{00000000-0004-0000-0100-000003000000}"/>
    <hyperlink ref="E6" r:id="rId5" display="https://docs.fivem.net/vehicles/inductor2.webp" xr:uid="{00000000-0004-0000-0100-000004000000}"/>
    <hyperlink ref="E7" r:id="rId6" display="https://docs.fivem.net/vehicles/scorcher.webp" xr:uid="{00000000-0004-0000-0100-000005000000}"/>
    <hyperlink ref="E8" r:id="rId7" display="https://docs.fivem.net/vehicles/tribike.webp" xr:uid="{00000000-0004-0000-0100-000006000000}"/>
    <hyperlink ref="E9" r:id="rId8" display="https://docs.fivem.net/vehicles/tribike2.webp" xr:uid="{00000000-0004-0000-0100-000007000000}"/>
    <hyperlink ref="E10" r:id="rId9" display="https://docs.fivem.net/vehicles/tribike3.webp" xr:uid="{00000000-0004-0000-0100-000008000000}"/>
    <hyperlink ref="E11" r:id="rId10" display="https://docs.fivem.net/vehicles/formula.webp" xr:uid="{00000000-0004-0000-0100-000009000000}"/>
    <hyperlink ref="E12" r:id="rId11" display="https://docs.fivem.net/vehicles/formula2.webp" xr:uid="{00000000-0004-0000-0100-00000A000000}"/>
    <hyperlink ref="E13" r:id="rId12" display="https://docs.fivem.net/vehicles/openwheel1.webp" xr:uid="{00000000-0004-0000-0100-00000B000000}"/>
    <hyperlink ref="E14" r:id="rId13" display="https://docs.fivem.net/vehicles/openwheel2.webp" xr:uid="{00000000-0004-0000-0100-00000C000000}"/>
    <hyperlink ref="E15" r:id="rId14" display="https://docs.fivem.net/vehicles/asbo.webp" xr:uid="{00000000-0004-0000-0100-00000D000000}"/>
    <hyperlink ref="E16" r:id="rId15" display="https://docs.fivem.net/vehicles/powersurge.webp" xr:uid="{00000000-0004-0000-0100-00000E000000}"/>
    <hyperlink ref="E17" r:id="rId16" display="https://docs.fivem.net/vehicles/blista2.webp" xr:uid="{00000000-0004-0000-0100-00000F000000}"/>
    <hyperlink ref="E18" r:id="rId17" display="https://docs.fivem.net/vehicles/blista3.webp" xr:uid="{00000000-0004-0000-0100-000010000000}"/>
    <hyperlink ref="E19" r:id="rId18" display="https://docs.fivem.net/vehicles/boor.webp" xr:uid="{00000000-0004-0000-0100-000011000000}"/>
    <hyperlink ref="E20" r:id="rId19" display="https://docs.fivem.net/vehicles/lectro.webp" xr:uid="{00000000-0004-0000-0100-000012000000}"/>
    <hyperlink ref="E21" r:id="rId20" display="https://docs.fivem.net/vehicles/brioso2.webp" xr:uid="{00000000-0004-0000-0100-000013000000}"/>
    <hyperlink ref="E22" r:id="rId21" display="https://docs.fivem.net/vehicles/club.webp" xr:uid="{00000000-0004-0000-0100-000014000000}"/>
    <hyperlink ref="E23" r:id="rId22" display="https://docs.fivem.net/vehicles/dilettante.webp" xr:uid="{00000000-0004-0000-0100-000015000000}"/>
    <hyperlink ref="E24" r:id="rId23" display="https://docs.fivem.net/vehicles/issi2.webp" xr:uid="{00000000-0004-0000-0100-000016000000}"/>
    <hyperlink ref="E25" r:id="rId24" display="https://docs.fivem.net/vehicles/issi3.webp" xr:uid="{00000000-0004-0000-0100-000017000000}"/>
    <hyperlink ref="E26" r:id="rId25" display="https://docs.fivem.net/vehicles/issi4.webp" xr:uid="{00000000-0004-0000-0100-000018000000}"/>
    <hyperlink ref="E27" r:id="rId26" display="https://docs.fivem.net/vehicles/issi5.webp" xr:uid="{00000000-0004-0000-0100-000019000000}"/>
    <hyperlink ref="E28" r:id="rId27" display="https://docs.fivem.net/vehicles/issi6.webp" xr:uid="{00000000-0004-0000-0100-00001A000000}"/>
    <hyperlink ref="E29" r:id="rId28" display="https://docs.fivem.net/vehicles/issi7.webp" xr:uid="{00000000-0004-0000-0100-00001B000000}"/>
    <hyperlink ref="E30" r:id="rId29" display="https://docs.fivem.net/vehicles/issi8.webp" xr:uid="{00000000-0004-0000-0100-00001C000000}"/>
    <hyperlink ref="E31" r:id="rId30" display="https://docs.fivem.net/vehicles/kanjo.webp" xr:uid="{00000000-0004-0000-0100-00001D000000}"/>
    <hyperlink ref="E32" r:id="rId31" display="https://docs.fivem.net/vehicles/panto.webp" xr:uid="{00000000-0004-0000-0100-00001E000000}"/>
    <hyperlink ref="E33" r:id="rId32" display="https://docs.fivem.net/vehicles/prairie.webp" xr:uid="{00000000-0004-0000-0100-00001F000000}"/>
    <hyperlink ref="E34" r:id="rId33" display="https://docs.fivem.net/vehicles/rhapsody.webp" xr:uid="{00000000-0004-0000-0100-000020000000}"/>
    <hyperlink ref="E35" r:id="rId34" display="https://docs.fivem.net/vehicles/weevil.webp" xr:uid="{00000000-0004-0000-0100-000021000000}"/>
    <hyperlink ref="E36" r:id="rId35" display="https://docs.fivem.net/vehicles/broadway.webp" xr:uid="{00000000-0004-0000-0100-000022000000}"/>
    <hyperlink ref="E37" r:id="rId36" display="https://docs.fivem.net/vehicles/champion.webp" xr:uid="{00000000-0004-0000-0100-000023000000}"/>
    <hyperlink ref="E38" r:id="rId37" display="https://docs.fivem.net/vehicles/cogcabrio.webp" xr:uid="{00000000-0004-0000-0100-000024000000}"/>
    <hyperlink ref="E39" r:id="rId38" display="https://docs.fivem.net/vehicles/cognoscenti.webp" xr:uid="{00000000-0004-0000-0100-000025000000}"/>
    <hyperlink ref="E40" r:id="rId39" display="https://docs.fivem.net/vehicles/exemplar.webp" xr:uid="{00000000-0004-0000-0100-000026000000}"/>
    <hyperlink ref="E41" r:id="rId40" display="https://docs.fivem.net/vehicles/f620.webp" xr:uid="{00000000-0004-0000-0100-000027000000}"/>
    <hyperlink ref="E42" r:id="rId41" display="https://docs.fivem.net/vehicles/felon.webp" xr:uid="{00000000-0004-0000-0100-000028000000}"/>
    <hyperlink ref="E43" r:id="rId42" display="https://docs.fivem.net/vehicles/felon2.webp" xr:uid="{00000000-0004-0000-0100-000029000000}"/>
    <hyperlink ref="E44" r:id="rId43" display="https://docs.fivem.net/vehicles/fr36.webp" xr:uid="{00000000-0004-0000-0100-00002A000000}"/>
    <hyperlink ref="E45" r:id="rId44" display="https://docs.fivem.net/vehicles/futo.webp" xr:uid="{00000000-0004-0000-0100-00002B000000}"/>
    <hyperlink ref="E46" r:id="rId45" display="https://docs.fivem.net/vehicles/jackal.webp" xr:uid="{00000000-0004-0000-0100-00002C000000}"/>
    <hyperlink ref="E47" r:id="rId46" display="https://docs.fivem.net/vehicles/kanjosj.webp" xr:uid="{00000000-0004-0000-0100-00002D000000}"/>
    <hyperlink ref="E48" r:id="rId47" display="https://docs.fivem.net/vehicles/oracle2.webp" xr:uid="{00000000-0004-0000-0100-00002E000000}"/>
    <hyperlink ref="E49" r:id="rId48" display="https://docs.fivem.net/vehicles/postlude.webp" xr:uid="{00000000-0004-0000-0100-00002F000000}"/>
    <hyperlink ref="E50" r:id="rId49" display="https://docs.fivem.net/vehicles/previon.webp" xr:uid="{00000000-0004-0000-0100-000030000000}"/>
    <hyperlink ref="E51" r:id="rId50" display="https://docs.fivem.net/vehicles/sentinel.webp" xr:uid="{00000000-0004-0000-0100-000031000000}"/>
    <hyperlink ref="E52" r:id="rId51" display="https://docs.fivem.net/vehicles/sentinel2.webp" xr:uid="{00000000-0004-0000-0100-000032000000}"/>
    <hyperlink ref="E53" r:id="rId52" display="https://docs.fivem.net/vehicles/sentinel3.webp" xr:uid="{00000000-0004-0000-0100-000033000000}"/>
    <hyperlink ref="E54" r:id="rId53" display="https://docs.fivem.net/vehicles/tahoma.webp" xr:uid="{00000000-0004-0000-0100-000034000000}"/>
    <hyperlink ref="E55" r:id="rId54" display="https://docs.fivem.net/vehicles/windsor.webp" xr:uid="{00000000-0004-0000-0100-000035000000}"/>
    <hyperlink ref="E56" r:id="rId55" display="https://docs.fivem.net/vehicles/windsor2.webp" xr:uid="{00000000-0004-0000-0100-000036000000}"/>
    <hyperlink ref="E57" r:id="rId56" display="https://docs.fivem.net/vehicles/zion.webp" xr:uid="{00000000-0004-0000-0100-000037000000}"/>
    <hyperlink ref="E58" r:id="rId57" display="https://docs.fivem.net/vehicles/zion2.webp" xr:uid="{00000000-0004-0000-0100-000038000000}"/>
    <hyperlink ref="E59" r:id="rId58" display="https://docs.fivem.net/vehicles/alpha.webp" xr:uid="{00000000-0004-0000-0100-000039000000}"/>
    <hyperlink ref="E60" r:id="rId59" display="https://docs.fivem.net/vehicles/banshee.webp" xr:uid="{00000000-0004-0000-0100-00003A000000}"/>
    <hyperlink ref="E61" r:id="rId60" display="https://docs.fivem.net/vehicles/bestiagts.webp" xr:uid="{00000000-0004-0000-0100-00003B000000}"/>
    <hyperlink ref="E62" r:id="rId61" display="https://docs.fivem.net/vehicles/calico.webp" xr:uid="{00000000-0004-0000-0100-00003C000000}"/>
    <hyperlink ref="E63" r:id="rId62" display="https://docs.fivem.net/vehicles/carbonizzare.webp" xr:uid="{00000000-0004-0000-0100-00003D000000}"/>
    <hyperlink ref="E64" r:id="rId63" display="https://docs.fivem.net/vehicles/cheetah2.webp" xr:uid="{00000000-0004-0000-0100-00003E000000}"/>
    <hyperlink ref="E65" r:id="rId64" display="https://docs.fivem.net/vehicles/comet2.webp" xr:uid="{00000000-0004-0000-0100-00003F000000}"/>
    <hyperlink ref="E66" r:id="rId65" display="https://docs.fivem.net/vehicles/comet3.webp" xr:uid="{00000000-0004-0000-0100-000040000000}"/>
    <hyperlink ref="E67" r:id="rId66" display="https://docs.fivem.net/vehicles/comet4.webp" xr:uid="{00000000-0004-0000-0100-000041000000}"/>
    <hyperlink ref="E68" r:id="rId67" display="https://docs.fivem.net/vehicles/comet5.webp" xr:uid="{00000000-0004-0000-0100-000042000000}"/>
    <hyperlink ref="E69" r:id="rId68" display="https://docs.fivem.net/vehicles/comet6.webp" xr:uid="{00000000-0004-0000-0100-000043000000}"/>
    <hyperlink ref="E70" r:id="rId69" display="https://docs.fivem.net/vehicles/comet7.webp" xr:uid="{00000000-0004-0000-0100-000044000000}"/>
    <hyperlink ref="E71" r:id="rId70" display="https://docs.fivem.net/vehicles/coquette.webp" xr:uid="{00000000-0004-0000-0100-000045000000}"/>
    <hyperlink ref="E72" r:id="rId71" display="https://docs.fivem.net/vehicles/coquette4.webp" xr:uid="{00000000-0004-0000-0100-000046000000}"/>
    <hyperlink ref="E73" r:id="rId72" display="https://docs.fivem.net/vehicles/coquette5.webp" xr:uid="{00000000-0004-0000-0100-000047000000}"/>
    <hyperlink ref="E74" r:id="rId73" display="https://docs.fivem.net/vehicles/corsita.webp" xr:uid="{00000000-0004-0000-0100-000048000000}"/>
    <hyperlink ref="E75" r:id="rId74" display="https://docs.fivem.net/vehicles/coureur.webp" xr:uid="{00000000-0004-0000-0100-000049000000}"/>
    <hyperlink ref="E76" r:id="rId75" display="https://docs.fivem.net/vehicles/cypher.webp" xr:uid="{00000000-0004-0000-0100-00004A000000}"/>
    <hyperlink ref="E77" r:id="rId76" display="https://docs.fivem.net/vehicles/drafter.webp" xr:uid="{00000000-0004-0000-0100-00004B000000}"/>
    <hyperlink ref="E78" r:id="rId77" display="https://docs.fivem.net/vehicles/driftcypher.webp" xr:uid="{00000000-0004-0000-0100-00004C000000}"/>
    <hyperlink ref="E79" r:id="rId78" display="https://docs.fivem.net/vehicles/driftsentinel.webp" xr:uid="{00000000-0004-0000-0100-00004D000000}"/>
    <hyperlink ref="E80" r:id="rId79" display="https://docs.fivem.net/vehicles/driftvorschlag.webp" xr:uid="{00000000-0004-0000-0100-00004E000000}"/>
    <hyperlink ref="E81" r:id="rId80" display="https://docs.fivem.net/vehicles/elegy.webp" xr:uid="{00000000-0004-0000-0100-00004F000000}"/>
    <hyperlink ref="E82" r:id="rId81" display="https://docs.fivem.net/vehicles/elegy2.webp" xr:uid="{00000000-0004-0000-0100-000050000000}"/>
    <hyperlink ref="E83" r:id="rId82" display="https://docs.fivem.net/vehicles/euros.webp" xr:uid="{00000000-0004-0000-0100-000051000000}"/>
    <hyperlink ref="E84" r:id="rId83" display="https://docs.fivem.net/vehicles/eurosx32.webp" xr:uid="{00000000-0004-0000-0100-000052000000}"/>
    <hyperlink ref="E85" r:id="rId84" display="https://docs.fivem.net/vehicles/everon2.webp" xr:uid="{00000000-0004-0000-0100-000053000000}"/>
    <hyperlink ref="E86" r:id="rId85" display="https://docs.fivem.net/vehicles/feltzer2.webp" xr:uid="{00000000-0004-0000-0100-000054000000}"/>
    <hyperlink ref="E87" r:id="rId86" display="https://docs.fivem.net/vehicles/flashgt.webp" xr:uid="{00000000-0004-0000-0100-000055000000}"/>
    <hyperlink ref="E88" r:id="rId87" display="https://docs.fivem.net/vehicles/furoregt.webp" xr:uid="{00000000-0004-0000-0100-000056000000}"/>
    <hyperlink ref="E89" r:id="rId88" display="https://docs.fivem.net/vehicles/futo2.webp" xr:uid="{00000000-0004-0000-0100-000057000000}"/>
    <hyperlink ref="E90" r:id="rId89" display="https://docs.fivem.net/vehicles/gauntlet6.webp" xr:uid="{00000000-0004-0000-0100-000058000000}"/>
    <hyperlink ref="E91" r:id="rId90" display="https://docs.fivem.net/vehicles/gb200.webp" xr:uid="{00000000-0004-0000-0100-000059000000}"/>
    <hyperlink ref="E92" r:id="rId91" display="https://docs.fivem.net/vehicles/growler.webp" xr:uid="{00000000-0004-0000-0100-00005A000000}"/>
    <hyperlink ref="E93" r:id="rId92" display="https://docs.fivem.net/vehicles/imorgon.webp" xr:uid="{00000000-0004-0000-0100-00005B000000}"/>
    <hyperlink ref="E94" r:id="rId93" display="https://docs.fivem.net/vehicles/italigto.webp" xr:uid="{00000000-0004-0000-0100-00005C000000}"/>
    <hyperlink ref="E95" r:id="rId94" display="https://docs.fivem.net/vehicles/jester.webp" xr:uid="{00000000-0004-0000-0100-00005D000000}"/>
    <hyperlink ref="E96" r:id="rId95" display="https://docs.fivem.net/vehicles/jester2.webp" xr:uid="{00000000-0004-0000-0100-00005E000000}"/>
    <hyperlink ref="E97" r:id="rId96" display="https://docs.fivem.net/vehicles/jester3.webp" xr:uid="{00000000-0004-0000-0100-00005F000000}"/>
    <hyperlink ref="E98" r:id="rId97" display="https://docs.fivem.net/vehicles/jester4.webp" xr:uid="{00000000-0004-0000-0100-000060000000}"/>
    <hyperlink ref="E99" r:id="rId98" display="https://docs.fivem.net/vehicles/jugular.webp" xr:uid="{00000000-0004-0000-0100-000061000000}"/>
    <hyperlink ref="E100" r:id="rId99" display="https://docs.fivem.net/vehicles/khamelion.webp" xr:uid="{00000000-0004-0000-0100-000062000000}"/>
    <hyperlink ref="E101" r:id="rId100" display="https://docs.fivem.net/vehicles/komoda.webp" xr:uid="{00000000-0004-0000-0100-000063000000}"/>
    <hyperlink ref="E102" r:id="rId101" display="https://docs.fivem.net/vehicles/kuruma.webp" xr:uid="{00000000-0004-0000-0100-000064000000}"/>
    <hyperlink ref="E103" r:id="rId102" display="https://docs.fivem.net/vehicles/locust.webp" xr:uid="{00000000-0004-0000-0100-000065000000}"/>
    <hyperlink ref="E104" r:id="rId103" display="https://docs.fivem.net/vehicles/lynx.webp" xr:uid="{00000000-0004-0000-0100-000066000000}"/>
    <hyperlink ref="E105" r:id="rId104" display="https://docs.fivem.net/vehicles/massacro.webp" xr:uid="{00000000-0004-0000-0100-000067000000}"/>
    <hyperlink ref="E106" r:id="rId105" display="https://docs.fivem.net/vehicles/massacro2.webp" xr:uid="{00000000-0004-0000-0100-000068000000}"/>
    <hyperlink ref="E107" r:id="rId106" display="https://docs.fivem.net/vehicles/neo.webp" xr:uid="{00000000-0004-0000-0100-000069000000}"/>
    <hyperlink ref="E108" r:id="rId107" display="https://docs.fivem.net/vehicles/neon.webp" xr:uid="{00000000-0004-0000-0100-00006A000000}"/>
    <hyperlink ref="E109" r:id="rId108" display="https://docs.fivem.net/vehicles/ninef.webp" xr:uid="{00000000-0004-0000-0100-00006B000000}"/>
    <hyperlink ref="E110" r:id="rId109" display="https://docs.fivem.net/vehicles/ninef2.webp" xr:uid="{00000000-0004-0000-0100-00006C000000}"/>
    <hyperlink ref="E111" r:id="rId110" display="https://docs.fivem.net/vehicles/niobe.webp" xr:uid="{00000000-0004-0000-0100-00006D000000}"/>
    <hyperlink ref="E112" r:id="rId111" display="https://docs.fivem.net/vehicles/omnis.webp" xr:uid="{00000000-0004-0000-0100-00006E000000}"/>
    <hyperlink ref="E113" r:id="rId112" display="https://docs.fivem.net/vehicles/omnisegt.webp" xr:uid="{00000000-0004-0000-0100-00006F000000}"/>
    <hyperlink ref="E114" r:id="rId113" display="https://docs.fivem.net/vehicles/panthere.webp" xr:uid="{00000000-0004-0000-0100-000070000000}"/>
    <hyperlink ref="E115" r:id="rId114" display="https://docs.fivem.net/vehicles/paragon.webp" xr:uid="{00000000-0004-0000-0100-000071000000}"/>
    <hyperlink ref="E116" r:id="rId115" display="https://docs.fivem.net/vehicles/paragon3.webp" xr:uid="{00000000-0004-0000-0100-000072000000}"/>
    <hyperlink ref="E117" r:id="rId116" display="https://docs.fivem.net/vehicles/pariah.webp" xr:uid="{00000000-0004-0000-0100-000073000000}"/>
    <hyperlink ref="E118" r:id="rId117" display="https://docs.fivem.net/vehicles/penumbra.webp" xr:uid="{00000000-0004-0000-0100-000074000000}"/>
    <hyperlink ref="E119" r:id="rId118" display="https://docs.fivem.net/vehicles/penumbra2.webp" xr:uid="{00000000-0004-0000-0100-000075000000}"/>
    <hyperlink ref="E120" r:id="rId119" display="https://docs.fivem.net/vehicles/pipistrello.webp" xr:uid="{00000000-0004-0000-0100-000076000000}"/>
    <hyperlink ref="E121" r:id="rId120" display="https://docs.fivem.net/vehicles/r300.webp" xr:uid="{00000000-0004-0000-0100-000077000000}"/>
    <hyperlink ref="E122" r:id="rId121" display="https://docs.fivem.net/vehicles/rapidgt.webp" xr:uid="{00000000-0004-0000-0100-000078000000}"/>
    <hyperlink ref="E123" r:id="rId122" display="https://docs.fivem.net/vehicles/rapidgt2.webp" xr:uid="{00000000-0004-0000-0100-000079000000}"/>
    <hyperlink ref="E124" r:id="rId123" display="https://docs.fivem.net/vehicles/raptor.webp" xr:uid="{00000000-0004-0000-0100-00007A000000}"/>
    <hyperlink ref="E125" r:id="rId124" display="https://docs.fivem.net/vehicles/remus.webp" xr:uid="{00000000-0004-0000-0100-00007B000000}"/>
    <hyperlink ref="E126" r:id="rId125" display="https://docs.fivem.net/vehicles/revolter.webp" xr:uid="{00000000-0004-0000-0100-00007C000000}"/>
    <hyperlink ref="E127" r:id="rId126" display="https://docs.fivem.net/vehicles/rt3000.webp" xr:uid="{00000000-0004-0000-0100-00007D000000}"/>
    <hyperlink ref="E128" r:id="rId127" display="https://docs.fivem.net/vehicles/ruston.webp" xr:uid="{00000000-0004-0000-0100-00007E000000}"/>
    <hyperlink ref="E129" r:id="rId128" display="https://docs.fivem.net/vehicles/schafter3.webp" xr:uid="{00000000-0004-0000-0100-00007F000000}"/>
    <hyperlink ref="E130" r:id="rId129" display="https://docs.fivem.net/vehicles/schafter4.webp" xr:uid="{00000000-0004-0000-0100-000080000000}"/>
    <hyperlink ref="E131" r:id="rId130" display="https://docs.fivem.net/vehicles/schlagen.webp" xr:uid="{00000000-0004-0000-0100-000081000000}"/>
    <hyperlink ref="E132" r:id="rId131" display="https://docs.fivem.net/vehicles/schwarzer.webp" xr:uid="{00000000-0004-0000-0100-000082000000}"/>
    <hyperlink ref="E133" r:id="rId132" display="https://docs.fivem.net/vehicles/sentinel4.webp" xr:uid="{00000000-0004-0000-0100-000083000000}"/>
    <hyperlink ref="E134" r:id="rId133" display="https://docs.fivem.net/vehicles/seven70.webp" xr:uid="{00000000-0004-0000-0100-000084000000}"/>
    <hyperlink ref="E135" r:id="rId134" display="https://docs.fivem.net/vehicles/sm722.webp" xr:uid="{00000000-0004-0000-0100-000085000000}"/>
    <hyperlink ref="E136" r:id="rId135" display="https://docs.fivem.net/vehicles/specter.webp" xr:uid="{00000000-0004-0000-0100-000086000000}"/>
    <hyperlink ref="E137" r:id="rId136" display="https://docs.fivem.net/vehicles/streiter.webp" xr:uid="{00000000-0004-0000-0100-000087000000}"/>
    <hyperlink ref="E138" r:id="rId137" display="https://docs.fivem.net/vehicles/sugoi.webp" xr:uid="{00000000-0004-0000-0100-000088000000}"/>
    <hyperlink ref="E139" r:id="rId138" display="https://docs.fivem.net/vehicles/sultan.webp" xr:uid="{00000000-0004-0000-0100-000089000000}"/>
    <hyperlink ref="E140" r:id="rId139" display="https://docs.fivem.net/vehicles/sultan2.webp" xr:uid="{00000000-0004-0000-0100-00008A000000}"/>
    <hyperlink ref="E141" r:id="rId140" display="https://docs.fivem.net/vehicles/sultan3.webp" xr:uid="{00000000-0004-0000-0100-00008B000000}"/>
    <hyperlink ref="E142" r:id="rId141" display="https://docs.fivem.net/vehicles/sultanrs.webp" xr:uid="{00000000-0004-0000-0100-00008C000000}"/>
    <hyperlink ref="E143" r:id="rId142" display="https://docs.fivem.net/vehicles/surano.webp" xr:uid="{00000000-0004-0000-0100-00008D000000}"/>
    <hyperlink ref="E144" r:id="rId143" display="https://docs.fivem.net/vehicles/tenf.webp" xr:uid="{00000000-0004-0000-0100-00008E000000}"/>
    <hyperlink ref="E145" r:id="rId144" display="https://docs.fivem.net/vehicles/tenf2.webp" xr:uid="{00000000-0004-0000-0100-00008F000000}"/>
    <hyperlink ref="E146" r:id="rId145" display="https://docs.fivem.net/vehicles/tropos.webp" xr:uid="{00000000-0004-0000-0100-000090000000}"/>
    <hyperlink ref="E147" r:id="rId146" display="https://docs.fivem.net/vehicles/vectre.webp" xr:uid="{00000000-0004-0000-0100-000091000000}"/>
    <hyperlink ref="E148" r:id="rId147" display="https://docs.fivem.net/vehicles/verlierer2.webp" xr:uid="{00000000-0004-0000-0100-000092000000}"/>
    <hyperlink ref="E149" r:id="rId148" display="https://docs.fivem.net/vehicles/visione.webp" xr:uid="{00000000-0004-0000-0100-000093000000}"/>
    <hyperlink ref="E150" r:id="rId149" display="https://docs.fivem.net/vehicles/vorschlaghammer.webp" xr:uid="{00000000-0004-0000-0100-000094000000}"/>
    <hyperlink ref="E151" r:id="rId150" display="https://docs.fivem.net/vehicles/vstr.webp" xr:uid="{00000000-0004-0000-0100-000095000000}"/>
    <hyperlink ref="E152" r:id="rId151" display="https://docs.fivem.net/vehicles/zr350.webp" xr:uid="{00000000-0004-0000-0100-000096000000}"/>
    <hyperlink ref="E153" r:id="rId152" display="https://docs.fivem.net/vehicles/btype.webp" xr:uid="{00000000-0004-0000-0100-000097000000}"/>
    <hyperlink ref="E154" r:id="rId153" display="https://docs.fivem.net/vehicles/btype.webp" xr:uid="{00000000-0004-0000-0100-000098000000}"/>
    <hyperlink ref="E155" r:id="rId154" display="https://docs.fivem.net/vehicles/btype2.webp" xr:uid="{00000000-0004-0000-0100-000099000000}"/>
    <hyperlink ref="E156" r:id="rId155" display="https://docs.fivem.net/vehicles/btype3.webp" xr:uid="{00000000-0004-0000-0100-00009A000000}"/>
    <hyperlink ref="E157" r:id="rId156" display="https://docs.fivem.net/vehicles/casco.webp" xr:uid="{00000000-0004-0000-0100-00009B000000}"/>
    <hyperlink ref="E158" r:id="rId157" display="https://docs.fivem.net/vehicles/cheburek.webp" xr:uid="{00000000-0004-0000-0100-00009C000000}"/>
    <hyperlink ref="E159" r:id="rId158" display="https://docs.fivem.net/vehicles/coquette2.webp" xr:uid="{00000000-0004-0000-0100-00009D000000}"/>
    <hyperlink ref="E160" r:id="rId159" display="https://docs.fivem.net/vehicles/coquette3.webp" xr:uid="{00000000-0004-0000-0100-00009E000000}"/>
    <hyperlink ref="E161" r:id="rId160" display="https://docs.fivem.net/vehicles/driftnebula.webp" xr:uid="{00000000-0004-0000-0100-00009F000000}"/>
    <hyperlink ref="E162" r:id="rId161" display="https://docs.fivem.net/vehicles/dynasty.webp" xr:uid="{00000000-0004-0000-0100-0000A0000000}"/>
    <hyperlink ref="E163" r:id="rId162" display="https://docs.fivem.net/vehicles/envisage.webp" xr:uid="{00000000-0004-0000-0100-0000A1000000}"/>
    <hyperlink ref="E164" r:id="rId163" display="https://docs.fivem.net/vehicles/fagaloa.webp" xr:uid="{00000000-0004-0000-0100-0000A2000000}"/>
    <hyperlink ref="E165" r:id="rId164" display="https://docs.fivem.net/vehicles/feltzer3.webp" xr:uid="{00000000-0004-0000-0100-0000A3000000}"/>
    <hyperlink ref="E166" r:id="rId165" display="https://docs.fivem.net/vehicles/gt500.webp" xr:uid="{00000000-0004-0000-0100-0000A4000000}"/>
    <hyperlink ref="E167" r:id="rId166" display="https://docs.fivem.net/vehicles/infernus2.webp" xr:uid="{00000000-0004-0000-0100-0000A5000000}"/>
    <hyperlink ref="E168" r:id="rId167" display="https://docs.fivem.net/vehicles/jb7002.webp" xr:uid="{00000000-0004-0000-0100-0000A6000000}"/>
    <hyperlink ref="E169" r:id="rId168" display="https://docs.fivem.net/vehicles/mamba.webp" xr:uid="{00000000-0004-0000-0100-0000A7000000}"/>
    <hyperlink ref="E170" r:id="rId169" display="https://docs.fivem.net/vehicles/michelli.webp" xr:uid="{00000000-0004-0000-0100-0000A8000000}"/>
    <hyperlink ref="E171" r:id="rId170" display="https://docs.fivem.net/vehicles/monroe.webp" xr:uid="{00000000-0004-0000-0100-0000A9000000}"/>
    <hyperlink ref="E172" r:id="rId171" display="https://docs.fivem.net/vehicles/nebula.webp" xr:uid="{00000000-0004-0000-0100-0000AA000000}"/>
    <hyperlink ref="E173" r:id="rId172" display="https://docs.fivem.net/vehicles/peyote.webp" xr:uid="{00000000-0004-0000-0100-0000AB000000}"/>
    <hyperlink ref="E174" r:id="rId173" display="https://docs.fivem.net/vehicles/peyote2.webp" xr:uid="{00000000-0004-0000-0100-0000AC000000}"/>
    <hyperlink ref="E175" r:id="rId174" display="https://docs.fivem.net/vehicles/peyote3.webp" xr:uid="{00000000-0004-0000-0100-0000AD000000}"/>
    <hyperlink ref="E176" r:id="rId175" display="https://docs.fivem.net/vehicles/pigalle.webp" xr:uid="{00000000-0004-0000-0100-0000AE000000}"/>
    <hyperlink ref="E177" r:id="rId176" display="https://docs.fivem.net/vehicles/rapidgt3.webp" xr:uid="{00000000-0004-0000-0100-0000AF000000}"/>
    <hyperlink ref="E178" r:id="rId177" display="https://docs.fivem.net/vehicles/retinue.webp" xr:uid="{00000000-0004-0000-0100-0000B0000000}"/>
    <hyperlink ref="E179" r:id="rId178" display="https://docs.fivem.net/vehicles/retinue2.webp" xr:uid="{00000000-0004-0000-0100-0000B1000000}"/>
    <hyperlink ref="E180" r:id="rId179" display="https://docs.fivem.net/vehicles/savestra.webp" xr:uid="{00000000-0004-0000-0100-0000B2000000}"/>
    <hyperlink ref="E181" r:id="rId180" display="https://docs.fivem.net/vehicles/stinger.webp" xr:uid="{00000000-0004-0000-0100-0000B3000000}"/>
    <hyperlink ref="E182" r:id="rId181" display="https://docs.fivem.net/vehicles/stingergt.webp" xr:uid="{00000000-0004-0000-0100-0000B4000000}"/>
    <hyperlink ref="E183" r:id="rId182" display="https://docs.fivem.net/vehicles/swinger.webp" xr:uid="{00000000-0004-0000-0100-0000B5000000}"/>
    <hyperlink ref="E184" r:id="rId183" display="https://docs.fivem.net/vehicles/torero.webp" xr:uid="{00000000-0004-0000-0100-0000B6000000}"/>
    <hyperlink ref="E185" r:id="rId184" display="https://docs.fivem.net/vehicles/tornado.webp" xr:uid="{00000000-0004-0000-0100-0000B7000000}"/>
    <hyperlink ref="E186" r:id="rId185" display="https://docs.fivem.net/vehicles/tornado2.webp" xr:uid="{00000000-0004-0000-0100-0000B8000000}"/>
    <hyperlink ref="E187" r:id="rId186" display="https://docs.fivem.net/vehicles/tornado5.webp" xr:uid="{00000000-0004-0000-0100-0000B9000000}"/>
    <hyperlink ref="E188" r:id="rId187" display="https://docs.fivem.net/vehicles/turismo2.webp" xr:uid="{00000000-0004-0000-0100-0000BA000000}"/>
    <hyperlink ref="E189" r:id="rId188" display="https://docs.fivem.net/vehicles/viseris.webp" xr:uid="{00000000-0004-0000-0100-0000BB000000}"/>
    <hyperlink ref="E190" r:id="rId189" display="https://docs.fivem.net/vehicles/z190.webp" xr:uid="{00000000-0004-0000-0100-0000BC000000}"/>
    <hyperlink ref="E191" r:id="rId190" display="https://docs.fivem.net/vehicles/zion3.webp" xr:uid="{00000000-0004-0000-0100-0000BD000000}"/>
    <hyperlink ref="E192" r:id="rId191" display="https://docs.fivem.net/vehicles/bison.webp" xr:uid="{00000000-0004-0000-0100-0000BE000000}"/>
    <hyperlink ref="E193" r:id="rId192" display="https://docs.fivem.net/vehicles/bobcatxl.webp" xr:uid="{00000000-0004-0000-0100-0000BF000000}"/>
    <hyperlink ref="E194" r:id="rId193" display="https://docs.fivem.net/vehicles/gburrito2.webp" xr:uid="{00000000-0004-0000-0100-0000C0000000}"/>
    <hyperlink ref="E195" r:id="rId194" display="https://docs.fivem.net/vehicles/journey.webp" xr:uid="{00000000-0004-0000-0100-0000C1000000}"/>
    <hyperlink ref="E196" r:id="rId195" display="https://docs.fivem.net/vehicles/journey2.webp" xr:uid="{00000000-0004-0000-0100-0000C2000000}"/>
    <hyperlink ref="E197" r:id="rId196" display="https://docs.fivem.net/vehicles/moonbeam.webp" xr:uid="{00000000-0004-0000-0100-0000C3000000}"/>
    <hyperlink ref="E198" r:id="rId197" display="https://docs.fivem.net/vehicles/rumpo3.webp" xr:uid="{00000000-0004-0000-0100-0000C4000000}"/>
    <hyperlink ref="E199" r:id="rId198" display="https://docs.fivem.net/vehicles/sadler.webp" xr:uid="{00000000-0004-0000-0100-0000C5000000}"/>
    <hyperlink ref="E200" r:id="rId199" display="https://docs.fivem.net/vehicles/surfer.webp" xr:uid="{00000000-0004-0000-0100-0000C6000000}"/>
    <hyperlink ref="E201" r:id="rId200" display="https://docs.fivem.net/vehicles/youga2.webp" xr:uid="{00000000-0004-0000-0100-0000C7000000}"/>
    <hyperlink ref="E202" r:id="rId201" display="https://docs.fivem.net/vehicles/youga3.webp" xr:uid="{00000000-0004-0000-0100-0000C8000000}"/>
    <hyperlink ref="E203" r:id="rId202" display="https://docs.fivem.net/vehicles/youga4.webp" xr:uid="{00000000-0004-0000-0100-0000C9000000}"/>
    <hyperlink ref="E204" r:id="rId203" display="https://docs.fivem.net/vehicles/akuma.webp" xr:uid="{00000000-0004-0000-0100-0000CA000000}"/>
    <hyperlink ref="E205" r:id="rId204" display="https://docs.fivem.net/vehicles/avarus.webp" xr:uid="{00000000-0004-0000-0100-0000CB000000}"/>
    <hyperlink ref="E206" r:id="rId205" display="https://docs.fivem.net/vehicles/bagger.webp" xr:uid="{00000000-0004-0000-0100-0000CC000000}"/>
    <hyperlink ref="E207" r:id="rId206" display="https://docs.fivem.net/vehicles/bati.webp" xr:uid="{00000000-0004-0000-0100-0000CD000000}"/>
    <hyperlink ref="E208" r:id="rId207" display="https://docs.fivem.net/vehicles/bati2.webp" xr:uid="{00000000-0004-0000-0100-0000CE000000}"/>
    <hyperlink ref="E209" r:id="rId208" display="https://docs.fivem.net/vehicles/bf400.webp" xr:uid="{00000000-0004-0000-0100-0000CF000000}"/>
    <hyperlink ref="E210" r:id="rId209" display="https://docs.fivem.net/vehicles/carbonrs.webp" xr:uid="{00000000-0004-0000-0100-0000D0000000}"/>
    <hyperlink ref="E211" r:id="rId210" display="https://docs.fivem.net/vehicles/chimera.webp" xr:uid="{00000000-0004-0000-0100-0000D1000000}"/>
    <hyperlink ref="E212" r:id="rId211" display="https://docs.fivem.net/vehicles/cliffhanger.webp" xr:uid="{00000000-0004-0000-0100-0000D2000000}"/>
    <hyperlink ref="E213" r:id="rId212" display="https://docs.fivem.net/vehicles/daemon.webp" xr:uid="{00000000-0004-0000-0100-0000D3000000}"/>
    <hyperlink ref="E214" r:id="rId213" display="https://docs.fivem.net/vehicles/daemon2.webp" xr:uid="{00000000-0004-0000-0100-0000D4000000}"/>
    <hyperlink ref="E215" r:id="rId214" display="https://docs.fivem.net/vehicles/deathbike.webp" xr:uid="{00000000-0004-0000-0100-0000D5000000}"/>
    <hyperlink ref="E216" r:id="rId215" display="https://docs.fivem.net/vehicles/deathbike2.webp" xr:uid="{00000000-0004-0000-0100-0000D6000000}"/>
    <hyperlink ref="E217" r:id="rId216" display="https://docs.fivem.net/vehicles/deathbike3.webp" xr:uid="{00000000-0004-0000-0100-0000D7000000}"/>
    <hyperlink ref="E218" r:id="rId217" display="https://docs.fivem.net/vehicles/defiler.webp" xr:uid="{00000000-0004-0000-0100-0000D8000000}"/>
    <hyperlink ref="E219" r:id="rId218" display="https://docs.fivem.net/vehicles/diablous.webp" xr:uid="{00000000-0004-0000-0100-0000D9000000}"/>
    <hyperlink ref="E220" r:id="rId219" display="https://docs.fivem.net/vehicles/diablous2.webp" xr:uid="{00000000-0004-0000-0100-0000DA000000}"/>
    <hyperlink ref="E221" r:id="rId220" display="https://docs.fivem.net/vehicles/double.webp" xr:uid="{00000000-0004-0000-0100-0000DB000000}"/>
    <hyperlink ref="E222" r:id="rId221" display="https://docs.fivem.net/vehicles/enduro.webp" xr:uid="{00000000-0004-0000-0100-0000DC000000}"/>
    <hyperlink ref="E223" r:id="rId222" display="https://docs.fivem.net/vehicles/esskey.webp" xr:uid="{00000000-0004-0000-0100-0000DD000000}"/>
    <hyperlink ref="E224" r:id="rId223" display="https://docs.fivem.net/vehicles/faggio.webp" xr:uid="{00000000-0004-0000-0100-0000DE000000}"/>
    <hyperlink ref="E225" r:id="rId224" display="https://docs.fivem.net/vehicles/faggio2.webp" xr:uid="{00000000-0004-0000-0100-0000DF000000}"/>
    <hyperlink ref="E226" r:id="rId225" display="https://docs.fivem.net/vehicles/faggio3.webp" xr:uid="{00000000-0004-0000-0100-0000E0000000}"/>
    <hyperlink ref="E227" r:id="rId226" display="https://docs.fivem.net/vehicles/fcr.webp" xr:uid="{00000000-0004-0000-0100-0000E1000000}"/>
    <hyperlink ref="E228" r:id="rId227" display="https://docs.fivem.net/vehicles/fcr2.webp" xr:uid="{00000000-0004-0000-0100-0000E2000000}"/>
    <hyperlink ref="E229" r:id="rId228" display="https://docs.fivem.net/vehicles/gargoyle.webp" xr:uid="{00000000-0004-0000-0100-0000E3000000}"/>
    <hyperlink ref="E230" r:id="rId229" display="https://docs.fivem.net/vehicles/hakuchou.webp" xr:uid="{00000000-0004-0000-0100-0000E4000000}"/>
    <hyperlink ref="E231" r:id="rId230" display="https://docs.fivem.net/vehicles/hakuchou2.webp" xr:uid="{00000000-0004-0000-0100-0000E5000000}"/>
    <hyperlink ref="E232" r:id="rId231" display="https://docs.fivem.net/vehicles/hexer.webp" xr:uid="{00000000-0004-0000-0100-0000E6000000}"/>
    <hyperlink ref="E233" r:id="rId232" display="https://docs.fivem.net/vehicles/innovation.webp" xr:uid="{00000000-0004-0000-0100-0000E7000000}"/>
    <hyperlink ref="E234" r:id="rId233" display="https://docs.fivem.net/vehicles/lectro.webp" xr:uid="{00000000-0004-0000-0100-0000E8000000}"/>
    <hyperlink ref="E235" r:id="rId234" display="https://docs.fivem.net/vehicles/manchez.webp" xr:uid="{00000000-0004-0000-0100-0000E9000000}"/>
    <hyperlink ref="E236" r:id="rId235" display="https://docs.fivem.net/vehicles/manchez2.webp" xr:uid="{00000000-0004-0000-0100-0000EA000000}"/>
    <hyperlink ref="E237" r:id="rId236" display="https://docs.fivem.net/vehicles/nemesis.webp" xr:uid="{00000000-0004-0000-0100-0000EB000000}"/>
    <hyperlink ref="E238" r:id="rId237" display="https://docs.fivem.net/vehicles/nightblade.webp" xr:uid="{00000000-0004-0000-0100-0000EC000000}"/>
    <hyperlink ref="E239" r:id="rId238" display="https://docs.fivem.net/vehicles/pcj.webp" xr:uid="{00000000-0004-0000-0100-0000ED000000}"/>
    <hyperlink ref="E240" r:id="rId239" display="https://docs.fivem.net/vehicles/pizzaboy.webp" xr:uid="{00000000-0004-0000-0100-0000EE000000}"/>
    <hyperlink ref="E241" r:id="rId240" display="https://docs.fivem.net/vehicles/powersurge.webp" xr:uid="{00000000-0004-0000-0100-0000EF000000}"/>
    <hyperlink ref="E242" r:id="rId241" display="https://docs.fivem.net/vehicles/ratbike.webp" xr:uid="{00000000-0004-0000-0100-0000F0000000}"/>
    <hyperlink ref="E243" r:id="rId242" display="https://docs.fivem.net/vehicles/reever.webp" xr:uid="{00000000-0004-0000-0100-0000F1000000}"/>
    <hyperlink ref="E244" r:id="rId243" display="https://docs.fivem.net/vehicles/ruffian.webp" xr:uid="{00000000-0004-0000-0100-0000F2000000}"/>
    <hyperlink ref="E245" r:id="rId244" display="https://docs.fivem.net/vehicles/sanchez.webp" xr:uid="{00000000-0004-0000-0100-0000F3000000}"/>
    <hyperlink ref="E246" r:id="rId245" display="https://docs.fivem.net/vehicles/sanchez2.webp" xr:uid="{00000000-0004-0000-0100-0000F4000000}"/>
    <hyperlink ref="E247" r:id="rId246" display="https://docs.fivem.net/vehicles/sanctus.webp" xr:uid="{00000000-0004-0000-0100-0000F5000000}"/>
    <hyperlink ref="E248" r:id="rId247" display="https://docs.fivem.net/vehicles/shinobi.webp" xr:uid="{00000000-0004-0000-0100-0000F6000000}"/>
    <hyperlink ref="E249" r:id="rId248" display="https://docs.fivem.net/vehicles/shotaro.webp" xr:uid="{00000000-0004-0000-0100-0000F7000000}"/>
    <hyperlink ref="E250" r:id="rId249" display="https://docs.fivem.net/vehicles/sovereign.webp" xr:uid="{00000000-0004-0000-0100-0000F8000000}"/>
    <hyperlink ref="E251" r:id="rId250" display="https://docs.fivem.net/vehicles/stryder.webp" xr:uid="{00000000-0004-0000-0100-0000F9000000}"/>
    <hyperlink ref="E252" r:id="rId251" display="https://docs.fivem.net/vehicles/thrust.webp" xr:uid="{00000000-0004-0000-0100-0000FA000000}"/>
    <hyperlink ref="E253" r:id="rId252" display="https://docs.fivem.net/vehicles/vader.webp" xr:uid="{00000000-0004-0000-0100-0000FB000000}"/>
    <hyperlink ref="E254" r:id="rId253" display="https://docs.fivem.net/vehicles/vindicator.webp" xr:uid="{00000000-0004-0000-0100-0000FC000000}"/>
    <hyperlink ref="E255" r:id="rId254" display="https://docs.fivem.net/vehicles/vortex.webp" xr:uid="{00000000-0004-0000-0100-0000FD000000}"/>
    <hyperlink ref="E256" r:id="rId255" display="https://docs.fivem.net/vehicles/wolfsbane.webp" xr:uid="{00000000-0004-0000-0100-0000FE000000}"/>
    <hyperlink ref="E257" r:id="rId256" display="https://docs.fivem.net/vehicles/zombiea.webp" xr:uid="{00000000-0004-0000-0100-0000FF000000}"/>
    <hyperlink ref="E258" r:id="rId257" display="https://docs.fivem.net/vehicles/zombieb.webp" xr:uid="{00000000-0004-0000-0100-000000010000}"/>
    <hyperlink ref="E259" r:id="rId258" display="https://docs.fivem.net/vehicles/blade.webp" xr:uid="{00000000-0004-0000-0100-000001010000}"/>
    <hyperlink ref="E260" r:id="rId259" display="https://docs.fivem.net/vehicles/brigham.webp" xr:uid="{00000000-0004-0000-0100-000002010000}"/>
    <hyperlink ref="E261" r:id="rId260" display="https://docs.fivem.net/vehicles/buccaneer.webp" xr:uid="{00000000-0004-0000-0100-000003010000}"/>
    <hyperlink ref="E262" r:id="rId261" display="https://docs.fivem.net/vehicles/buccaneer2.webp" xr:uid="{00000000-0004-0000-0100-000004010000}"/>
    <hyperlink ref="E263" r:id="rId262" display="https://docs.fivem.net/vehicles/buffalo.webp" xr:uid="{00000000-0004-0000-0100-000005010000}"/>
    <hyperlink ref="E264" r:id="rId263" display="https://docs.fivem.net/vehicles/buffalo2.webp" xr:uid="{00000000-0004-0000-0100-000006010000}"/>
    <hyperlink ref="E265" r:id="rId264" display="https://docs.fivem.net/vehicles/buffalo4.webp" xr:uid="{00000000-0004-0000-0100-000007010000}"/>
    <hyperlink ref="E266" r:id="rId265" display="https://docs.fivem.net/vehicles/buffalo5.webp" xr:uid="{00000000-0004-0000-0100-000008010000}"/>
    <hyperlink ref="E267" r:id="rId266" display="https://docs.fivem.net/vehicles/chino.webp" xr:uid="{00000000-0004-0000-0100-000009010000}"/>
    <hyperlink ref="E268" r:id="rId267" display="https://docs.fivem.net/vehicles/chino2.webp" xr:uid="{00000000-0004-0000-0100-00000A010000}"/>
    <hyperlink ref="E269" r:id="rId268" display="https://docs.fivem.net/vehicles/clique.webp" xr:uid="{00000000-0004-0000-0100-00000B010000}"/>
    <hyperlink ref="E270" r:id="rId269" display="https://docs.fivem.net/vehicles/clique2.webp" xr:uid="{00000000-0004-0000-0100-00000C010000}"/>
    <hyperlink ref="E271" r:id="rId270" display="https://docs.fivem.net/vehicles/deviant.webp" xr:uid="{00000000-0004-0000-0100-00000D010000}"/>
    <hyperlink ref="E272" r:id="rId271" display="https://docs.fivem.net/vehicles/dominator.webp" xr:uid="{00000000-0004-0000-0100-00000E010000}"/>
    <hyperlink ref="E273" r:id="rId272" display="https://docs.fivem.net/vehicles/dominator2.webp" xr:uid="{00000000-0004-0000-0100-00000F010000}"/>
    <hyperlink ref="E274" r:id="rId273" display="https://docs.fivem.net/vehicles/dominator3.webp" xr:uid="{00000000-0004-0000-0100-000010010000}"/>
    <hyperlink ref="E275" r:id="rId274" display="https://s2.ezgif.com/tmp/ezgif-2f6de6a1563b402c.webp" xr:uid="{00000000-0004-0000-0100-000011010000}"/>
    <hyperlink ref="E276" r:id="rId275" display="https://docs.fivem.net/vehicles/dominator7.webp" xr:uid="{00000000-0004-0000-0100-000012010000}"/>
    <hyperlink ref="E277" r:id="rId276" display="https://docs.fivem.net/vehicles/dominator8.webp" xr:uid="{00000000-0004-0000-0100-000013010000}"/>
    <hyperlink ref="E278" r:id="rId277" display="https://docs.fivem.net/vehicles/dominator9.webp" xr:uid="{00000000-0004-0000-0100-000014010000}"/>
    <hyperlink ref="E279" r:id="rId278" display="https://docs.fivem.net/vehicles/dukes.webp" xr:uid="{00000000-0004-0000-0100-000015010000}"/>
    <hyperlink ref="E280" r:id="rId279" display="https://docs.fivem.net/vehicles/dukes3.webp" xr:uid="{00000000-0004-0000-0100-000016010000}"/>
    <hyperlink ref="E281" r:id="rId280" display="https://docs.fivem.net/vehicles/ellie.webp" xr:uid="{00000000-0004-0000-0100-000017010000}"/>
    <hyperlink ref="E282" r:id="rId281" display="https://docs.fivem.net/vehicles/faction.webp" xr:uid="{00000000-0004-0000-0100-000018010000}"/>
    <hyperlink ref="E283" r:id="rId282" display="https://docs.fivem.net/vehicles/faction2.webp" xr:uid="{00000000-0004-0000-0100-000019010000}"/>
    <hyperlink ref="E284" r:id="rId283" display="https://docs.fivem.net/vehicles/faction3.webp" xr:uid="{00000000-0004-0000-0100-00001A010000}"/>
    <hyperlink ref="E285" r:id="rId284" display="https://docs.fivem.net/vehicles/gauntlet.webp" xr:uid="{00000000-0004-0000-0100-00001B010000}"/>
    <hyperlink ref="E286" r:id="rId285" display="https://docs.fivem.net/vehicles/gauntlet2.webp" xr:uid="{00000000-0004-0000-0100-00001C010000}"/>
    <hyperlink ref="E287" r:id="rId286" display="https://docs.fivem.net/vehicles/gauntlet3.webp" xr:uid="{00000000-0004-0000-0100-00001D010000}"/>
    <hyperlink ref="E288" r:id="rId287" display="https://docs.fivem.net/vehicles/gauntlet4.webp" xr:uid="{00000000-0004-0000-0100-00001E010000}"/>
    <hyperlink ref="E289" r:id="rId288" display="https://docs.fivem.net/vehicles/gauntlet5.webp" xr:uid="{00000000-0004-0000-0100-00001F010000}"/>
    <hyperlink ref="E290" r:id="rId289" display="https://docs.fivem.net/vehicles/greenwood.webp" xr:uid="{00000000-0004-0000-0100-000020010000}"/>
    <hyperlink ref="E291" r:id="rId290" display="https://docs.fivem.net/vehicles/hermes.webp" xr:uid="{00000000-0004-0000-0100-000021010000}"/>
    <hyperlink ref="E292" r:id="rId291" display="https://docs.fivem.net/vehicles/hotknife.webp" xr:uid="{00000000-0004-0000-0100-000022010000}"/>
    <hyperlink ref="E293" r:id="rId292" display="https://docs.fivem.net/vehicles/hustler.webp" xr:uid="{00000000-0004-0000-0100-000023010000}"/>
    <hyperlink ref="E294" r:id="rId293" display="https://docs.fivem.net/vehicles/impaler.webp" xr:uid="{00000000-0004-0000-0100-000024010000}"/>
    <hyperlink ref="E295" r:id="rId294" display="https://docs.fivem.net/vehicles/impaler2.webp" xr:uid="{00000000-0004-0000-0100-000025010000}"/>
    <hyperlink ref="E296" r:id="rId295" display="https://docs.fivem.net/vehicles/impaler3.webp" xr:uid="{00000000-0004-0000-0100-000026010000}"/>
    <hyperlink ref="E297" r:id="rId296" display="https://docs.fivem.net/vehicles/impaler4.webp" xr:uid="{00000000-0004-0000-0100-000027010000}"/>
    <hyperlink ref="E298" r:id="rId297" display="https://docs.fivem.net/vehicles/impaler6.webp" xr:uid="{00000000-0004-0000-0100-000028010000}"/>
    <hyperlink ref="E299" r:id="rId298" display="https://docs.fivem.net/vehicles/imperator.webp" xr:uid="{00000000-0004-0000-0100-000029010000}"/>
    <hyperlink ref="E300" r:id="rId299" display="https://docs.fivem.net/vehicles/imperator2.webp" xr:uid="{00000000-0004-0000-0100-00002A010000}"/>
    <hyperlink ref="E301" r:id="rId300" display="https://docs.fivem.net/vehicles/imperator3.webp" xr:uid="{00000000-0004-0000-0100-00002B010000}"/>
    <hyperlink ref="E302" r:id="rId301" display="https://docs.fivem.net/vehicles/lurcher.webp" xr:uid="{00000000-0004-0000-0100-00002C010000}"/>
    <hyperlink ref="E303" r:id="rId302" display="https://docs.fivem.net/vehicles/manana.webp" xr:uid="{00000000-0004-0000-0100-00002D010000}"/>
    <hyperlink ref="E304" r:id="rId303" display="https://docs.fivem.net/vehicles/manana2.webp" xr:uid="{00000000-0004-0000-0100-00002E010000}"/>
    <hyperlink ref="E305" r:id="rId304" display="https://docs.fivem.net/vehicles/nightshade.webp" xr:uid="{00000000-0004-0000-0100-00002F010000}"/>
    <hyperlink ref="E306" r:id="rId305" display="https://docs.fivem.net/vehicles/phoenix.webp" xr:uid="{00000000-0004-0000-0100-000030010000}"/>
    <hyperlink ref="E307" r:id="rId306" display="https://docs.fivem.net/vehicles/picador.webp" xr:uid="{00000000-0004-0000-0100-000031010000}"/>
    <hyperlink ref="E308" r:id="rId307" display="https://docs.fivem.net/vehicles/ratloader2.webp" xr:uid="{00000000-0004-0000-0100-000032010000}"/>
    <hyperlink ref="E309" r:id="rId308" display="https://docs.fivem.net/vehicles/ruiner.webp" xr:uid="{00000000-0004-0000-0100-000033010000}"/>
    <hyperlink ref="E310" r:id="rId309" display="https://docs.fivem.net/vehicles/ruiner4.webp" xr:uid="{00000000-0004-0000-0100-000034010000}"/>
    <hyperlink ref="E311" r:id="rId310" display="https://docs.fivem.net/vehicles/sabregt.webp" xr:uid="{00000000-0004-0000-0100-000035010000}"/>
    <hyperlink ref="E312" r:id="rId311" display="https://docs.fivem.net/vehicles/sabregt2.webp" xr:uid="{00000000-0004-0000-0100-000036010000}"/>
    <hyperlink ref="E313" r:id="rId312" display="https://docs.fivem.net/vehicles/slamvan.webp" xr:uid="{00000000-0004-0000-0100-000037010000}"/>
    <hyperlink ref="E314" r:id="rId313" display="https://docs.fivem.net/vehicles/slamvan2.webp" xr:uid="{00000000-0004-0000-0100-000038010000}"/>
    <hyperlink ref="E315" r:id="rId314" display="https://docs.fivem.net/vehicles/slamvan3.webp" xr:uid="{00000000-0004-0000-0100-000039010000}"/>
    <hyperlink ref="E316" r:id="rId315" display="https://docs.fivem.net/vehicles/stalion.webp" xr:uid="{00000000-0004-0000-0100-00003A010000}"/>
    <hyperlink ref="E317" r:id="rId316" display="https://docs.fivem.net/vehicles/stalion2.webp" xr:uid="{00000000-0004-0000-0100-00003B010000}"/>
    <hyperlink ref="E318" r:id="rId317" display="https://docs.fivem.net/vehicles/tampa.webp" xr:uid="{00000000-0004-0000-0100-00003C010000}"/>
    <hyperlink ref="E319" r:id="rId318" display="https://docs.fivem.net/vehicles/tampa2.webp" xr:uid="{00000000-0004-0000-0100-00003D010000}"/>
    <hyperlink ref="E320" r:id="rId319" display="https://docs.fivem.net/vehicles/tulip.webp" xr:uid="{00000000-0004-0000-0100-00003E010000}"/>
    <hyperlink ref="E321" r:id="rId320" display="https://docs.fivem.net/vehicles/tulip2.webp" xr:uid="{00000000-0004-0000-0100-00003F010000}"/>
    <hyperlink ref="E322" r:id="rId321" display="https://docs.fivem.net/vehicles/vamos.webp" xr:uid="{00000000-0004-0000-0100-000040010000}"/>
    <hyperlink ref="E323" r:id="rId322" display="https://docs.fivem.net/vehicles/vigero.webp" xr:uid="{00000000-0004-0000-0100-000041010000}"/>
    <hyperlink ref="E324" r:id="rId323" display="https://docs.fivem.net/vehicles/vigero2.webp" xr:uid="{00000000-0004-0000-0100-000042010000}"/>
    <hyperlink ref="E325" r:id="rId324" display="https://docs.fivem.net/vehicles/vigero3.webp" xr:uid="{00000000-0004-0000-0100-000043010000}"/>
    <hyperlink ref="E326" r:id="rId325" display="https://docs.fivem.net/vehicles/virgo.webp" xr:uid="{00000000-0004-0000-0100-000044010000}"/>
    <hyperlink ref="E327" r:id="rId326" display="https://docs.fivem.net/vehicles/virgo2.webp" xr:uid="{00000000-0004-0000-0100-000045010000}"/>
    <hyperlink ref="E328" r:id="rId327" display="https://docs.fivem.net/vehicles/virgo3.webp" xr:uid="{00000000-0004-0000-0100-000046010000}"/>
    <hyperlink ref="E329" r:id="rId328" display="https://docs.fivem.net/vehicles/voodoo.webp" xr:uid="{00000000-0004-0000-0100-000047010000}"/>
    <hyperlink ref="E330" r:id="rId329" display="https://docs.fivem.net/vehicles/weevil2.webp" xr:uid="{00000000-0004-0000-0100-000048010000}"/>
    <hyperlink ref="E331" r:id="rId330" display="https://docs.fivem.net/vehicles/yosemite.webp" xr:uid="{00000000-0004-0000-0100-000049010000}"/>
    <hyperlink ref="E332" r:id="rId331" display="https://docs.fivem.net/vehicles/yosemite2.webp" xr:uid="{00000000-0004-0000-0100-00004A010000}"/>
    <hyperlink ref="E333" r:id="rId332" display="https://docs.fivem.net/vehicles/asea.webp" xr:uid="{00000000-0004-0000-0100-00004B010000}"/>
    <hyperlink ref="E334" r:id="rId333" display="https://docs.fivem.net/vehicles/asterope.webp" xr:uid="{00000000-0004-0000-0100-00004C010000}"/>
    <hyperlink ref="E335" r:id="rId334" display="https://docs.fivem.net/vehicles/asterope2.webp" xr:uid="{00000000-0004-0000-0100-00004D010000}"/>
    <hyperlink ref="E336" r:id="rId335" display="https://docs.fivem.net/vehicles/cinquemila.webp" xr:uid="{00000000-0004-0000-0100-00004E010000}"/>
    <hyperlink ref="E337" r:id="rId336" display="https://docs.fivem.net/vehicles/deity.webp" xr:uid="{00000000-0004-0000-0100-00004F010000}"/>
    <hyperlink ref="E338" r:id="rId337" display="https://docs.fivem.net/vehicles/emperor.webp" xr:uid="{00000000-0004-0000-0100-000050010000}"/>
    <hyperlink ref="E339" r:id="rId338" display="https://docs.fivem.net/vehicles/eudora.webp" xr:uid="{00000000-0004-0000-0100-000051010000}"/>
    <hyperlink ref="E340" r:id="rId339" display="https://docs.fivem.net/vehicles/fugitive.webp" xr:uid="{00000000-0004-0000-0100-000052010000}"/>
    <hyperlink ref="E341" r:id="rId340" display="https://docs.fivem.net/vehicles/glendale.webp" xr:uid="{00000000-0004-0000-0100-000053010000}"/>
    <hyperlink ref="E342" r:id="rId341" display="https://docs.fivem.net/vehicles/glendale2.webp" xr:uid="{00000000-0004-0000-0100-000054010000}"/>
    <hyperlink ref="E343" r:id="rId342" display="https://docs.fivem.net/vehicles/impaler5.webp" xr:uid="{00000000-0004-0000-0100-000055010000}"/>
    <hyperlink ref="E344" r:id="rId343" display="https://docs.fivem.net/vehicles/ingot.webp" xr:uid="{00000000-0004-0000-0100-000056010000}"/>
    <hyperlink ref="E345" r:id="rId344" display="https://docs.fivem.net/vehicles/intruder.webp" xr:uid="{00000000-0004-0000-0100-000057010000}"/>
    <hyperlink ref="E346" r:id="rId345" display="https://docs.fivem.net/vehicles/oracle.webp" xr:uid="{00000000-0004-0000-0100-000058010000}"/>
    <hyperlink ref="E347" r:id="rId346" display="https://docs.fivem.net/vehicles/premier.webp" xr:uid="{00000000-0004-0000-0100-000059010000}"/>
    <hyperlink ref="E348" r:id="rId347" display="https://docs.fivem.net/vehicles/primo.webp" xr:uid="{00000000-0004-0000-0100-00005A010000}"/>
    <hyperlink ref="E349" r:id="rId348" display="https://docs.fivem.net/vehicles/primo2.webp" xr:uid="{00000000-0004-0000-0100-00005B010000}"/>
    <hyperlink ref="E350" r:id="rId349" display="https://docs.fivem.net/vehicles/regina.webp" xr:uid="{00000000-0004-0000-0100-00005C010000}"/>
    <hyperlink ref="E351" r:id="rId350" display="https://docs.fivem.net/vehicles/rhinehart.webp" xr:uid="{00000000-0004-0000-0100-00005D010000}"/>
    <hyperlink ref="E352" r:id="rId351" display="https://docs.fivem.net/vehicles/schafter2.webp" xr:uid="{00000000-0004-0000-0100-00005E010000}"/>
    <hyperlink ref="E353" r:id="rId352" display="https://docs.fivem.net/vehicles/stafford.webp" xr:uid="{00000000-0004-0000-0100-00005F010000}"/>
    <hyperlink ref="E354" r:id="rId353" display="https://docs.fivem.net/vehicles/stanier.webp" xr:uid="{00000000-0004-0000-0100-000060010000}"/>
    <hyperlink ref="E355" r:id="rId354" display="https://docs.fivem.net/vehicles/stratum.webp" xr:uid="{00000000-0004-0000-0100-000061010000}"/>
    <hyperlink ref="E356" r:id="rId355" display="https://docs.fivem.net/vehicles/superd.webp" xr:uid="{00000000-0004-0000-0100-000062010000}"/>
    <hyperlink ref="E357" r:id="rId356" display="https://docs.fivem.net/vehicles/surge.webp" xr:uid="{00000000-0004-0000-0100-000063010000}"/>
    <hyperlink ref="E358" r:id="rId357" display="https://docs.fivem.net/vehicles/tailgater.webp" xr:uid="{00000000-0004-0000-0100-000064010000}"/>
    <hyperlink ref="E359" r:id="rId358" display="https://docs.fivem.net/vehicles/tailgater2.webp" xr:uid="{00000000-0004-0000-0100-000065010000}"/>
    <hyperlink ref="E360" r:id="rId359" display="https://docs.fivem.net/vehicles/warrener.webp" xr:uid="{00000000-0004-0000-0100-000066010000}"/>
    <hyperlink ref="E361" r:id="rId360" display="https://docs.fivem.net/vehicles/warrener2.webp" xr:uid="{00000000-0004-0000-0100-000067010000}"/>
    <hyperlink ref="E362" r:id="rId361" display="https://docs.fivem.net/vehicles/washington.webp" xr:uid="{00000000-0004-0000-0100-000068010000}"/>
    <hyperlink ref="E363" r:id="rId362" display="https://docs.fivem.net/vehicles/adder.webp" xr:uid="{00000000-0004-0000-0100-000069010000}"/>
    <hyperlink ref="E364" r:id="rId363" display="https://docs.fivem.net/vehicles/autarch.webp" xr:uid="{00000000-0004-0000-0100-00006A010000}"/>
    <hyperlink ref="E365" r:id="rId364" display="https://docs.fivem.net/vehicles/banshee2.webp" xr:uid="{00000000-0004-0000-0100-00006B010000}"/>
    <hyperlink ref="E366" r:id="rId365" display="https://docs.fivem.net/vehicles/bullet.webp" xr:uid="{00000000-0004-0000-0100-00006C010000}"/>
    <hyperlink ref="E367" r:id="rId366" display="https://docs.fivem.net/vehicles/cheetah.webp" xr:uid="{00000000-0004-0000-0100-00006D010000}"/>
    <hyperlink ref="E368" r:id="rId367" display="https://docs.fivem.net/vehicles/corsita.webp" xr:uid="{00000000-0004-0000-0100-00006E010000}"/>
    <hyperlink ref="E369" r:id="rId368" display="https://docs.fivem.net/vehicles/cyclone.webp" xr:uid="{00000000-0004-0000-0100-00006F010000}"/>
    <hyperlink ref="E370" r:id="rId369" display="https://docs.fivem.net/vehicles/deveste.webp" xr:uid="{00000000-0004-0000-0100-000070010000}"/>
    <hyperlink ref="E371" r:id="rId370" display="https://docs.fivem.net/vehicles/emerus.webp" xr:uid="{00000000-0004-0000-0100-000071010000}"/>
    <hyperlink ref="E372" r:id="rId371" display="https://docs.fivem.net/vehicles/entity2.webp" xr:uid="{00000000-0004-0000-0100-000072010000}"/>
    <hyperlink ref="E373" r:id="rId372" display="https://docs.fivem.net/vehicles/entity3.webp" xr:uid="{00000000-0004-0000-0100-000073010000}"/>
    <hyperlink ref="E374" r:id="rId373" display="https://docs.fivem.net/vehicles/entityxf.webp" xr:uid="{00000000-0004-0000-0100-000074010000}"/>
    <hyperlink ref="E375" r:id="rId374" display="https://docs.fivem.net/vehicles/fmj.webp" xr:uid="{00000000-0004-0000-0100-000075010000}"/>
    <hyperlink ref="E376" r:id="rId375" display="https://docs.fivem.net/vehicles/furia.webp" xr:uid="{00000000-0004-0000-0100-000076010000}"/>
    <hyperlink ref="E377" r:id="rId376" display="https://docs.fivem.net/vehicles/gp1.webp" xr:uid="{00000000-0004-0000-0100-000077010000}"/>
    <hyperlink ref="E378" r:id="rId377" display="https://docs.fivem.net/vehicles/ignus.webp" xr:uid="{00000000-0004-0000-0100-000078010000}"/>
    <hyperlink ref="E379" r:id="rId378" display="https://docs.fivem.net/vehicles/infernus.webp" xr:uid="{00000000-0004-0000-0100-000079010000}"/>
    <hyperlink ref="E380" r:id="rId379" display="https://docs.fivem.net/vehicles/italigtb.webp" xr:uid="{00000000-0004-0000-0100-00007A010000}"/>
    <hyperlink ref="E381" r:id="rId380" display="https://docs.fivem.net/vehicles/italigtb2.webp" xr:uid="{00000000-0004-0000-0100-00007B010000}"/>
    <hyperlink ref="E382" r:id="rId381" display="https://docs.fivem.net/vehicles/italirsx.webp" xr:uid="{00000000-0004-0000-0100-00007C010000}"/>
    <hyperlink ref="E383" r:id="rId382" display="https://docs.fivem.net/vehicles/krieger.webp" xr:uid="{00000000-0004-0000-0100-00007D010000}"/>
    <hyperlink ref="E384" r:id="rId383" display="https://docs.fivem.net/vehicles/le7b.webp" xr:uid="{00000000-0004-0000-0100-00007E010000}"/>
    <hyperlink ref="E385" r:id="rId384" display="https://docs.fivem.net/vehicles/lm87.webp" xr:uid="{00000000-0004-0000-0100-00007F010000}"/>
    <hyperlink ref="E386" r:id="rId385" display="https://docs.fivem.net/vehicles/nero.webp" xr:uid="{00000000-0004-0000-0100-000080010000}"/>
    <hyperlink ref="E387" r:id="rId386" display="https://docs.fivem.net/vehicles/nero2.webp" xr:uid="{00000000-0004-0000-0100-000081010000}"/>
    <hyperlink ref="E388" r:id="rId387" display="https://docs.fivem.net/vehicles/osiris.webp" xr:uid="{00000000-0004-0000-0100-000082010000}"/>
    <hyperlink ref="E389" r:id="rId388" display="https://docs.fivem.net/vehicles/penetrator.webp" xr:uid="{00000000-0004-0000-0100-000083010000}"/>
    <hyperlink ref="E390" r:id="rId389" display="https://docs.fivem.net/vehicles/pfister811.webp" xr:uid="{00000000-0004-0000-0100-000084010000}"/>
    <hyperlink ref="E391" r:id="rId390" display="https://docs.fivem.net/vehicles/prototipo.webp" xr:uid="{00000000-0004-0000-0100-000085010000}"/>
    <hyperlink ref="E392" r:id="rId391" display="https://docs.fivem.net/vehicles/reaper.webp" xr:uid="{00000000-0004-0000-0100-000086010000}"/>
    <hyperlink ref="E393" r:id="rId392" display="https://docs.fivem.net/vehicles/s80.webp" xr:uid="{00000000-0004-0000-0100-000087010000}"/>
    <hyperlink ref="E394" r:id="rId393" display="https://docs.fivem.net/vehicles/sc1.webp" xr:uid="{00000000-0004-0000-0100-000088010000}"/>
    <hyperlink ref="E395" r:id="rId394" display="https://docs.fivem.net/vehicles/sheava.webp" xr:uid="{00000000-0004-0000-0100-000089010000}"/>
    <hyperlink ref="E396" r:id="rId395" display="https://docs.fivem.net/vehicles/stingertt.webp" xr:uid="{00000000-0004-0000-0100-00008A010000}"/>
    <hyperlink ref="E397" r:id="rId396" display="https://docs.fivem.net/vehicles/t20.webp" xr:uid="{00000000-0004-0000-0100-00008B010000}"/>
    <hyperlink ref="E398" r:id="rId397" display="https://docs.fivem.net/vehicles/taipan.webp" xr:uid="{00000000-0004-0000-0100-00008C010000}"/>
    <hyperlink ref="E399" r:id="rId398" display="https://docs.fivem.net/vehicles/tempesta.webp" xr:uid="{00000000-0004-0000-0100-00008D010000}"/>
    <hyperlink ref="E400" r:id="rId399" display="https://docs.fivem.net/vehicles/tezeract.webp" xr:uid="{00000000-0004-0000-0100-00008E010000}"/>
    <hyperlink ref="E401" r:id="rId400" display="https://docs.fivem.net/vehicles/thrax.webp" xr:uid="{00000000-0004-0000-0100-00008F010000}"/>
    <hyperlink ref="E402" r:id="rId401" display="https://docs.fivem.net/vehicles/tigon.webp" xr:uid="{00000000-0004-0000-0100-000090010000}"/>
    <hyperlink ref="E403" r:id="rId402" display="https://docs.fivem.net/vehicles/torero2.webp" xr:uid="{00000000-0004-0000-0100-000091010000}"/>
    <hyperlink ref="E404" r:id="rId403" display="https://docs.fivem.net/vehicles/turismo3.webp" xr:uid="{00000000-0004-0000-0100-000092010000}"/>
    <hyperlink ref="E405" r:id="rId404" display="https://docs.fivem.net/vehicles/turismor.webp" xr:uid="{00000000-0004-0000-0100-000093010000}"/>
    <hyperlink ref="E406" r:id="rId405" display="https://docs.fivem.net/vehicles/tyrant.webp" xr:uid="{00000000-0004-0000-0100-000094010000}"/>
    <hyperlink ref="E407" r:id="rId406" display="https://docs.fivem.net/vehicles/tyrus.webp" xr:uid="{00000000-0004-0000-0100-000095010000}"/>
    <hyperlink ref="E408" r:id="rId407" display="https://docs.fivem.net/vehicles/vacca.webp" xr:uid="{00000000-0004-0000-0100-000096010000}"/>
    <hyperlink ref="E409" r:id="rId408" display="https://docs.fivem.net/vehicles/vagner.webp" xr:uid="{00000000-0004-0000-0100-000097010000}"/>
    <hyperlink ref="E410" r:id="rId409" display="https://docs.fivem.net/vehicles/virtue.webp" xr:uid="{00000000-0004-0000-0100-000098010000}"/>
    <hyperlink ref="E411" r:id="rId410" display="https://docs.fivem.net/vehicles/voltic.webp" xr:uid="{00000000-0004-0000-0100-000099010000}"/>
    <hyperlink ref="E412" r:id="rId411" display="https://docs.fivem.net/vehicles/xa21.webp" xr:uid="{00000000-0004-0000-0100-00009A010000}"/>
    <hyperlink ref="E413" r:id="rId412" display="https://docs.fivem.net/vehicles/zeno.webp" xr:uid="{00000000-0004-0000-0100-00009B010000}"/>
    <hyperlink ref="E414" r:id="rId413" display="https://docs.fivem.net/vehicles/zentorno.webp" xr:uid="{00000000-0004-0000-0100-00009C010000}"/>
    <hyperlink ref="E415" r:id="rId414" display="https://docs.fivem.net/vehicles/zorrusso.webp" xr:uid="{00000000-0004-0000-0100-00009D010000}"/>
    <hyperlink ref="E416" r:id="rId415" display="https://docs.fivem.net/vehicles/aleutian.webp" xr:uid="{00000000-0004-0000-0100-00009E010000}"/>
    <hyperlink ref="E417" r:id="rId416" display="https://docs.fivem.net/vehicles/astron.webp" xr:uid="{00000000-0004-0000-0100-00009F010000}"/>
    <hyperlink ref="E418" r:id="rId417" display="https://docs.fivem.net/vehicles/baller.webp" xr:uid="{00000000-0004-0000-0100-0000A0010000}"/>
    <hyperlink ref="E419" r:id="rId418" display="https://docs.fivem.net/vehicles/baller2.webp" xr:uid="{00000000-0004-0000-0100-0000A1010000}"/>
    <hyperlink ref="E420" r:id="rId419" display="https://docs.fivem.net/vehicles/baller3.webp" xr:uid="{00000000-0004-0000-0100-0000A2010000}"/>
    <hyperlink ref="E421" r:id="rId420" display="https://docs.fivem.net/vehicles/baller4.webp" xr:uid="{00000000-0004-0000-0100-0000A3010000}"/>
    <hyperlink ref="E422" r:id="rId421" display="https://docs.fivem.net/vehicles/baller7.webp" xr:uid="{00000000-0004-0000-0100-0000A4010000}"/>
    <hyperlink ref="E423" r:id="rId422" display="https://docs.fivem.net/vehicles/baller8.webp" xr:uid="{00000000-0004-0000-0100-0000A5010000}"/>
    <hyperlink ref="E424" r:id="rId423" display="https://docs.fivem.net/vehicles/bjxl.webp" xr:uid="{00000000-0004-0000-0100-0000A6010000}"/>
    <hyperlink ref="E425" r:id="rId424" display="https://docs.fivem.net/vehicles/castigator.webp" xr:uid="{00000000-0004-0000-0100-0000A7010000}"/>
    <hyperlink ref="E426" r:id="rId425" display="https://docs.fivem.net/vehicles/cavalcade.webp" xr:uid="{00000000-0004-0000-0100-0000A8010000}"/>
    <hyperlink ref="E427" r:id="rId426" display="https://docs.fivem.net/vehicles/cavalcade2.webp" xr:uid="{00000000-0004-0000-0100-0000A9010000}"/>
    <hyperlink ref="E428" r:id="rId427" display="https://docs.fivem.net/vehicles/cavalcade3.webp" xr:uid="{00000000-0004-0000-0100-0000AA010000}"/>
    <hyperlink ref="E429" r:id="rId428" display="https://docs.fivem.net/vehicles/contender.webp" xr:uid="{00000000-0004-0000-0100-0000AB010000}"/>
    <hyperlink ref="E430" r:id="rId429" display="https://docs.fivem.net/vehicles/dorado.webp" xr:uid="{00000000-0004-0000-0100-0000AC010000}"/>
    <hyperlink ref="E431" r:id="rId430" display="https://docs.fivem.net/vehicles/dubsta.webp" xr:uid="{00000000-0004-0000-0100-0000AD010000}"/>
    <hyperlink ref="E432" r:id="rId431" display="https://docs.fivem.net/vehicles/dubsta2.webp" xr:uid="{00000000-0004-0000-0100-0000AE010000}"/>
    <hyperlink ref="E433" r:id="rId432" display="https://docs.fivem.net/vehicles/fq2.webp" xr:uid="{00000000-0004-0000-0100-0000AF010000}"/>
    <hyperlink ref="E434" r:id="rId433" display="https://docs.fivem.net/vehicles/granger.webp" xr:uid="{00000000-0004-0000-0100-0000B0010000}"/>
    <hyperlink ref="E435" r:id="rId434" display="https://docs.fivem.net/vehicles/granger2.webp" xr:uid="{00000000-0004-0000-0100-0000B1010000}"/>
    <hyperlink ref="E436" r:id="rId435" display="https://docs.fivem.net/vehicles/gresley.webp" xr:uid="{00000000-0004-0000-0100-0000B2010000}"/>
    <hyperlink ref="E437" r:id="rId436" display="https://docs.fivem.net/vehicles/habanero.webp" xr:uid="{00000000-0004-0000-0100-0000B3010000}"/>
    <hyperlink ref="E438" r:id="rId437" display="https://docs.fivem.net/vehicles/huntley.webp" xr:uid="{00000000-0004-0000-0100-0000B4010000}"/>
    <hyperlink ref="E439" r:id="rId438" display="https://docs.fivem.net/vehicles/iwagen.webp" xr:uid="{00000000-0004-0000-0100-0000B5010000}"/>
    <hyperlink ref="E440" r:id="rId439" display="https://docs.fivem.net/vehicles/jubilee.webp" xr:uid="{00000000-0004-0000-0100-0000B6010000}"/>
    <hyperlink ref="E441" r:id="rId440" display="https://docs.fivem.net/vehicles/landstalker.webp" xr:uid="{00000000-0004-0000-0100-0000B7010000}"/>
    <hyperlink ref="E442" r:id="rId441" display="https://docs.fivem.net/vehicles/landstalker2.webp" xr:uid="{00000000-0004-0000-0100-0000B8010000}"/>
    <hyperlink ref="E443" r:id="rId442" display="https://docs.fivem.net/vehicles/novak.webp" xr:uid="{00000000-0004-0000-0100-0000B9010000}"/>
    <hyperlink ref="E444" r:id="rId443" display="https://docs.fivem.net/vehicles/patriot.webp" xr:uid="{00000000-0004-0000-0100-0000BA010000}"/>
    <hyperlink ref="E445" r:id="rId444" display="https://docs.fivem.net/vehicles/patriot3.webp" xr:uid="{00000000-0004-0000-0100-0000BB010000}"/>
    <hyperlink ref="E446" r:id="rId445" display="https://docs.fivem.net/vehicles/radi.webp" xr:uid="{00000000-0004-0000-0100-0000BC010000}"/>
    <hyperlink ref="E447" r:id="rId446" display="https://docs.fivem.net/vehicles/rebla.webp" xr:uid="{00000000-0004-0000-0100-0000BD010000}"/>
    <hyperlink ref="E448" r:id="rId447" display="https://docs.fivem.net/vehicles/rocoto.webp" xr:uid="{00000000-0004-0000-0100-0000BE010000}"/>
    <hyperlink ref="E449" r:id="rId448" display="https://docs.fivem.net/vehicles/seminole.webp" xr:uid="{00000000-0004-0000-0100-0000BF010000}"/>
    <hyperlink ref="E450" r:id="rId449" display="https://docs.fivem.net/vehicles/seminole2.webp" xr:uid="{00000000-0004-0000-0100-0000C0010000}"/>
    <hyperlink ref="E451" r:id="rId450" display="https://docs.fivem.net/vehicles/serrano.webp" xr:uid="{00000000-0004-0000-0100-0000C1010000}"/>
    <hyperlink ref="E452" r:id="rId451" display="https://docs.fivem.net/vehicles/toros.webp" xr:uid="{00000000-0004-0000-0100-0000C2010000}"/>
    <hyperlink ref="E453" r:id="rId452" display="https://docs.fivem.net/vehicles/vivanite.webp" xr:uid="{00000000-0004-0000-0100-0000C3010000}"/>
    <hyperlink ref="E454" r:id="rId453" display="https://docs.fivem.net/vehicles/xls.webp" xr:uid="{00000000-0004-0000-0100-0000C4010000}"/>
    <hyperlink ref="E455" r:id="rId454" display="https://docs.fivem.net/vehicles/bfinjection.webp" xr:uid="{00000000-0004-0000-0100-0000C5010000}"/>
    <hyperlink ref="E456" r:id="rId455" display="https://docs.fivem.net/vehicles/bifta.webp" xr:uid="{00000000-0004-0000-0100-0000C6010000}"/>
    <hyperlink ref="E457" r:id="rId456" display="https://docs.fivem.net/vehicles/blazer.webp" xr:uid="{00000000-0004-0000-0100-0000C7010000}"/>
    <hyperlink ref="E458" r:id="rId457" display="https://docs.fivem.net/vehicles/blazer3.webp" xr:uid="{00000000-0004-0000-0100-0000C8010000}"/>
    <hyperlink ref="E459" r:id="rId458" display="https://docs.fivem.net/vehicles/blazer4.webp" xr:uid="{00000000-0004-0000-0100-0000C9010000}"/>
    <hyperlink ref="E460" r:id="rId459" display="https://docs.fivem.net/vehicles/brawler.webp" xr:uid="{00000000-0004-0000-0100-0000CA010000}"/>
    <hyperlink ref="E461" r:id="rId460" display="https://docs.fivem.net/vehicles/caracara.webp" xr:uid="{00000000-0004-0000-0100-0000CB010000}"/>
    <hyperlink ref="E462" r:id="rId461" display="https://docs.fivem.net/vehicles/caracara2.webp" xr:uid="{00000000-0004-0000-0100-0000CC010000}"/>
    <hyperlink ref="E463" r:id="rId462" display="https://docs.fivem.net/vehicles/draugur.webp" xr:uid="{00000000-0004-0000-0100-0000CD010000}"/>
    <hyperlink ref="E464" r:id="rId463" display="https://docs.fivem.net/vehicles/dubsta3.webp" xr:uid="{00000000-0004-0000-0100-0000CE010000}"/>
    <hyperlink ref="E465" r:id="rId464" display="https://docs.fivem.net/vehicles/dune.webp" xr:uid="{00000000-0004-0000-0100-0000CF010000}"/>
    <hyperlink ref="E466" r:id="rId465" display="https://docs.fivem.net/vehicles/everon.webp" xr:uid="{00000000-0004-0000-0100-0000D0010000}"/>
    <hyperlink ref="E467" r:id="rId466" display="https://docs.fivem.net/vehicles/freecrawler.webp" xr:uid="{00000000-0004-0000-0100-0000D1010000}"/>
    <hyperlink ref="E468" r:id="rId467" display="https://docs.fivem.net/vehicles/guardian.webp" xr:uid="{00000000-0004-0000-0100-0000D2010000}"/>
    <hyperlink ref="E469" r:id="rId468" display="https://docs.fivem.net/vehicles/hellion.webp" xr:uid="{00000000-0004-0000-0100-0000D3010000}"/>
    <hyperlink ref="E470" r:id="rId469" display="https://docs.fivem.net/vehicles/kalahari.webp" xr:uid="{00000000-0004-0000-0100-0000D4010000}"/>
    <hyperlink ref="E471" r:id="rId470" display="https://docs.fivem.net/vehicles/kamacho.webp" xr:uid="{00000000-0004-0000-0100-0000D5010000}"/>
    <hyperlink ref="E472" r:id="rId471" display="https://docs.fivem.net/vehicles/l35.webp" xr:uid="{00000000-0004-0000-0100-0000D6010000}"/>
    <hyperlink ref="E473" r:id="rId472" display="https://docs.fivem.net/vehicles/mesa.webp" xr:uid="{00000000-0004-0000-0100-0000D7010000}"/>
    <hyperlink ref="E474" r:id="rId473" display="https://docs.fivem.net/vehicles/mesa3.webp" xr:uid="{00000000-0004-0000-0100-0000D8010000}"/>
    <hyperlink ref="E475" r:id="rId474" display="https://docs.fivem.net/vehicles/monstrociti.webp" xr:uid="{00000000-0004-0000-0100-0000D9010000}"/>
    <hyperlink ref="E476" r:id="rId475" display="https://docs.fivem.net/vehicles/outlaw.webp" xr:uid="{00000000-0004-0000-0100-0000DA010000}"/>
    <hyperlink ref="E477" r:id="rId476" display="https://docs.fivem.net/vehicles/rancherxl.webp" xr:uid="{00000000-0004-0000-0100-0000DB010000}"/>
    <hyperlink ref="E478" r:id="rId477" display="https://docs.fivem.net/vehicles/ratel.webp" xr:uid="{00000000-0004-0000-0100-0000DC010000}"/>
    <hyperlink ref="E479" r:id="rId478" display="https://docs.fivem.net/vehicles/rebel2.webp" xr:uid="{00000000-0004-0000-0100-0000DD010000}"/>
    <hyperlink ref="E480" r:id="rId479" display="https://docs.fivem.net/vehicles/riata.webp" xr:uid="{00000000-0004-0000-0100-0000DE010000}"/>
    <hyperlink ref="E481" r:id="rId480" display="https://docs.fivem.net/vehicles/sandking.webp" xr:uid="{00000000-0004-0000-0100-0000DF010000}"/>
    <hyperlink ref="E482" r:id="rId481" display="https://docs.fivem.net/vehicles/sandking2.webp" xr:uid="{00000000-0004-0000-0100-0000E0010000}"/>
    <hyperlink ref="E483" r:id="rId482" display="https://docs.fivem.net/vehicles/terminus.webp" xr:uid="{00000000-0004-0000-0100-0000E1010000}"/>
    <hyperlink ref="E484" r:id="rId483" display="https://docs.fivem.net/vehicles/trophytruck.webp" xr:uid="{00000000-0004-0000-0100-0000E2010000}"/>
    <hyperlink ref="E485" r:id="rId484" display="https://docs.fivem.net/vehicles/trophytruck2.webp" xr:uid="{00000000-0004-0000-0100-0000E3010000}"/>
    <hyperlink ref="E486" r:id="rId485" display="https://docs.fivem.net/vehicles/vagrant.webp" xr:uid="{00000000-0004-0000-0100-0000E4010000}"/>
    <hyperlink ref="E487" r:id="rId486" display="https://docs.fivem.net/vehicles/verus.webp" xr:uid="{00000000-0004-0000-0100-0000E5010000}"/>
    <hyperlink ref="E488" r:id="rId487" display="https://docs.fivem.net/vehicles/winky.webp" xr:uid="{00000000-0004-0000-0100-0000E6010000}"/>
    <hyperlink ref="E489" r:id="rId488" display="https://docs.fivem.net/vehicles/yosemite3.webp" xr:uid="{00000000-0004-0000-0100-0000E7010000}"/>
    <hyperlink ref="E490" r:id="rId489" display="https://docs.fivem.net/vehicles/620gts.webp" xr:uid="{00000000-0004-0000-0100-0000E8010000}"/>
    <hyperlink ref="E491" r:id="rId490" display="https://docs.fivem.net/vehicles/dc_elite.webp" xr:uid="{00000000-0004-0000-0100-0000E9010000}"/>
    <hyperlink ref="E492" r:id="rId491" display="https://docs.fivem.net/vehicles/dc_evo900comet.webp" xr:uid="{00000000-0004-0000-0100-0000EA010000}"/>
    <hyperlink ref="E493" r:id="rId492" display="https://docs.fivem.net/vehicles/dc500l.webp" xr:uid="{00000000-0004-0000-0100-0000EB010000}"/>
    <hyperlink ref="E494" r:id="rId493" display="https://docs.fivem.net/vehicles/evocometwoc.webp" xr:uid="{00000000-0004-0000-0100-0000EC010000}"/>
    <hyperlink ref="E495" r:id="rId494" display="https://docs.fivem.net/vehicles/g4m82.webp" xr:uid="{00000000-0004-0000-0100-0000ED010000}"/>
    <hyperlink ref="E496" r:id="rId495" display="https://docs.fivem.net/vehicles/g4m82touring.webp" xr:uid="{00000000-0004-0000-0100-0000EE010000}"/>
    <hyperlink ref="E497" r:id="rId496" display="https://docs.fivem.net/vehicles/gbbanshees.webp" xr:uid="{00000000-0004-0000-0100-0000EF010000}"/>
    <hyperlink ref="E498" r:id="rId497" display="https://docs.fivem.net/vehicles/gbbisonhf.webp" xr:uid="{00000000-0004-0000-0100-0000F0010000}"/>
    <hyperlink ref="E499" r:id="rId498" display="https://docs.fivem.net/vehicles/gbclubxr.webp" xr:uid="{00000000-0004-0000-0100-0000F1010000}"/>
    <hyperlink ref="E500" r:id="rId499" display="https://docs.fivem.net/vehicles/gbcometcl.webp" xr:uid="{00000000-0004-0000-0100-0000F2010000}"/>
    <hyperlink ref="E501" r:id="rId500" display="https://docs.fivem.net/vehicles/gbcomets1t.webp" xr:uid="{00000000-0004-0000-0100-0000F3010000}"/>
    <hyperlink ref="E502" r:id="rId501" display="https://docs.fivem.net/vehicles/gbcomets2r.webp" xr:uid="{00000000-0004-0000-0100-0000F4010000}"/>
    <hyperlink ref="E503" r:id="rId502" display="https://docs.fivem.net/vehicles/gbcomets2rc.webp" xr:uid="{00000000-0004-0000-0100-0000F5010000}"/>
    <hyperlink ref="E504" r:id="rId503" display="https://docs.fivem.net/vehicles/gbdominatorgsx.webp" xr:uid="{00000000-0004-0000-0100-0000F6010000}"/>
    <hyperlink ref="E505" r:id="rId504" display="https://docs.fivem.net/vehicles/gbemerussb1.webp" xr:uid="{00000000-0004-0000-0100-0000F7010000}"/>
    <hyperlink ref="E506" r:id="rId505" display="https://docs.fivem.net/vehicles/gbeon.webp" xr:uid="{00000000-0004-0000-0100-0000F8010000}"/>
    <hyperlink ref="E507" r:id="rId506" display="https://docs.fivem.net/vehicles/gbesperta.webp" xr:uid="{00000000-0004-0000-0100-0000F9010000}"/>
    <hyperlink ref="E508" r:id="rId507" display="https://docs.fivem.net/vehicles/gbgresleystx.webp" xr:uid="{00000000-0004-0000-0100-0000FA010000}"/>
    <hyperlink ref="E509" r:id="rId508" display="https://docs.fivem.net/vehicles/gbhades.webp" xr:uid="{00000000-0004-0000-0100-0000FB010000}"/>
    <hyperlink ref="E510" r:id="rId509" display="https://docs.fivem.net/vehicles/gbharmann.webp" xr:uid="{00000000-0004-0000-0100-0000FC010000}"/>
    <hyperlink ref="E511" r:id="rId510" display="https://docs.fivem.net/vehicles/gbimpaler.webp" xr:uid="{00000000-0004-0000-0100-0000FD010000}"/>
    <hyperlink ref="E512" r:id="rId511" display="https://docs.fivem.net/vehicles/gbirisz.webp" xr:uid="{00000000-0004-0000-0100-0000FE010000}"/>
    <hyperlink ref="E513" r:id="rId512" display="https://docs.fivem.net/vehicles/gbissimetro.webp" xr:uid="{00000000-0004-0000-0100-0000FF010000}"/>
    <hyperlink ref="E514" r:id="rId513" display="https://docs.fivem.net/vehicles/gbkomodagt.webp" xr:uid="{00000000-0004-0000-0100-000000020000}"/>
    <hyperlink ref="E515" r:id="rId514" display="https://docs.fivem.net/vehicles/gblod4.webp" xr:uid="{00000000-0004-0000-0100-000001020000}"/>
    <hyperlink ref="E516" r:id="rId515" display="https://docs.fivem.net/vehicles/gbmilano.webp" xr:uid="{00000000-0004-0000-0100-000002020000}"/>
    <hyperlink ref="E517" r:id="rId516" display="https://docs.fivem.net/vehicles/gbmogulrs.webp" xr:uid="{00000000-0004-0000-0100-000003020000}"/>
    <hyperlink ref="E518" r:id="rId517" display="https://docs.fivem.net/vehicles/gbmojave.webp" xr:uid="{00000000-0004-0000-0100-000004020000}"/>
    <hyperlink ref="E519" r:id="rId518" display="https://docs.fivem.net/vehicles/gbneonct.webp" xr:uid="{00000000-0004-0000-0100-000005020000}"/>
    <hyperlink ref="E520" r:id="rId519" display="https://docs.fivem.net/vehicles/gbnexusrr.webp" xr:uid="{00000000-0004-0000-0100-000006020000}"/>
    <hyperlink ref="E521" r:id="rId520" display="https://docs.fivem.net/vehicles/gbprospero.webp" xr:uid="{00000000-0004-0000-0100-000007020000}"/>
    <hyperlink ref="E522" r:id="rId521" display="https://docs.fivem.net/vehicles/gbraidillon.webp" xr:uid="{00000000-0004-0000-0100-000008020000}"/>
    <hyperlink ref="E523" r:id="rId522" display="https://docs.fivem.net/vehicles/gbronin.webp" xr:uid="{00000000-0004-0000-0100-000009020000}"/>
    <hyperlink ref="E524" r:id="rId523" display="https://docs.fivem.net/vehicles/gbsapphire.webp" xr:uid="{00000000-0004-0000-0100-00000A020000}"/>
    <hyperlink ref="E525" r:id="rId524" display="https://docs.fivem.net/vehicles/gbschlagenr.webp" xr:uid="{00000000-0004-0000-0100-00000B020000}"/>
    <hyperlink ref="E526" r:id="rId525" display="https://docs.fivem.net/vehicles/gbschlagensp.webp" xr:uid="{00000000-0004-0000-0100-00000C020000}"/>
    <hyperlink ref="E527" r:id="rId526" display="https://docs.fivem.net/vehicles/gbschrauber.webp" xr:uid="{00000000-0004-0000-0100-00000D020000}"/>
    <hyperlink ref="E528" r:id="rId527" display="https://docs.fivem.net/vehicles/gbschwartzers.webp" xr:uid="{00000000-0004-0000-0100-00000E020000}"/>
    <hyperlink ref="E529" r:id="rId528" display="https://docs.fivem.net/vehicles/gbsentinelgts.webp" xr:uid="{00000000-0004-0000-0100-00000F020000}"/>
    <hyperlink ref="E530" r:id="rId529" display="https://docs.fivem.net/vehicles/gbsidewinder.webp" xr:uid="{00000000-0004-0000-0100-000010020000}"/>
    <hyperlink ref="E531" r:id="rId530" display="https://docs.fivem.net/vehicles/gbsolace.webp" xr:uid="{00000000-0004-0000-0100-000011020000}"/>
    <hyperlink ref="E532" r:id="rId531" display="https://docs.fivem.net/vehicles/gbsolacev.webp" xr:uid="{00000000-0004-0000-0100-000012020000}"/>
    <hyperlink ref="E533" r:id="rId532" display="https://docs.fivem.net/vehicles/gbstarlight.webp" xr:uid="{00000000-0004-0000-0100-000013020000}"/>
    <hyperlink ref="E534" r:id="rId533" display="https://docs.fivem.net/vehicles/gbsultanrsx.webp" xr:uid="{00000000-0004-0000-0100-000014020000}"/>
    <hyperlink ref="E535" r:id="rId534" display="https://docs.fivem.net/vehicles/gbtahomagt.webp" xr:uid="{00000000-0004-0000-0100-000015020000}"/>
    <hyperlink ref="E536" r:id="rId535" display="https://docs.fivem.net/vehicles/gbtenfr.webp" xr:uid="{00000000-0004-0000-0100-000016020000}"/>
    <hyperlink ref="E537" r:id="rId536" display="https://docs.fivem.net/vehicles/gbterrorizer.webp" xr:uid="{00000000-0004-0000-0100-000017020000}"/>
    <hyperlink ref="E538" r:id="rId537" display="https://docs.fivem.net/vehicles/gbtr3s.webp" xr:uid="{00000000-0004-0000-0100-000018020000}"/>
    <hyperlink ref="E539" r:id="rId538" display="https://docs.fivem.net/vehicles/gbturismogts.webp" xr:uid="{00000000-0004-0000-0100-000019020000}"/>
    <hyperlink ref="E540" r:id="rId539" display="https://docs.fivem.net/vehicles/gbvivant.webp" xr:uid="{00000000-0004-0000-0100-00001A020000}"/>
    <hyperlink ref="E541" r:id="rId540" display="https://docs.fivem.net/vehicles/gbvivantgrb.webp" xr:uid="{00000000-0004-0000-0100-00001B020000}"/>
    <hyperlink ref="E542" r:id="rId541" display="https://docs.fivem.net/vehicles/ixr.webp" xr:uid="{00000000-0004-0000-0100-00001C020000}"/>
    <hyperlink ref="E543" r:id="rId542" display="https://docs.fivem.net/vehicles/obeysport.webp" xr:uid="{00000000-0004-0000-0100-00001D020000}"/>
    <hyperlink ref="E544" r:id="rId543" display="https://docs.fivem.net/vehicles/offzenith.webp" xr:uid="{00000000-0004-0000-0100-00001E020000}"/>
    <hyperlink ref="E545" r:id="rId544" display="https://docs.fivem.net/vehicles/revenant.webp" xr:uid="{00000000-0004-0000-0100-00001F020000}"/>
    <hyperlink ref="E547" r:id="rId545" display="https://docs.fivem.net/vehicles/s790anim.webp" xr:uid="{00000000-0004-0000-0100-000020020000}"/>
    <hyperlink ref="E548" r:id="rId546" display="https://docs.fivem.net/vehicles/terminator.webp" xr:uid="{00000000-0004-0000-0100-000021020000}"/>
    <hyperlink ref="E549" r:id="rId547" display="https://docs.fivem.net/vehicles/toroslxstance.webp" xr:uid="{00000000-0004-0000-0100-000022020000}"/>
    <hyperlink ref="E550" r:id="rId548" display="https://docs.fivem.net/vehicles/zenith.webp" xr:uid="{00000000-0004-0000-0100-000023020000}"/>
    <hyperlink ref="E551" r:id="rId549" display="https://docs.fivem.net/vehicles/zr6gt.webp" xr:uid="{00000000-0004-0000-0100-000024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Calculadora</vt:lpstr>
      <vt:lpstr>Listado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Aleix Arcarons</dc:creator>
  <cp:lastModifiedBy>Aleix Arcarons</cp:lastModifiedBy>
  <dcterms:created xsi:type="dcterms:W3CDTF">2026-03-15T20:45:01Z</dcterms:created>
  <dcterms:modified xsi:type="dcterms:W3CDTF">2026-03-15T20:45:01Z</dcterms:modified>
</cp:coreProperties>
</file>