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SG\components\"/>
    </mc:Choice>
  </mc:AlternateContent>
  <xr:revisionPtr revIDLastSave="0" documentId="8_{0B6E4880-B072-4DAC-B61B-08B43A3662A2}" xr6:coauthVersionLast="47" xr6:coauthVersionMax="47" xr10:uidLastSave="{00000000-0000-0000-0000-000000000000}"/>
  <bookViews>
    <workbookView xWindow="28680" yWindow="-120" windowWidth="29040" windowHeight="15840" firstSheet="7" activeTab="7"/>
  </bookViews>
  <sheets>
    <sheet name="PV" sheetId="3" r:id="rId1"/>
    <sheet name="SC" sheetId="5" r:id="rId2"/>
    <sheet name="PVT" sheetId="4" r:id="rId3"/>
    <sheet name="Boiler" sheetId="6" r:id="rId4"/>
    <sheet name="Furnace" sheetId="9" r:id="rId5"/>
    <sheet name="FC" sheetId="8" r:id="rId6"/>
    <sheet name="CCGT" sheetId="7" r:id="rId7"/>
    <sheet name="Chiller_configuration" sheetId="19" r:id="rId8"/>
    <sheet name="Chiller" sheetId="10" r:id="rId9"/>
    <sheet name="Absorption_chiller" sheetId="18" r:id="rId10"/>
    <sheet name="CT" sheetId="11" r:id="rId11"/>
    <sheet name="HEX" sheetId="12" r:id="rId12"/>
    <sheet name="BH" sheetId="16" r:id="rId13"/>
    <sheet name="HP" sheetId="13" r:id="rId14"/>
    <sheet name="Pump" sheetId="14" r:id="rId15"/>
    <sheet name="TES" sheetId="15" r:id="rId16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2" l="1"/>
  <c r="G4" i="12"/>
  <c r="G3" i="12"/>
  <c r="H2" i="12"/>
  <c r="G2" i="12"/>
  <c r="I4" i="10"/>
  <c r="I3" i="10"/>
  <c r="H3" i="10"/>
  <c r="K4" i="13"/>
  <c r="K3" i="13"/>
  <c r="H4" i="13"/>
  <c r="H3" i="13"/>
  <c r="H2" i="7"/>
  <c r="H5" i="14"/>
  <c r="H4" i="14"/>
  <c r="H3" i="14"/>
  <c r="H2" i="14"/>
  <c r="H4" i="15"/>
  <c r="H3" i="8"/>
  <c r="S3" i="5"/>
  <c r="R3" i="5"/>
  <c r="Q3" i="5"/>
  <c r="S2" i="5"/>
  <c r="R2" i="5"/>
  <c r="Q2" i="5"/>
  <c r="H2" i="15"/>
  <c r="K3" i="15"/>
  <c r="K2" i="15"/>
  <c r="H3" i="15"/>
  <c r="H2" i="13"/>
  <c r="H2" i="16"/>
  <c r="H2" i="8"/>
  <c r="H3" i="6"/>
  <c r="H2" i="6"/>
  <c r="G3" i="6"/>
  <c r="G2" i="6"/>
  <c r="H2" i="4"/>
  <c r="Z3" i="5"/>
  <c r="Z2" i="5"/>
  <c r="T10" i="3"/>
  <c r="T9" i="3"/>
  <c r="T8" i="3"/>
  <c r="T7" i="3"/>
  <c r="T6" i="3"/>
  <c r="T5" i="3"/>
  <c r="T4" i="3"/>
  <c r="T3" i="3"/>
  <c r="T2" i="3"/>
</calcChain>
</file>

<file path=xl/sharedStrings.xml><?xml version="1.0" encoding="utf-8"?>
<sst xmlns="http://schemas.openxmlformats.org/spreadsheetml/2006/main" count="512" uniqueCount="149">
  <si>
    <t>Description</t>
  </si>
  <si>
    <t>code</t>
  </si>
  <si>
    <t>PV1</t>
  </si>
  <si>
    <t>PV2</t>
  </si>
  <si>
    <t>PV3</t>
  </si>
  <si>
    <t>generic polycrystalline panel</t>
  </si>
  <si>
    <t>generic monocrystalline panel</t>
  </si>
  <si>
    <t>PV_n</t>
  </si>
  <si>
    <t>PV_Bref</t>
  </si>
  <si>
    <t>PV_a0</t>
  </si>
  <si>
    <t>PV_a1</t>
  </si>
  <si>
    <t>PV_a2</t>
  </si>
  <si>
    <t>PV_a3</t>
  </si>
  <si>
    <t>PV_a4</t>
  </si>
  <si>
    <t>PV_th</t>
  </si>
  <si>
    <t>PV_noct</t>
  </si>
  <si>
    <t>Currency</t>
  </si>
  <si>
    <t>a</t>
  </si>
  <si>
    <t>b</t>
  </si>
  <si>
    <t>c</t>
  </si>
  <si>
    <t>O&amp;M_%</t>
  </si>
  <si>
    <t>IR_%</t>
  </si>
  <si>
    <t>LT_yr</t>
  </si>
  <si>
    <t>d</t>
  </si>
  <si>
    <t>CCGT1</t>
  </si>
  <si>
    <t>FC1</t>
  </si>
  <si>
    <t>CT1</t>
  </si>
  <si>
    <t>HEX1</t>
  </si>
  <si>
    <t>generic pump</t>
  </si>
  <si>
    <t>TES1</t>
  </si>
  <si>
    <t>evacuated tube</t>
  </si>
  <si>
    <t>SC1</t>
  </si>
  <si>
    <t>SC2</t>
  </si>
  <si>
    <t>generic PVT</t>
  </si>
  <si>
    <t>PVT1</t>
  </si>
  <si>
    <t>vapor compression chiller</t>
  </si>
  <si>
    <t>CH1</t>
  </si>
  <si>
    <t>solid oxide fuel cell</t>
  </si>
  <si>
    <t>geothermal heat pump</t>
  </si>
  <si>
    <t>HP1</t>
  </si>
  <si>
    <t>water-water heat pump</t>
  </si>
  <si>
    <t>HP2</t>
  </si>
  <si>
    <t>CH2</t>
  </si>
  <si>
    <t>centralized chiller</t>
  </si>
  <si>
    <t>furnace combined with ORC</t>
  </si>
  <si>
    <t xml:space="preserve"> Assumptions</t>
  </si>
  <si>
    <t>cap_min</t>
  </si>
  <si>
    <t>cap_max</t>
  </si>
  <si>
    <t>unit</t>
  </si>
  <si>
    <t>W</t>
  </si>
  <si>
    <t>generic amorphous silicon panel</t>
  </si>
  <si>
    <t>flat plate</t>
  </si>
  <si>
    <t>m2</t>
  </si>
  <si>
    <t>currency</t>
  </si>
  <si>
    <t>assumption</t>
  </si>
  <si>
    <t>centralized cooling tower</t>
  </si>
  <si>
    <t>BO1</t>
  </si>
  <si>
    <t>condensing boiler</t>
  </si>
  <si>
    <t>FU1</t>
  </si>
  <si>
    <t>combined cycle gas turbine</t>
  </si>
  <si>
    <t>substation heat exchanger</t>
  </si>
  <si>
    <t>BH1</t>
  </si>
  <si>
    <t>borehole</t>
  </si>
  <si>
    <t>e</t>
  </si>
  <si>
    <t>PU1</t>
  </si>
  <si>
    <t xml:space="preserve">unit </t>
  </si>
  <si>
    <t>m3</t>
  </si>
  <si>
    <t>long-term storage tank</t>
  </si>
  <si>
    <t>IR_%, capacity</t>
  </si>
  <si>
    <t>USD-2015</t>
  </si>
  <si>
    <t>type</t>
  </si>
  <si>
    <t>PV</t>
  </si>
  <si>
    <t>FP</t>
  </si>
  <si>
    <t>ET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</si>
  <si>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</si>
  <si>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</si>
  <si>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</si>
  <si>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</si>
  <si>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</si>
  <si>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</si>
  <si>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</si>
  <si>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</si>
  <si>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</si>
  <si>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</si>
  <si>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</si>
  <si>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</si>
  <si>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</si>
  <si>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</si>
  <si>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</si>
  <si>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misc_losses</t>
  </si>
  <si>
    <t>module_length_m</t>
  </si>
  <si>
    <t>module_area_m2</t>
  </si>
  <si>
    <t>ACH1</t>
  </si>
  <si>
    <t>s_e</t>
  </si>
  <si>
    <t>r_e</t>
  </si>
  <si>
    <t>a_e</t>
  </si>
  <si>
    <t>e_e</t>
  </si>
  <si>
    <t>s_g</t>
  </si>
  <si>
    <t>r_g</t>
  </si>
  <si>
    <t>a_g</t>
  </si>
  <si>
    <t>e_g</t>
  </si>
  <si>
    <t>m_cw</t>
  </si>
  <si>
    <t>m_hw</t>
  </si>
  <si>
    <t>LiBr single effect</t>
  </si>
  <si>
    <t>ACH2</t>
  </si>
  <si>
    <t>LiBr double effect</t>
  </si>
  <si>
    <t>ACH3</t>
  </si>
  <si>
    <t>LiBr triple effect</t>
  </si>
  <si>
    <t>ACH4</t>
  </si>
  <si>
    <t>all</t>
  </si>
  <si>
    <t>single</t>
  </si>
  <si>
    <t>double</t>
  </si>
  <si>
    <t>triple</t>
  </si>
  <si>
    <t>LiBr double effect (dummy)</t>
  </si>
  <si>
    <t>ACH5</t>
  </si>
  <si>
    <t>short-term storage tank</t>
  </si>
  <si>
    <t>TES2</t>
  </si>
  <si>
    <t>cap_min, cap_max</t>
  </si>
  <si>
    <t>CH3</t>
  </si>
  <si>
    <t>District substation heat exchanger</t>
  </si>
  <si>
    <t>HEX2</t>
  </si>
  <si>
    <t>m^2</t>
  </si>
  <si>
    <t>Values under 1 and above 50 are assumptions, as no datasheet values are available in this area. a_p to e_p denote the pressure drop in Pa</t>
  </si>
  <si>
    <t>a_p</t>
  </si>
  <si>
    <t>b_p</t>
  </si>
  <si>
    <t>c_p</t>
  </si>
  <si>
    <t>d_p</t>
  </si>
  <si>
    <t>e_p</t>
  </si>
  <si>
    <t>Fit based on RESCUE WP 2.4. Figure 18, 'cap_min': SSR530,  'cap_max':  based on reported largest chiller: Haier Magnetic Bearing Centrifugal Chiller</t>
  </si>
  <si>
    <t>G_VALUE</t>
  </si>
  <si>
    <t>SOURCE</t>
  </si>
  <si>
    <t>SCREW</t>
  </si>
  <si>
    <t>CENTRIFUGAL</t>
  </si>
  <si>
    <t>https://comnet.org/index.php/382-chillers</t>
  </si>
  <si>
    <t>CODE</t>
  </si>
  <si>
    <t>CH_T0</t>
  </si>
  <si>
    <t>plf_a</t>
  </si>
  <si>
    <t>plf_b</t>
  </si>
  <si>
    <t>plf_c</t>
  </si>
  <si>
    <t>CH_T1</t>
  </si>
  <si>
    <t>q_a</t>
  </si>
  <si>
    <t>q_b</t>
  </si>
  <si>
    <t>q_c</t>
  </si>
  <si>
    <t>q_d</t>
  </si>
  <si>
    <t>q_e</t>
  </si>
  <si>
    <t>q_f</t>
  </si>
  <si>
    <t>REFERENCE</t>
  </si>
  <si>
    <t>WATER</t>
  </si>
  <si>
    <t>COMPRESSOR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</si>
</sst>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9" formatCode="_ * #,##0.00_ ;_ * \-#,##0.00_ ;_ * &quot;-&quot;??_ ;_ @_ "/>
    <numFmt numFmtId="186" formatCode="0.000"/>
    <numFmt numFmtId="187" formatCode="0.0"/>
    <numFmt numFmtId="192" formatCode="0.0000000"/>
    <numFmt numFmtId="203" formatCode="0_ ;\-0\ 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4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5">
    <xf numFmtId="0" fontId="0" fillId="0" borderId="0"/>
    <xf numFmtId="179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2" fillId="0" borderId="0"/>
  </cellStyleXfs>
  <cellXfs count="22">
    <xf numFmtId="0" fontId="0" fillId="0" borderId="0" xfId="0"/>
    <xf numFmtId="49" fontId="5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9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87" fontId="0" fillId="0" borderId="1" xfId="0" applyNumberForma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49" fontId="3" fillId="3" borderId="4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49" fontId="5" fillId="2" borderId="1" xfId="0" applyNumberFormat="1" applyFont="1" applyFill="1" applyBorder="1" applyAlignment="1"/>
    <xf numFmtId="0" fontId="0" fillId="0" borderId="1" xfId="0" applyBorder="1" applyAlignment="1"/>
    <xf numFmtId="186" fontId="0" fillId="0" borderId="1" xfId="0" applyNumberFormat="1" applyBorder="1" applyAlignment="1"/>
    <xf numFmtId="0" fontId="0" fillId="0" borderId="0" xfId="0" applyAlignment="1"/>
    <xf numFmtId="203" fontId="4" fillId="0" borderId="1" xfId="1" applyNumberFormat="1" applyFont="1" applyBorder="1" applyAlignment="1">
      <alignment horizontal="center"/>
    </xf>
    <xf numFmtId="0" fontId="7" fillId="0" borderId="0" xfId="0" applyFont="1"/>
    <xf numFmtId="0" fontId="8" fillId="0" borderId="0" xfId="2" applyFont="1"/>
    <xf numFmtId="0" fontId="7" fillId="0" borderId="0" xfId="0" applyFont="1" applyAlignment="1">
      <alignment vertical="center"/>
    </xf>
  </cellXfs>
  <cellStyles count="5">
    <cellStyle name="Comma" xfId="1" builtinId="3"/>
    <cellStyle name="Hyperlink" xfId="2" builtinId="8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mnet.org/index.php/382-chillers" TargetMode="External"/><Relationship Id="rId1" Type="http://schemas.openxmlformats.org/officeDocument/2006/relationships/hyperlink" Target="https://comnet.org/index.php/382-chiller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zoomScale="80" zoomScaleNormal="80" workbookViewId="0">
      <selection activeCell="C21" sqref="C21"/>
    </sheetView>
  </sheetViews>
  <sheetFormatPr defaultRowHeight="14.5" x14ac:dyDescent="0.35"/>
  <cols>
    <col min="1" max="1" width="38.7265625" customWidth="1"/>
    <col min="4" max="4" width="15.7265625" customWidth="1"/>
    <col min="5" max="5" width="12" bestFit="1" customWidth="1"/>
    <col min="6" max="6" width="12" customWidth="1"/>
    <col min="7" max="7" width="14.54296875" customWidth="1"/>
    <col min="8" max="8" width="9.26953125" customWidth="1"/>
    <col min="9" max="9" width="8.54296875" customWidth="1"/>
    <col min="10" max="10" width="8.7265625" customWidth="1"/>
    <col min="12" max="12" width="16.453125" customWidth="1"/>
    <col min="13" max="13" width="18.54296875" customWidth="1"/>
    <col min="14" max="14" width="16.26953125" customWidth="1"/>
    <col min="15" max="15" width="14.7265625" customWidth="1"/>
    <col min="16" max="16" width="12.453125" bestFit="1" customWidth="1"/>
    <col min="17" max="17" width="12.453125" customWidth="1"/>
    <col min="19" max="19" width="10.453125" bestFit="1" customWidth="1"/>
    <col min="20" max="20" width="13.7265625" bestFit="1" customWidth="1"/>
    <col min="21" max="21" width="10.453125" bestFit="1" customWidth="1"/>
    <col min="22" max="23" width="10.453125" customWidth="1"/>
    <col min="24" max="24" width="14.7265625" customWidth="1"/>
    <col min="25" max="25" width="12.7265625" customWidth="1"/>
    <col min="27" max="27" width="13.26953125" customWidth="1"/>
  </cols>
  <sheetData>
    <row r="1" spans="1:27" x14ac:dyDescent="0.35">
      <c r="A1" s="1" t="s">
        <v>0</v>
      </c>
      <c r="B1" s="1" t="s">
        <v>1</v>
      </c>
      <c r="C1" s="1" t="s">
        <v>70</v>
      </c>
      <c r="D1" s="1" t="s">
        <v>46</v>
      </c>
      <c r="E1" s="1" t="s">
        <v>47</v>
      </c>
      <c r="F1" s="1" t="s">
        <v>48</v>
      </c>
      <c r="G1" s="1" t="s">
        <v>90</v>
      </c>
      <c r="H1" s="1" t="s">
        <v>14</v>
      </c>
      <c r="I1" s="1" t="s">
        <v>7</v>
      </c>
      <c r="J1" s="1" t="s">
        <v>15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89</v>
      </c>
      <c r="R1" s="1" t="s">
        <v>53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63</v>
      </c>
      <c r="X1" s="1" t="s">
        <v>22</v>
      </c>
      <c r="Y1" s="1" t="s">
        <v>20</v>
      </c>
      <c r="Z1" s="1" t="s">
        <v>21</v>
      </c>
      <c r="AA1" s="1" t="s">
        <v>54</v>
      </c>
    </row>
    <row r="2" spans="1:27" x14ac:dyDescent="0.35">
      <c r="A2" s="1" t="s">
        <v>6</v>
      </c>
      <c r="B2" s="2" t="s">
        <v>2</v>
      </c>
      <c r="C2" s="2" t="s">
        <v>71</v>
      </c>
      <c r="D2" s="2">
        <v>1</v>
      </c>
      <c r="E2" s="2">
        <v>10000</v>
      </c>
      <c r="F2" s="2" t="s">
        <v>49</v>
      </c>
      <c r="G2" s="2">
        <v>1</v>
      </c>
      <c r="H2" s="2">
        <v>2E-3</v>
      </c>
      <c r="I2" s="2">
        <v>0.16</v>
      </c>
      <c r="J2" s="2">
        <v>43.5</v>
      </c>
      <c r="K2" s="2">
        <v>3.5000000000000001E-3</v>
      </c>
      <c r="L2" s="3">
        <v>0.93582299999999996</v>
      </c>
      <c r="M2" s="3">
        <v>5.4288999999999997E-2</v>
      </c>
      <c r="N2" s="3">
        <v>8.6770000000000007E-3</v>
      </c>
      <c r="O2" s="3">
        <v>5.2700000000000002E-4</v>
      </c>
      <c r="P2" s="3">
        <v>-1.1E-5</v>
      </c>
      <c r="Q2" s="5">
        <v>0.1</v>
      </c>
      <c r="R2" s="3" t="s">
        <v>69</v>
      </c>
      <c r="S2" s="2">
        <v>0</v>
      </c>
      <c r="T2" s="5">
        <f>3.5/0.962</f>
        <v>3.6382536382536386</v>
      </c>
      <c r="U2" s="2">
        <v>1</v>
      </c>
      <c r="V2" s="2">
        <v>0</v>
      </c>
      <c r="W2" s="2">
        <v>0</v>
      </c>
      <c r="X2" s="2">
        <v>20</v>
      </c>
      <c r="Y2" s="2">
        <v>1</v>
      </c>
      <c r="Z2" s="2">
        <v>5</v>
      </c>
      <c r="AA2" s="2" t="s">
        <v>21</v>
      </c>
    </row>
    <row r="3" spans="1:27" x14ac:dyDescent="0.35">
      <c r="A3" s="1" t="s">
        <v>6</v>
      </c>
      <c r="B3" s="2" t="s">
        <v>2</v>
      </c>
      <c r="C3" s="2" t="s">
        <v>71</v>
      </c>
      <c r="D3" s="2">
        <v>10000</v>
      </c>
      <c r="E3" s="2">
        <v>200000</v>
      </c>
      <c r="F3" s="2" t="s">
        <v>49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5">
        <v>0.1</v>
      </c>
      <c r="R3" s="3" t="s">
        <v>69</v>
      </c>
      <c r="S3" s="2">
        <v>0</v>
      </c>
      <c r="T3" s="5">
        <f>2.5/0.962</f>
        <v>2.5987525987525988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21</v>
      </c>
    </row>
    <row r="4" spans="1:27" x14ac:dyDescent="0.35">
      <c r="A4" s="1" t="s">
        <v>6</v>
      </c>
      <c r="B4" s="2" t="s">
        <v>2</v>
      </c>
      <c r="C4" s="2" t="s">
        <v>71</v>
      </c>
      <c r="D4" s="2">
        <v>200000</v>
      </c>
      <c r="E4" s="4">
        <v>10000000000</v>
      </c>
      <c r="F4" s="2" t="s">
        <v>49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5">
        <v>0.1</v>
      </c>
      <c r="R4" s="3" t="s">
        <v>69</v>
      </c>
      <c r="S4" s="2">
        <v>0</v>
      </c>
      <c r="T4" s="5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68</v>
      </c>
    </row>
    <row r="5" spans="1:27" x14ac:dyDescent="0.35">
      <c r="A5" s="1" t="s">
        <v>5</v>
      </c>
      <c r="B5" s="2" t="s">
        <v>3</v>
      </c>
      <c r="C5" s="2" t="s">
        <v>71</v>
      </c>
      <c r="D5" s="2">
        <v>1</v>
      </c>
      <c r="E5" s="2">
        <v>10000</v>
      </c>
      <c r="F5" s="2" t="s">
        <v>49</v>
      </c>
      <c r="G5" s="2">
        <v>1</v>
      </c>
      <c r="H5" s="2">
        <v>2E-3</v>
      </c>
      <c r="I5" s="2">
        <v>0.15</v>
      </c>
      <c r="J5" s="2">
        <v>43.9</v>
      </c>
      <c r="K5" s="2">
        <v>4.4000000000000003E-3</v>
      </c>
      <c r="L5" s="3">
        <v>0.91809300000000005</v>
      </c>
      <c r="M5" s="3">
        <v>8.6257E-2</v>
      </c>
      <c r="N5" s="3">
        <v>-2.4459000000000002E-2</v>
      </c>
      <c r="O5" s="3">
        <v>2.8159999999999999E-3</v>
      </c>
      <c r="P5" s="3">
        <v>-1.26E-4</v>
      </c>
      <c r="Q5" s="5">
        <v>0.1</v>
      </c>
      <c r="R5" s="3" t="s">
        <v>69</v>
      </c>
      <c r="S5" s="2">
        <v>0</v>
      </c>
      <c r="T5" s="5">
        <f>3.5/0.962</f>
        <v>3.6382536382536386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21</v>
      </c>
    </row>
    <row r="6" spans="1:27" x14ac:dyDescent="0.35">
      <c r="A6" s="1" t="s">
        <v>5</v>
      </c>
      <c r="B6" s="2" t="s">
        <v>3</v>
      </c>
      <c r="C6" s="2" t="s">
        <v>71</v>
      </c>
      <c r="D6" s="2">
        <v>10000</v>
      </c>
      <c r="E6" s="2">
        <v>200000</v>
      </c>
      <c r="F6" s="2" t="s">
        <v>49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5">
        <v>0.1</v>
      </c>
      <c r="R6" s="3" t="s">
        <v>69</v>
      </c>
      <c r="S6" s="2">
        <v>0</v>
      </c>
      <c r="T6" s="5">
        <f>2.5/0.962</f>
        <v>2.5987525987525988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21</v>
      </c>
    </row>
    <row r="7" spans="1:27" x14ac:dyDescent="0.35">
      <c r="A7" s="1" t="s">
        <v>5</v>
      </c>
      <c r="B7" s="2" t="s">
        <v>3</v>
      </c>
      <c r="C7" s="2" t="s">
        <v>71</v>
      </c>
      <c r="D7" s="2">
        <v>200000</v>
      </c>
      <c r="E7" s="4">
        <v>10000000000</v>
      </c>
      <c r="F7" s="2" t="s">
        <v>49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5">
        <v>0.1</v>
      </c>
      <c r="R7" s="3" t="s">
        <v>69</v>
      </c>
      <c r="S7" s="2">
        <v>0</v>
      </c>
      <c r="T7" s="5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68</v>
      </c>
    </row>
    <row r="8" spans="1:27" x14ac:dyDescent="0.35">
      <c r="A8" s="1" t="s">
        <v>50</v>
      </c>
      <c r="B8" s="2" t="s">
        <v>4</v>
      </c>
      <c r="C8" s="2" t="s">
        <v>71</v>
      </c>
      <c r="D8" s="2">
        <v>1</v>
      </c>
      <c r="E8" s="2">
        <v>10000</v>
      </c>
      <c r="F8" s="2" t="s">
        <v>49</v>
      </c>
      <c r="G8" s="2">
        <v>1</v>
      </c>
      <c r="H8" s="2">
        <v>2E-3</v>
      </c>
      <c r="I8" s="2">
        <v>0.08</v>
      </c>
      <c r="J8" s="2">
        <v>38.1</v>
      </c>
      <c r="K8" s="2">
        <v>2.5999999999999999E-3</v>
      </c>
      <c r="L8" s="3">
        <v>1.10044085</v>
      </c>
      <c r="M8" s="3">
        <v>-6.1423230000000002E-2</v>
      </c>
      <c r="N8" s="3">
        <v>-4.4273200000000002E-3</v>
      </c>
      <c r="O8" s="3">
        <v>6.3150399999999996E-4</v>
      </c>
      <c r="P8" s="3">
        <v>-1.9184000000000001E-5</v>
      </c>
      <c r="Q8" s="5">
        <v>0.1</v>
      </c>
      <c r="R8" s="3" t="s">
        <v>69</v>
      </c>
      <c r="S8" s="2">
        <v>0</v>
      </c>
      <c r="T8" s="5">
        <f>3.5/0.962</f>
        <v>3.6382536382536386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21</v>
      </c>
    </row>
    <row r="9" spans="1:27" x14ac:dyDescent="0.35">
      <c r="A9" s="1" t="s">
        <v>50</v>
      </c>
      <c r="B9" s="2" t="s">
        <v>4</v>
      </c>
      <c r="C9" s="2" t="s">
        <v>71</v>
      </c>
      <c r="D9" s="2">
        <v>10000</v>
      </c>
      <c r="E9" s="2">
        <v>200000</v>
      </c>
      <c r="F9" s="2" t="s">
        <v>49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5">
        <v>0.1</v>
      </c>
      <c r="R9" s="3" t="s">
        <v>69</v>
      </c>
      <c r="S9" s="2">
        <v>0</v>
      </c>
      <c r="T9" s="5">
        <f>2.5/0.962</f>
        <v>2.5987525987525988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21</v>
      </c>
    </row>
    <row r="10" spans="1:27" x14ac:dyDescent="0.35">
      <c r="A10" s="1" t="s">
        <v>50</v>
      </c>
      <c r="B10" s="2" t="s">
        <v>4</v>
      </c>
      <c r="C10" s="2" t="s">
        <v>71</v>
      </c>
      <c r="D10" s="2">
        <v>200000</v>
      </c>
      <c r="E10" s="4">
        <v>10000000000</v>
      </c>
      <c r="F10" s="2" t="s">
        <v>49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5">
        <v>0.1</v>
      </c>
      <c r="R10" s="3" t="s">
        <v>69</v>
      </c>
      <c r="S10" s="2">
        <v>0</v>
      </c>
      <c r="T10" s="5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K1" zoomScale="70" zoomScaleNormal="70" workbookViewId="0">
      <selection activeCell="W3" sqref="W3"/>
    </sheetView>
  </sheetViews>
  <sheetFormatPr defaultRowHeight="14.5" x14ac:dyDescent="0.35"/>
  <cols>
    <col min="1" max="1" width="16.7265625" customWidth="1"/>
    <col min="4" max="4" width="42" customWidth="1"/>
    <col min="21" max="21" width="14.26953125" customWidth="1"/>
    <col min="22" max="22" width="12.7265625" customWidth="1"/>
    <col min="23" max="23" width="10.54296875" customWidth="1"/>
  </cols>
  <sheetData>
    <row r="1" spans="1:33" x14ac:dyDescent="0.35">
      <c r="A1" s="1" t="s">
        <v>0</v>
      </c>
      <c r="B1" s="1" t="s">
        <v>1</v>
      </c>
      <c r="C1" s="1" t="s">
        <v>70</v>
      </c>
      <c r="D1" s="1" t="s">
        <v>90</v>
      </c>
      <c r="E1" s="1" t="s">
        <v>91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6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1" t="s">
        <v>46</v>
      </c>
      <c r="V1" s="1" t="s">
        <v>47</v>
      </c>
      <c r="W1" s="1" t="s">
        <v>48</v>
      </c>
      <c r="X1" s="1" t="s">
        <v>53</v>
      </c>
      <c r="Y1" s="1" t="s">
        <v>17</v>
      </c>
      <c r="Z1" s="1" t="s">
        <v>18</v>
      </c>
      <c r="AA1" s="1" t="s">
        <v>19</v>
      </c>
      <c r="AB1" s="1" t="s">
        <v>23</v>
      </c>
      <c r="AC1" s="1" t="s">
        <v>63</v>
      </c>
      <c r="AD1" s="1" t="s">
        <v>22</v>
      </c>
      <c r="AE1" s="1" t="s">
        <v>20</v>
      </c>
      <c r="AF1" s="1" t="s">
        <v>21</v>
      </c>
      <c r="AG1" s="1" t="s">
        <v>54</v>
      </c>
    </row>
    <row r="2" spans="1:33" x14ac:dyDescent="0.35">
      <c r="A2" s="1" t="s">
        <v>51</v>
      </c>
      <c r="B2" s="2" t="s">
        <v>31</v>
      </c>
      <c r="C2" s="2" t="s">
        <v>72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8">
        <v>57.98</v>
      </c>
      <c r="K2" s="8">
        <v>86.97</v>
      </c>
      <c r="L2" s="8">
        <v>28.99</v>
      </c>
      <c r="M2" s="8">
        <v>8000</v>
      </c>
      <c r="N2" s="9">
        <v>192</v>
      </c>
      <c r="O2" s="9">
        <v>0.87</v>
      </c>
      <c r="P2" s="9">
        <v>0</v>
      </c>
      <c r="Q2" s="10">
        <f>170/($E2*$F2)</f>
        <v>94.632447573624034</v>
      </c>
      <c r="R2" s="10">
        <f>270/($E2*$F2)</f>
        <v>150.29859320516758</v>
      </c>
      <c r="S2" s="10">
        <f>80/($E2*$F2)</f>
        <v>44.532916505234837</v>
      </c>
      <c r="T2" s="10">
        <v>3680</v>
      </c>
      <c r="U2" s="2">
        <v>1</v>
      </c>
      <c r="V2" s="4">
        <v>10000000000</v>
      </c>
      <c r="W2" s="2" t="s">
        <v>52</v>
      </c>
      <c r="X2" s="2" t="s">
        <v>69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21</v>
      </c>
    </row>
    <row r="3" spans="1:33" x14ac:dyDescent="0.35">
      <c r="A3" s="1" t="s">
        <v>30</v>
      </c>
      <c r="B3" s="2" t="s">
        <v>32</v>
      </c>
      <c r="C3" s="2" t="s">
        <v>73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8">
        <v>88.2</v>
      </c>
      <c r="K3" s="8">
        <v>147.12</v>
      </c>
      <c r="L3" s="8">
        <v>33.1</v>
      </c>
      <c r="M3" s="8">
        <v>39000</v>
      </c>
      <c r="N3" s="9">
        <v>196</v>
      </c>
      <c r="O3" s="9">
        <v>0.91</v>
      </c>
      <c r="P3" s="9">
        <v>0</v>
      </c>
      <c r="Q3" s="10">
        <f>8000/($E3*$F3)</f>
        <v>2825.9464271206075</v>
      </c>
      <c r="R3" s="10">
        <f>22000/($E3*$F3)</f>
        <v>7771.3526745816707</v>
      </c>
      <c r="S3" s="10">
        <f>2000/($E3*$F3)</f>
        <v>706.48660678015187</v>
      </c>
      <c r="T3" s="10">
        <v>3680</v>
      </c>
      <c r="U3" s="2">
        <v>1</v>
      </c>
      <c r="V3" s="4">
        <v>10000000000</v>
      </c>
      <c r="W3" s="2" t="s">
        <v>52</v>
      </c>
      <c r="X3" s="2" t="s">
        <v>69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6" sqref="D16"/>
    </sheetView>
  </sheetViews>
  <sheetFormatPr defaultRowHeight="14.5" x14ac:dyDescent="0.35"/>
  <cols>
    <col min="1" max="1" width="18.453125" customWidth="1"/>
    <col min="3" max="3" width="9.453125" customWidth="1"/>
    <col min="4" max="5" width="10.453125" customWidth="1"/>
    <col min="8" max="8" width="10.54296875" bestFit="1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35">
      <c r="A2" s="1" t="s">
        <v>33</v>
      </c>
      <c r="B2" s="2" t="s">
        <v>34</v>
      </c>
      <c r="C2" s="2">
        <v>1</v>
      </c>
      <c r="D2" s="4">
        <v>10000000000</v>
      </c>
      <c r="E2" s="2" t="s">
        <v>49</v>
      </c>
      <c r="F2" s="2" t="s">
        <v>69</v>
      </c>
      <c r="G2" s="2">
        <v>0</v>
      </c>
      <c r="H2" s="5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60" zoomScaleNormal="60" workbookViewId="0">
      <selection activeCell="G29" sqref="G29"/>
    </sheetView>
  </sheetViews>
  <sheetFormatPr defaultRowHeight="14.5" x14ac:dyDescent="0.35"/>
  <cols>
    <col min="1" max="1" width="19.7265625" customWidth="1"/>
    <col min="2" max="2" width="13.26953125" customWidth="1"/>
    <col min="3" max="3" width="17.7265625" customWidth="1"/>
    <col min="4" max="5" width="16.453125" customWidth="1"/>
    <col min="6" max="6" width="10.7265625" customWidth="1"/>
    <col min="12" max="12" width="22.7265625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35">
      <c r="A2" s="1" t="s">
        <v>57</v>
      </c>
      <c r="B2" s="2" t="s">
        <v>56</v>
      </c>
      <c r="C2" s="2">
        <v>28000</v>
      </c>
      <c r="D2" s="2">
        <v>90000</v>
      </c>
      <c r="E2" s="2" t="s">
        <v>49</v>
      </c>
      <c r="F2" s="2" t="s">
        <v>69</v>
      </c>
      <c r="G2" s="2">
        <f>20300/0.902</f>
        <v>22505.543237250553</v>
      </c>
      <c r="H2" s="2">
        <f>0.275/0.902</f>
        <v>0.3048780487804878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5</v>
      </c>
      <c r="O2" s="2"/>
    </row>
    <row r="3" spans="1:15" x14ac:dyDescent="0.35">
      <c r="A3" s="1" t="s">
        <v>57</v>
      </c>
      <c r="B3" s="2" t="s">
        <v>56</v>
      </c>
      <c r="C3" s="2">
        <v>90000</v>
      </c>
      <c r="D3" s="2">
        <v>320000</v>
      </c>
      <c r="E3" s="2" t="s">
        <v>49</v>
      </c>
      <c r="F3" s="2" t="s">
        <v>69</v>
      </c>
      <c r="G3" s="2">
        <f>35100/0.902</f>
        <v>38913.525498891351</v>
      </c>
      <c r="H3" s="2">
        <f>0.11/0.902</f>
        <v>0.12195121951219512</v>
      </c>
      <c r="I3" s="2">
        <v>1</v>
      </c>
      <c r="J3" s="2">
        <v>0</v>
      </c>
      <c r="K3" s="2">
        <v>0</v>
      </c>
      <c r="L3" s="2">
        <v>20</v>
      </c>
      <c r="M3" s="2">
        <v>5</v>
      </c>
      <c r="N3" s="2">
        <v>5</v>
      </c>
      <c r="O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3" sqref="D3"/>
    </sheetView>
  </sheetViews>
  <sheetFormatPr defaultRowHeight="14.5" x14ac:dyDescent="0.35"/>
  <cols>
    <col min="1" max="1" width="29.26953125" customWidth="1"/>
    <col min="3" max="3" width="17" customWidth="1"/>
    <col min="4" max="5" width="17.7265625" customWidth="1"/>
    <col min="8" max="8" width="10.54296875" bestFit="1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35">
      <c r="A2" s="14" t="s">
        <v>44</v>
      </c>
      <c r="B2" s="15" t="s">
        <v>58</v>
      </c>
      <c r="C2" s="15">
        <v>1000000</v>
      </c>
      <c r="D2" s="15">
        <v>5000000</v>
      </c>
      <c r="E2" s="15" t="s">
        <v>49</v>
      </c>
      <c r="F2" s="15" t="s">
        <v>69</v>
      </c>
      <c r="G2" s="15">
        <v>0</v>
      </c>
      <c r="H2" s="16">
        <v>0.74299999999999999</v>
      </c>
      <c r="I2" s="15">
        <v>1</v>
      </c>
      <c r="J2" s="15">
        <v>0</v>
      </c>
      <c r="K2" s="15">
        <v>0</v>
      </c>
      <c r="L2" s="15">
        <v>20</v>
      </c>
      <c r="M2" s="15">
        <v>5</v>
      </c>
      <c r="N2" s="15">
        <v>5</v>
      </c>
      <c r="O2" s="15"/>
    </row>
    <row r="3" spans="1:15" x14ac:dyDescent="0.35">
      <c r="A3" s="17" t="s">
        <v>44</v>
      </c>
      <c r="B3" s="17" t="s">
        <v>58</v>
      </c>
      <c r="C3" s="17">
        <v>5000000</v>
      </c>
      <c r="D3" s="17">
        <v>50000000</v>
      </c>
      <c r="E3" s="17" t="s">
        <v>49</v>
      </c>
      <c r="F3" s="17" t="s">
        <v>69</v>
      </c>
      <c r="G3" s="17">
        <v>0</v>
      </c>
      <c r="H3" s="17">
        <v>0.74299999999999999</v>
      </c>
      <c r="I3" s="17">
        <v>1</v>
      </c>
      <c r="J3" s="17">
        <v>0</v>
      </c>
      <c r="K3" s="17">
        <v>0</v>
      </c>
      <c r="L3" s="17">
        <v>20</v>
      </c>
      <c r="M3" s="17">
        <v>5</v>
      </c>
      <c r="N3" s="17">
        <v>5</v>
      </c>
      <c r="O3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70" zoomScaleNormal="70" workbookViewId="0">
      <selection activeCell="E28" sqref="E28"/>
    </sheetView>
  </sheetViews>
  <sheetFormatPr defaultRowHeight="14.5" x14ac:dyDescent="0.35"/>
  <cols>
    <col min="1" max="1" width="34.54296875" customWidth="1"/>
    <col min="3" max="3" width="16.453125" customWidth="1"/>
    <col min="4" max="5" width="15.54296875" customWidth="1"/>
    <col min="6" max="6" width="14" customWidth="1"/>
    <col min="12" max="12" width="17.7265625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45</v>
      </c>
    </row>
    <row r="2" spans="1:15" x14ac:dyDescent="0.35">
      <c r="A2" s="1" t="s">
        <v>37</v>
      </c>
      <c r="B2" s="2" t="s">
        <v>25</v>
      </c>
      <c r="C2" s="2">
        <v>1000</v>
      </c>
      <c r="D2" s="2">
        <v>10000</v>
      </c>
      <c r="E2" s="2" t="s">
        <v>49</v>
      </c>
      <c r="F2" s="2" t="s">
        <v>69</v>
      </c>
      <c r="G2" s="2">
        <v>0</v>
      </c>
      <c r="H2" s="2">
        <f>13.2/0.962</f>
        <v>13.721413721413722</v>
      </c>
      <c r="I2" s="2">
        <v>1</v>
      </c>
      <c r="J2" s="2">
        <v>0</v>
      </c>
      <c r="K2" s="2">
        <v>0</v>
      </c>
      <c r="L2" s="2">
        <v>10</v>
      </c>
      <c r="M2" s="2">
        <v>5</v>
      </c>
      <c r="N2" s="2">
        <v>5</v>
      </c>
      <c r="O2" s="2"/>
    </row>
    <row r="3" spans="1:15" x14ac:dyDescent="0.35">
      <c r="A3" s="1" t="s">
        <v>37</v>
      </c>
      <c r="B3" s="2" t="s">
        <v>25</v>
      </c>
      <c r="C3" s="2">
        <v>10000</v>
      </c>
      <c r="D3" s="2">
        <v>10000000000</v>
      </c>
      <c r="E3" s="2" t="s">
        <v>49</v>
      </c>
      <c r="F3" s="2" t="s">
        <v>69</v>
      </c>
      <c r="G3" s="2">
        <v>0</v>
      </c>
      <c r="H3" s="2">
        <f>13.2/0.962</f>
        <v>13.721413721413722</v>
      </c>
      <c r="I3" s="2">
        <v>1</v>
      </c>
      <c r="J3" s="2">
        <v>0</v>
      </c>
      <c r="K3" s="2">
        <v>0</v>
      </c>
      <c r="L3" s="2">
        <v>10</v>
      </c>
      <c r="M3" s="2">
        <v>5</v>
      </c>
      <c r="N3" s="2">
        <v>5</v>
      </c>
      <c r="O3" s="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0" zoomScaleNormal="80" workbookViewId="0">
      <selection activeCell="M2" sqref="M2"/>
    </sheetView>
  </sheetViews>
  <sheetFormatPr defaultRowHeight="14.5" x14ac:dyDescent="0.35"/>
  <cols>
    <col min="1" max="1" width="28" customWidth="1"/>
    <col min="3" max="5" width="9.26953125" customWidth="1"/>
    <col min="13" max="13" width="8.54296875" bestFit="1" customWidth="1"/>
    <col min="15" max="15" width="13.7265625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35">
      <c r="A2" s="1" t="s">
        <v>59</v>
      </c>
      <c r="B2" s="2" t="s">
        <v>24</v>
      </c>
      <c r="C2" s="2">
        <v>1</v>
      </c>
      <c r="D2" s="4">
        <v>10000000000</v>
      </c>
      <c r="E2" s="2" t="s">
        <v>49</v>
      </c>
      <c r="F2" s="2" t="s">
        <v>69</v>
      </c>
      <c r="G2" s="2">
        <v>0</v>
      </c>
      <c r="H2" s="2">
        <f>534.71/0.962</f>
        <v>555.83160083160089</v>
      </c>
      <c r="I2" s="2">
        <v>0.59670000000000001</v>
      </c>
      <c r="J2" s="2">
        <v>0</v>
      </c>
      <c r="K2" s="2">
        <v>0</v>
      </c>
      <c r="L2" s="2">
        <v>25</v>
      </c>
      <c r="M2" s="2">
        <v>3</v>
      </c>
      <c r="N2" s="2">
        <v>6</v>
      </c>
      <c r="O2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2" sqref="D12"/>
    </sheetView>
  </sheetViews>
  <sheetFormatPr defaultColWidth="9.1796875" defaultRowHeight="14.5" x14ac:dyDescent="0.35"/>
  <cols>
    <col min="1" max="2" width="9.1796875" style="19"/>
    <col min="3" max="3" width="21.7265625" style="19" customWidth="1"/>
    <col min="4" max="16384" width="9.1796875" style="19"/>
  </cols>
  <sheetData>
    <row r="1" spans="1:13" x14ac:dyDescent="0.35">
      <c r="A1" s="19" t="s">
        <v>134</v>
      </c>
      <c r="B1" s="19" t="s">
        <v>130</v>
      </c>
      <c r="C1" s="19" t="s">
        <v>148</v>
      </c>
      <c r="D1" s="19" t="s">
        <v>136</v>
      </c>
      <c r="E1" s="19" t="s">
        <v>137</v>
      </c>
      <c r="F1" s="19" t="s">
        <v>138</v>
      </c>
      <c r="G1" s="19" t="s">
        <v>140</v>
      </c>
      <c r="H1" s="19" t="s">
        <v>141</v>
      </c>
      <c r="I1" s="19" t="s">
        <v>142</v>
      </c>
      <c r="J1" s="19" t="s">
        <v>143</v>
      </c>
      <c r="K1" s="19" t="s">
        <v>144</v>
      </c>
      <c r="L1" s="19" t="s">
        <v>145</v>
      </c>
      <c r="M1" s="19" t="s">
        <v>146</v>
      </c>
    </row>
    <row r="2" spans="1:13" x14ac:dyDescent="0.35">
      <c r="A2" s="19" t="s">
        <v>135</v>
      </c>
      <c r="B2" s="19" t="s">
        <v>147</v>
      </c>
      <c r="C2" s="19" t="s">
        <v>131</v>
      </c>
      <c r="D2" s="21">
        <v>0.33018832999999997</v>
      </c>
      <c r="E2" s="21">
        <v>0.23554290999999999</v>
      </c>
      <c r="F2" s="21">
        <v>0.46070828000000003</v>
      </c>
      <c r="G2" s="21">
        <v>0.33269598</v>
      </c>
      <c r="H2" s="21">
        <v>7.2911599999999997E-3</v>
      </c>
      <c r="I2" s="21">
        <v>-4.9938000000000001E-4</v>
      </c>
      <c r="J2" s="21">
        <v>1.598983E-2</v>
      </c>
      <c r="K2" s="21">
        <v>-2.8254000000000002E-4</v>
      </c>
      <c r="L2" s="21">
        <v>5.2346000000000001E-4</v>
      </c>
      <c r="M2" s="20" t="s">
        <v>133</v>
      </c>
    </row>
    <row r="3" spans="1:13" x14ac:dyDescent="0.35">
      <c r="A3" s="19" t="s">
        <v>139</v>
      </c>
      <c r="B3" s="19" t="s">
        <v>147</v>
      </c>
      <c r="C3" s="19" t="s">
        <v>132</v>
      </c>
      <c r="D3" s="21">
        <v>0.17149273000000001</v>
      </c>
      <c r="E3" s="21">
        <v>0.58820207999999996</v>
      </c>
      <c r="F3" s="21">
        <v>0.23737257</v>
      </c>
      <c r="G3" s="21">
        <v>-0.29861976000000001</v>
      </c>
      <c r="H3" s="21">
        <v>2.9960759999999999E-2</v>
      </c>
      <c r="I3" s="21">
        <v>-8.0124999999999999E-4</v>
      </c>
      <c r="J3" s="21">
        <v>1.7362679999999998E-2</v>
      </c>
      <c r="K3" s="21">
        <v>-3.2605999999999998E-4</v>
      </c>
      <c r="L3" s="21">
        <v>6.3139000000000001E-4</v>
      </c>
      <c r="M3" s="20" t="s">
        <v>133</v>
      </c>
    </row>
  </sheetData>
  <hyperlinks>
    <hyperlink ref="M2" r:id="rId1"/>
    <hyperlink ref="M3" r:id="rId2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60" zoomScaleNormal="60" workbookViewId="0">
      <selection activeCell="A2" sqref="A2"/>
    </sheetView>
  </sheetViews>
  <sheetFormatPr defaultRowHeight="14.5" x14ac:dyDescent="0.35"/>
  <cols>
    <col min="1" max="1" width="29.7265625" customWidth="1"/>
    <col min="3" max="3" width="21.54296875" customWidth="1"/>
    <col min="4" max="4" width="17.26953125" customWidth="1"/>
    <col min="5" max="6" width="24" customWidth="1"/>
    <col min="16" max="16" width="41.54296875" bestFit="1" customWidth="1"/>
  </cols>
  <sheetData>
    <row r="1" spans="1:16" x14ac:dyDescent="0.35">
      <c r="A1" s="1" t="s">
        <v>0</v>
      </c>
      <c r="B1" s="1" t="s">
        <v>1</v>
      </c>
      <c r="C1" s="1" t="s">
        <v>129</v>
      </c>
      <c r="D1" s="1" t="s">
        <v>46</v>
      </c>
      <c r="E1" s="1" t="s">
        <v>47</v>
      </c>
      <c r="F1" s="1" t="s">
        <v>48</v>
      </c>
      <c r="G1" s="1" t="s">
        <v>53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63</v>
      </c>
      <c r="M1" s="1" t="s">
        <v>22</v>
      </c>
      <c r="N1" s="1" t="s">
        <v>20</v>
      </c>
      <c r="O1" s="1" t="s">
        <v>21</v>
      </c>
      <c r="P1" s="1" t="s">
        <v>54</v>
      </c>
    </row>
    <row r="2" spans="1:16" x14ac:dyDescent="0.35">
      <c r="A2" s="1" t="s">
        <v>43</v>
      </c>
      <c r="B2" s="2" t="s">
        <v>36</v>
      </c>
      <c r="C2" s="2">
        <v>0.47</v>
      </c>
      <c r="D2" s="2">
        <v>1055000</v>
      </c>
      <c r="E2" s="2">
        <v>14000000</v>
      </c>
      <c r="F2" s="2" t="s">
        <v>49</v>
      </c>
      <c r="G2" s="2" t="s">
        <v>69</v>
      </c>
      <c r="H2" s="2">
        <v>1568000</v>
      </c>
      <c r="I2" s="2">
        <v>0.3049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3</v>
      </c>
      <c r="P2" s="2" t="s">
        <v>128</v>
      </c>
    </row>
    <row r="3" spans="1:16" x14ac:dyDescent="0.35">
      <c r="A3" s="1" t="s">
        <v>35</v>
      </c>
      <c r="B3" s="2" t="s">
        <v>42</v>
      </c>
      <c r="C3" s="2">
        <v>0.4</v>
      </c>
      <c r="D3" s="2">
        <v>1</v>
      </c>
      <c r="E3" s="2">
        <v>3500000</v>
      </c>
      <c r="F3" s="2" t="s">
        <v>49</v>
      </c>
      <c r="G3" s="2" t="s">
        <v>69</v>
      </c>
      <c r="H3" s="2">
        <f>11357/0.902</f>
        <v>12590.90909090909</v>
      </c>
      <c r="I3" s="2">
        <f>127.5/0.902/1000</f>
        <v>0.14135254988913526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3</v>
      </c>
      <c r="P3" s="2" t="s">
        <v>21</v>
      </c>
    </row>
    <row r="4" spans="1:16" x14ac:dyDescent="0.35">
      <c r="A4" s="1" t="s">
        <v>35</v>
      </c>
      <c r="B4" s="2" t="s">
        <v>118</v>
      </c>
      <c r="C4" s="2">
        <v>0.4</v>
      </c>
      <c r="D4" s="18">
        <v>1</v>
      </c>
      <c r="E4" s="18">
        <v>3500000</v>
      </c>
      <c r="F4" s="2" t="s">
        <v>49</v>
      </c>
      <c r="G4" s="2" t="s">
        <v>69</v>
      </c>
      <c r="H4" s="2">
        <v>0</v>
      </c>
      <c r="I4" s="2">
        <f>0.48/1.331</f>
        <v>0.36063110443275731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3</v>
      </c>
      <c r="P4" s="2" t="s">
        <v>21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F6" sqref="F6"/>
    </sheetView>
  </sheetViews>
  <sheetFormatPr defaultRowHeight="14.5" x14ac:dyDescent="0.35"/>
  <cols>
    <col min="1" max="1" width="27.7265625" customWidth="1"/>
    <col min="5" max="5" width="9.7265625" customWidth="1"/>
  </cols>
  <sheetData>
    <row r="1" spans="1:26" x14ac:dyDescent="0.35">
      <c r="A1" s="1" t="s">
        <v>0</v>
      </c>
      <c r="B1" s="1" t="s">
        <v>1</v>
      </c>
      <c r="C1" s="1" t="s">
        <v>70</v>
      </c>
      <c r="D1" s="1" t="s">
        <v>46</v>
      </c>
      <c r="E1" s="1" t="s">
        <v>47</v>
      </c>
      <c r="F1" s="1" t="s">
        <v>48</v>
      </c>
      <c r="G1" s="1" t="s">
        <v>53</v>
      </c>
      <c r="H1" s="1" t="s">
        <v>17</v>
      </c>
      <c r="I1" s="1" t="s">
        <v>18</v>
      </c>
      <c r="J1" s="1" t="s">
        <v>19</v>
      </c>
      <c r="K1" s="1" t="s">
        <v>23</v>
      </c>
      <c r="L1" s="1" t="s">
        <v>63</v>
      </c>
      <c r="M1" s="1" t="s">
        <v>22</v>
      </c>
      <c r="N1" s="1" t="s">
        <v>20</v>
      </c>
      <c r="O1" s="1" t="s">
        <v>21</v>
      </c>
      <c r="P1" s="1" t="s">
        <v>54</v>
      </c>
      <c r="Q1" s="1" t="s">
        <v>93</v>
      </c>
      <c r="R1" s="1" t="s">
        <v>94</v>
      </c>
      <c r="S1" s="1" t="s">
        <v>97</v>
      </c>
      <c r="T1" s="1" t="s">
        <v>98</v>
      </c>
      <c r="U1" s="1" t="s">
        <v>95</v>
      </c>
      <c r="V1" s="1" t="s">
        <v>96</v>
      </c>
      <c r="W1" s="1" t="s">
        <v>99</v>
      </c>
      <c r="X1" s="1" t="s">
        <v>100</v>
      </c>
      <c r="Y1" s="1" t="s">
        <v>101</v>
      </c>
      <c r="Z1" s="1" t="s">
        <v>102</v>
      </c>
    </row>
    <row r="2" spans="1:26" x14ac:dyDescent="0.35">
      <c r="A2" s="1" t="s">
        <v>103</v>
      </c>
      <c r="B2" s="2" t="s">
        <v>92</v>
      </c>
      <c r="C2" s="2" t="s">
        <v>110</v>
      </c>
      <c r="D2" s="2">
        <v>0</v>
      </c>
      <c r="E2" s="2">
        <v>51150</v>
      </c>
      <c r="F2" s="2" t="s">
        <v>49</v>
      </c>
      <c r="G2" s="2" t="s">
        <v>69</v>
      </c>
      <c r="H2" s="2">
        <v>0</v>
      </c>
      <c r="I2" s="2">
        <v>0.4395</v>
      </c>
      <c r="J2" s="2">
        <v>1</v>
      </c>
      <c r="K2" s="2">
        <v>0</v>
      </c>
      <c r="L2" s="2">
        <v>0</v>
      </c>
      <c r="M2" s="2">
        <v>25</v>
      </c>
      <c r="N2" s="2">
        <v>5</v>
      </c>
      <c r="O2" s="2">
        <v>5</v>
      </c>
      <c r="P2" s="2" t="s">
        <v>21</v>
      </c>
      <c r="Q2" s="2">
        <v>0.42</v>
      </c>
      <c r="R2" s="2">
        <v>0.9</v>
      </c>
      <c r="S2" s="2">
        <v>0.53</v>
      </c>
      <c r="T2" s="2">
        <v>-2.5</v>
      </c>
      <c r="U2" s="2">
        <v>-2.5</v>
      </c>
      <c r="V2" s="2">
        <v>1.8</v>
      </c>
      <c r="W2" s="2">
        <v>-2.1</v>
      </c>
      <c r="X2" s="2">
        <v>1.5</v>
      </c>
      <c r="Y2" s="2">
        <v>0.72199999999999998</v>
      </c>
      <c r="Z2" s="2">
        <v>0.33300000000000002</v>
      </c>
    </row>
    <row r="3" spans="1:26" x14ac:dyDescent="0.35">
      <c r="A3" s="1" t="s">
        <v>103</v>
      </c>
      <c r="B3" s="2" t="s">
        <v>104</v>
      </c>
      <c r="C3" s="2" t="s">
        <v>110</v>
      </c>
      <c r="D3" s="2">
        <v>51150</v>
      </c>
      <c r="E3" s="4">
        <v>1176000</v>
      </c>
      <c r="F3" s="2" t="s">
        <v>49</v>
      </c>
      <c r="G3" s="2" t="s">
        <v>69</v>
      </c>
      <c r="H3" s="2">
        <v>0</v>
      </c>
      <c r="I3" s="2">
        <v>0.4395</v>
      </c>
      <c r="J3" s="2">
        <v>1</v>
      </c>
      <c r="K3" s="2">
        <v>0</v>
      </c>
      <c r="L3" s="2">
        <v>0</v>
      </c>
      <c r="M3" s="2">
        <v>25</v>
      </c>
      <c r="N3" s="2">
        <v>5</v>
      </c>
      <c r="O3" s="2">
        <v>5</v>
      </c>
      <c r="P3" s="2" t="s">
        <v>21</v>
      </c>
      <c r="Q3" s="2">
        <v>68.12</v>
      </c>
      <c r="R3" s="2">
        <v>-3281.1</v>
      </c>
      <c r="S3" s="2">
        <v>88.05</v>
      </c>
      <c r="T3" s="2">
        <v>-4216.1000000000004</v>
      </c>
      <c r="U3" s="2">
        <v>-1.45</v>
      </c>
      <c r="V3" s="2">
        <v>1.75</v>
      </c>
      <c r="W3" s="2">
        <v>-1.45</v>
      </c>
      <c r="X3" s="2">
        <v>1.75</v>
      </c>
      <c r="Y3" s="2">
        <v>81</v>
      </c>
      <c r="Z3" s="2">
        <v>33</v>
      </c>
    </row>
    <row r="4" spans="1:26" x14ac:dyDescent="0.35">
      <c r="A4" s="1" t="s">
        <v>113</v>
      </c>
      <c r="B4" s="2" t="s">
        <v>106</v>
      </c>
      <c r="C4" s="2" t="s">
        <v>111</v>
      </c>
      <c r="D4" s="2">
        <v>0</v>
      </c>
      <c r="E4" s="2">
        <v>58150</v>
      </c>
      <c r="F4" s="2" t="s">
        <v>49</v>
      </c>
      <c r="G4" s="2" t="s">
        <v>69</v>
      </c>
      <c r="H4" s="2">
        <v>0</v>
      </c>
      <c r="I4" s="2">
        <v>0.52969999999999995</v>
      </c>
      <c r="J4" s="2">
        <v>1</v>
      </c>
      <c r="K4" s="2">
        <v>0</v>
      </c>
      <c r="L4" s="2">
        <v>0</v>
      </c>
      <c r="M4" s="2">
        <v>25</v>
      </c>
      <c r="N4" s="2">
        <v>5</v>
      </c>
      <c r="O4" s="2">
        <v>5</v>
      </c>
      <c r="P4" s="2" t="s">
        <v>21</v>
      </c>
      <c r="Q4" s="2">
        <v>0.42</v>
      </c>
      <c r="R4" s="2">
        <v>0.9</v>
      </c>
      <c r="S4" s="2">
        <v>0.53</v>
      </c>
      <c r="T4" s="2">
        <v>-2.5</v>
      </c>
      <c r="U4" s="2">
        <v>-2.5</v>
      </c>
      <c r="V4" s="2">
        <v>1.8</v>
      </c>
      <c r="W4" s="2">
        <v>-2.1</v>
      </c>
      <c r="X4" s="2">
        <v>1.5</v>
      </c>
      <c r="Y4" s="2">
        <v>0.72199999999999998</v>
      </c>
      <c r="Z4" s="2">
        <v>0.33300000000000002</v>
      </c>
    </row>
    <row r="5" spans="1:26" x14ac:dyDescent="0.35">
      <c r="A5" s="1" t="s">
        <v>105</v>
      </c>
      <c r="B5" s="2" t="s">
        <v>108</v>
      </c>
      <c r="C5" s="2" t="s">
        <v>111</v>
      </c>
      <c r="D5" s="2">
        <v>58150</v>
      </c>
      <c r="E5" s="4">
        <v>1337450</v>
      </c>
      <c r="F5" s="2" t="s">
        <v>49</v>
      </c>
      <c r="G5" s="2" t="s">
        <v>69</v>
      </c>
      <c r="H5" s="2">
        <v>0</v>
      </c>
      <c r="I5" s="2">
        <v>0.52969999999999995</v>
      </c>
      <c r="J5" s="2">
        <v>1</v>
      </c>
      <c r="K5" s="2">
        <v>0</v>
      </c>
      <c r="L5" s="2">
        <v>0</v>
      </c>
      <c r="M5" s="2">
        <v>25</v>
      </c>
      <c r="N5" s="2">
        <v>5</v>
      </c>
      <c r="O5" s="2">
        <v>5</v>
      </c>
      <c r="P5" s="2" t="s">
        <v>21</v>
      </c>
      <c r="Q5" s="2">
        <v>18.100000000000001</v>
      </c>
      <c r="R5" s="2">
        <v>-1350.5</v>
      </c>
      <c r="S5" s="2">
        <v>12.54</v>
      </c>
      <c r="T5" s="2">
        <v>-917.3</v>
      </c>
      <c r="U5" s="2">
        <v>-2.46</v>
      </c>
      <c r="V5" s="2">
        <v>4.38</v>
      </c>
      <c r="W5" s="2">
        <v>-2.46</v>
      </c>
      <c r="X5" s="2">
        <v>4.38</v>
      </c>
      <c r="Y5" s="2">
        <v>68</v>
      </c>
      <c r="Z5" s="2">
        <v>14</v>
      </c>
    </row>
    <row r="6" spans="1:26" x14ac:dyDescent="0.35">
      <c r="A6" s="1" t="s">
        <v>107</v>
      </c>
      <c r="B6" s="2" t="s">
        <v>114</v>
      </c>
      <c r="C6" s="2" t="s">
        <v>112</v>
      </c>
      <c r="D6" s="2">
        <v>116300</v>
      </c>
      <c r="E6" s="4">
        <v>1628200</v>
      </c>
      <c r="F6" s="2" t="s">
        <v>49</v>
      </c>
      <c r="G6" s="2" t="s">
        <v>69</v>
      </c>
      <c r="H6" s="2">
        <v>0</v>
      </c>
      <c r="I6" s="2">
        <v>0.64239999999999997</v>
      </c>
      <c r="J6" s="2">
        <v>1</v>
      </c>
      <c r="K6" s="2">
        <v>0</v>
      </c>
      <c r="L6" s="2">
        <v>0</v>
      </c>
      <c r="M6" s="2">
        <v>25</v>
      </c>
      <c r="N6" s="2">
        <v>5</v>
      </c>
      <c r="O6" s="2">
        <v>5</v>
      </c>
      <c r="P6" s="2" t="s">
        <v>21</v>
      </c>
      <c r="Q6" s="2">
        <v>14.6</v>
      </c>
      <c r="R6" s="2">
        <v>-1171.7</v>
      </c>
      <c r="S6" s="2">
        <v>7.05</v>
      </c>
      <c r="T6" s="2">
        <v>-504.2</v>
      </c>
      <c r="U6" s="2">
        <v>-2.14</v>
      </c>
      <c r="V6" s="2">
        <v>3.29</v>
      </c>
      <c r="W6" s="2">
        <v>-2.14</v>
      </c>
      <c r="X6" s="2">
        <v>3.29</v>
      </c>
      <c r="Y6" s="2">
        <v>62</v>
      </c>
      <c r="Z6" s="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70" zoomScaleNormal="70" workbookViewId="0">
      <selection activeCell="N9" sqref="N9"/>
    </sheetView>
  </sheetViews>
  <sheetFormatPr defaultRowHeight="14.5" x14ac:dyDescent="0.35"/>
  <cols>
    <col min="1" max="1" width="26.453125" customWidth="1"/>
    <col min="3" max="3" width="18.453125" customWidth="1"/>
    <col min="4" max="5" width="15.26953125" customWidth="1"/>
    <col min="8" max="8" width="12.453125" bestFit="1" customWidth="1"/>
    <col min="15" max="15" width="29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35">
      <c r="A2" s="1" t="s">
        <v>55</v>
      </c>
      <c r="B2" s="2" t="s">
        <v>26</v>
      </c>
      <c r="C2" s="2">
        <v>1</v>
      </c>
      <c r="D2" s="2">
        <v>10000000</v>
      </c>
      <c r="E2" s="2" t="s">
        <v>49</v>
      </c>
      <c r="F2" s="2" t="s">
        <v>69</v>
      </c>
      <c r="G2" s="2">
        <v>1457.3</v>
      </c>
      <c r="H2" s="2">
        <v>1.61E-2</v>
      </c>
      <c r="I2" s="2">
        <v>1</v>
      </c>
      <c r="J2" s="2">
        <v>0</v>
      </c>
      <c r="K2" s="2">
        <v>0</v>
      </c>
      <c r="L2" s="2">
        <v>20</v>
      </c>
      <c r="M2" s="2">
        <v>5</v>
      </c>
      <c r="N2" s="2">
        <v>3</v>
      </c>
      <c r="O2" s="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="70" zoomScaleNormal="70" workbookViewId="0">
      <selection activeCell="D5" sqref="D5"/>
    </sheetView>
  </sheetViews>
  <sheetFormatPr defaultRowHeight="14.5" x14ac:dyDescent="0.35"/>
  <cols>
    <col min="1" max="1" width="28.7265625" customWidth="1"/>
    <col min="2" max="2" width="16.453125" customWidth="1"/>
    <col min="3" max="3" width="16.7265625" customWidth="1"/>
    <col min="4" max="5" width="23" customWidth="1"/>
    <col min="12" max="12" width="19" customWidth="1"/>
  </cols>
  <sheetData>
    <row r="1" spans="1:20" x14ac:dyDescent="0.35">
      <c r="A1" s="11" t="s">
        <v>0</v>
      </c>
      <c r="B1" s="11" t="s">
        <v>1</v>
      </c>
      <c r="C1" s="11" t="s">
        <v>46</v>
      </c>
      <c r="D1" s="11" t="s">
        <v>47</v>
      </c>
      <c r="E1" s="11" t="s">
        <v>48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23</v>
      </c>
      <c r="K1" s="11" t="s">
        <v>63</v>
      </c>
      <c r="L1" s="11" t="s">
        <v>123</v>
      </c>
      <c r="M1" s="11" t="s">
        <v>124</v>
      </c>
      <c r="N1" s="11" t="s">
        <v>125</v>
      </c>
      <c r="O1" s="11" t="s">
        <v>126</v>
      </c>
      <c r="P1" s="11" t="s">
        <v>127</v>
      </c>
      <c r="Q1" s="11" t="s">
        <v>22</v>
      </c>
      <c r="R1" s="11" t="s">
        <v>20</v>
      </c>
      <c r="S1" s="11" t="s">
        <v>21</v>
      </c>
      <c r="T1" s="11" t="s">
        <v>54</v>
      </c>
    </row>
    <row r="2" spans="1:20" x14ac:dyDescent="0.35">
      <c r="A2" s="11" t="s">
        <v>60</v>
      </c>
      <c r="B2" s="12" t="s">
        <v>27</v>
      </c>
      <c r="C2" s="12">
        <v>50000</v>
      </c>
      <c r="D2" s="12">
        <v>80000</v>
      </c>
      <c r="E2" s="12" t="s">
        <v>49</v>
      </c>
      <c r="F2" s="12" t="s">
        <v>69</v>
      </c>
      <c r="G2" s="12">
        <f>-333/0.962</f>
        <v>-346.15384615384619</v>
      </c>
      <c r="H2" s="12">
        <f>0.067/0.962</f>
        <v>6.964656964656965E-2</v>
      </c>
      <c r="I2" s="12">
        <v>1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20</v>
      </c>
      <c r="R2" s="12">
        <v>5</v>
      </c>
      <c r="S2" s="12">
        <v>5</v>
      </c>
      <c r="T2" s="12"/>
    </row>
    <row r="3" spans="1:20" x14ac:dyDescent="0.35">
      <c r="A3" s="11" t="s">
        <v>60</v>
      </c>
      <c r="B3" s="12" t="s">
        <v>27</v>
      </c>
      <c r="C3" s="12">
        <v>80000</v>
      </c>
      <c r="D3" s="12">
        <v>100000</v>
      </c>
      <c r="E3" s="12" t="s">
        <v>49</v>
      </c>
      <c r="F3" s="12" t="s">
        <v>69</v>
      </c>
      <c r="G3" s="12">
        <f>5000/0.962</f>
        <v>5197.5051975051974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20</v>
      </c>
      <c r="R3" s="12">
        <v>5</v>
      </c>
      <c r="S3" s="12">
        <v>5</v>
      </c>
      <c r="T3" s="12"/>
    </row>
    <row r="4" spans="1:20" x14ac:dyDescent="0.35">
      <c r="A4" s="11" t="s">
        <v>60</v>
      </c>
      <c r="B4" s="12" t="s">
        <v>27</v>
      </c>
      <c r="C4" s="12">
        <v>100000</v>
      </c>
      <c r="D4" s="13">
        <v>10000000000</v>
      </c>
      <c r="E4" s="12" t="s">
        <v>49</v>
      </c>
      <c r="F4" s="12" t="s">
        <v>69</v>
      </c>
      <c r="G4" s="12">
        <f>-3000/0.962</f>
        <v>-3118.5031185031185</v>
      </c>
      <c r="H4" s="12">
        <f>0.08/0.962</f>
        <v>8.3160083160083165E-2</v>
      </c>
      <c r="I4" s="12">
        <v>1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20</v>
      </c>
      <c r="R4" s="12">
        <v>5</v>
      </c>
      <c r="S4" s="12">
        <v>5</v>
      </c>
      <c r="T4" s="12"/>
    </row>
    <row r="5" spans="1:20" x14ac:dyDescent="0.35">
      <c r="A5" s="11" t="s">
        <v>119</v>
      </c>
      <c r="B5" s="12" t="s">
        <v>120</v>
      </c>
      <c r="C5" s="12">
        <v>0</v>
      </c>
      <c r="D5" s="13">
        <v>500</v>
      </c>
      <c r="E5" s="12" t="s">
        <v>121</v>
      </c>
      <c r="F5" s="12" t="s">
        <v>69</v>
      </c>
      <c r="G5" s="12">
        <v>3381</v>
      </c>
      <c r="H5" s="12">
        <v>229.8</v>
      </c>
      <c r="I5" s="12">
        <v>0</v>
      </c>
      <c r="J5" s="12">
        <v>0</v>
      </c>
      <c r="K5" s="12">
        <v>0</v>
      </c>
      <c r="L5" s="12">
        <v>5056</v>
      </c>
      <c r="M5" s="12">
        <v>319.89999999999998</v>
      </c>
      <c r="N5" s="12">
        <v>0.4153</v>
      </c>
      <c r="O5" s="12">
        <v>-1271</v>
      </c>
      <c r="P5" s="12">
        <v>6.8329999999999997E-3</v>
      </c>
      <c r="Q5" s="12">
        <v>20</v>
      </c>
      <c r="R5" s="12">
        <v>5</v>
      </c>
      <c r="S5" s="12">
        <v>5</v>
      </c>
      <c r="T5" s="12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70" zoomScaleNormal="70" workbookViewId="0">
      <selection activeCell="H3" sqref="H3"/>
    </sheetView>
  </sheetViews>
  <sheetFormatPr defaultRowHeight="14.5" x14ac:dyDescent="0.35"/>
  <cols>
    <col min="1" max="1" width="23" customWidth="1"/>
    <col min="2" max="2" width="15.26953125" customWidth="1"/>
    <col min="3" max="3" width="16.7265625" customWidth="1"/>
    <col min="4" max="4" width="13" customWidth="1"/>
    <col min="15" max="15" width="29.7265625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35">
      <c r="A2" s="1" t="s">
        <v>62</v>
      </c>
      <c r="B2" s="2" t="s">
        <v>61</v>
      </c>
      <c r="C2" s="2">
        <v>1</v>
      </c>
      <c r="D2" s="4">
        <v>10000000000</v>
      </c>
      <c r="E2" s="2" t="s">
        <v>49</v>
      </c>
      <c r="F2" s="2" t="s">
        <v>69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Normal="100" workbookViewId="0">
      <selection activeCell="P4" sqref="P4"/>
    </sheetView>
  </sheetViews>
  <sheetFormatPr defaultRowHeight="14.5" x14ac:dyDescent="0.35"/>
  <cols>
    <col min="1" max="1" width="29" customWidth="1"/>
    <col min="3" max="3" width="17.453125" customWidth="1"/>
    <col min="4" max="5" width="20.54296875" customWidth="1"/>
    <col min="7" max="7" width="11.26953125" customWidth="1"/>
    <col min="9" max="9" width="12.453125" customWidth="1"/>
    <col min="10" max="10" width="12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35">
      <c r="A2" s="1" t="s">
        <v>38</v>
      </c>
      <c r="B2" s="2" t="s">
        <v>39</v>
      </c>
      <c r="C2" s="2">
        <v>1</v>
      </c>
      <c r="D2" s="4">
        <v>10000000000</v>
      </c>
      <c r="E2" s="2" t="s">
        <v>49</v>
      </c>
      <c r="F2" s="2" t="s">
        <v>69</v>
      </c>
      <c r="G2" s="2">
        <v>0</v>
      </c>
      <c r="H2" s="2">
        <f>177.8/0.902</f>
        <v>197.11751662971176</v>
      </c>
      <c r="I2" s="2">
        <v>0.49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/>
    </row>
    <row r="3" spans="1:15" x14ac:dyDescent="0.35">
      <c r="A3" s="1" t="s">
        <v>40</v>
      </c>
      <c r="B3" s="2" t="s">
        <v>41</v>
      </c>
      <c r="C3" s="2">
        <v>1000000</v>
      </c>
      <c r="D3" s="2">
        <v>20000000</v>
      </c>
      <c r="E3" s="2" t="s">
        <v>49</v>
      </c>
      <c r="F3" s="2" t="s">
        <v>69</v>
      </c>
      <c r="G3" s="2">
        <v>0</v>
      </c>
      <c r="H3" s="2">
        <f>8893/0.902/1000</f>
        <v>9.8592017738359186</v>
      </c>
      <c r="I3" s="2">
        <v>1</v>
      </c>
      <c r="J3" s="2">
        <v>0</v>
      </c>
      <c r="K3" s="2">
        <f>-493.53/0.902/1000</f>
        <v>-0.54715077605321505</v>
      </c>
      <c r="L3" s="2">
        <v>25</v>
      </c>
      <c r="M3" s="2">
        <v>5</v>
      </c>
      <c r="N3" s="2">
        <v>6</v>
      </c>
      <c r="O3" s="2"/>
    </row>
    <row r="4" spans="1:15" x14ac:dyDescent="0.35">
      <c r="A4" s="1" t="s">
        <v>40</v>
      </c>
      <c r="B4" s="2" t="s">
        <v>41</v>
      </c>
      <c r="C4" s="2">
        <v>20000000</v>
      </c>
      <c r="D4" s="2">
        <v>2E+16</v>
      </c>
      <c r="E4" s="2" t="s">
        <v>49</v>
      </c>
      <c r="F4" s="2" t="s">
        <v>69</v>
      </c>
      <c r="G4" s="2">
        <v>0</v>
      </c>
      <c r="H4" s="2">
        <f>8893/0.902/1000</f>
        <v>9.8592017738359186</v>
      </c>
      <c r="I4" s="2">
        <v>1</v>
      </c>
      <c r="J4" s="2">
        <v>0</v>
      </c>
      <c r="K4" s="2">
        <f>-493.53/0.902/1000</f>
        <v>-0.54715077605321505</v>
      </c>
      <c r="L4" s="2">
        <v>25</v>
      </c>
      <c r="M4" s="2">
        <v>5</v>
      </c>
      <c r="N4" s="2">
        <v>6</v>
      </c>
      <c r="O4" s="2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zoomScale="60" zoomScaleNormal="60" workbookViewId="0">
      <selection activeCell="G38" sqref="G38"/>
    </sheetView>
  </sheetViews>
  <sheetFormatPr defaultRowHeight="14.5" x14ac:dyDescent="0.35"/>
  <cols>
    <col min="1" max="1" width="17.453125" customWidth="1"/>
    <col min="3" max="3" width="18" customWidth="1"/>
    <col min="4" max="5" width="21.7265625" customWidth="1"/>
    <col min="8" max="8" width="11.7265625" customWidth="1"/>
    <col min="10" max="10" width="13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35">
      <c r="A2" s="1" t="s">
        <v>28</v>
      </c>
      <c r="B2" s="2" t="s">
        <v>64</v>
      </c>
      <c r="C2" s="2">
        <v>500</v>
      </c>
      <c r="D2" s="2">
        <v>4000</v>
      </c>
      <c r="E2" s="2" t="s">
        <v>49</v>
      </c>
      <c r="F2" s="2" t="s">
        <v>69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22</v>
      </c>
    </row>
    <row r="3" spans="1:15" x14ac:dyDescent="0.35">
      <c r="A3" s="1" t="s">
        <v>28</v>
      </c>
      <c r="B3" s="2" t="s">
        <v>64</v>
      </c>
      <c r="C3" s="2">
        <v>4000</v>
      </c>
      <c r="D3" s="2">
        <v>37000</v>
      </c>
      <c r="E3" s="2" t="s">
        <v>49</v>
      </c>
      <c r="F3" s="2" t="s">
        <v>69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22</v>
      </c>
    </row>
    <row r="4" spans="1:15" x14ac:dyDescent="0.35">
      <c r="A4" s="1" t="s">
        <v>28</v>
      </c>
      <c r="B4" s="2" t="s">
        <v>64</v>
      </c>
      <c r="C4" s="2">
        <v>37000</v>
      </c>
      <c r="D4" s="2">
        <v>375000</v>
      </c>
      <c r="E4" s="2" t="s">
        <v>49</v>
      </c>
      <c r="F4" s="2" t="s">
        <v>69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22</v>
      </c>
    </row>
    <row r="5" spans="1:15" x14ac:dyDescent="0.35">
      <c r="A5" s="1" t="s">
        <v>28</v>
      </c>
      <c r="B5" s="2" t="s">
        <v>64</v>
      </c>
      <c r="C5" s="2">
        <v>375000</v>
      </c>
      <c r="D5" s="4">
        <v>10000000000</v>
      </c>
      <c r="E5" s="2" t="s">
        <v>49</v>
      </c>
      <c r="F5" s="2" t="s">
        <v>69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selection activeCell="A4" sqref="A4:IV4"/>
    </sheetView>
  </sheetViews>
  <sheetFormatPr defaultRowHeight="14.5" x14ac:dyDescent="0.35"/>
  <cols>
    <col min="1" max="1" width="43.26953125" customWidth="1"/>
    <col min="2" max="2" width="12.7265625" customWidth="1"/>
    <col min="3" max="3" width="19.7265625" customWidth="1"/>
    <col min="4" max="5" width="19.26953125" customWidth="1"/>
  </cols>
  <sheetData>
    <row r="1" spans="1:15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65</v>
      </c>
      <c r="F1" s="1" t="s">
        <v>53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63</v>
      </c>
      <c r="L1" s="1" t="s">
        <v>22</v>
      </c>
      <c r="M1" s="1" t="s">
        <v>20</v>
      </c>
      <c r="N1" s="1" t="s">
        <v>21</v>
      </c>
      <c r="O1" s="1" t="s">
        <v>54</v>
      </c>
    </row>
    <row r="2" spans="1:15" x14ac:dyDescent="0.35">
      <c r="A2" s="1" t="s">
        <v>67</v>
      </c>
      <c r="B2" s="2" t="s">
        <v>29</v>
      </c>
      <c r="C2" s="2">
        <v>100</v>
      </c>
      <c r="D2" s="2">
        <v>12000</v>
      </c>
      <c r="E2" s="2" t="s">
        <v>66</v>
      </c>
      <c r="F2" s="2" t="s">
        <v>69</v>
      </c>
      <c r="G2" s="2">
        <v>0</v>
      </c>
      <c r="H2" s="2">
        <f>2771.2/0.962</f>
        <v>2880.6652806652805</v>
      </c>
      <c r="I2" s="2">
        <v>1</v>
      </c>
      <c r="J2" s="2">
        <v>0</v>
      </c>
      <c r="K2" s="2">
        <f>-284.2/0.962</f>
        <v>-295.42619542619542</v>
      </c>
      <c r="L2" s="2">
        <v>25</v>
      </c>
      <c r="M2" s="2">
        <v>1</v>
      </c>
      <c r="N2" s="2">
        <v>6</v>
      </c>
      <c r="O2" s="2" t="s">
        <v>117</v>
      </c>
    </row>
    <row r="3" spans="1:15" x14ac:dyDescent="0.35">
      <c r="A3" s="1" t="s">
        <v>67</v>
      </c>
      <c r="B3" s="2" t="s">
        <v>29</v>
      </c>
      <c r="C3" s="2">
        <v>12000</v>
      </c>
      <c r="D3" s="4">
        <v>10000000000</v>
      </c>
      <c r="E3" s="2" t="s">
        <v>66</v>
      </c>
      <c r="F3" s="2" t="s">
        <v>69</v>
      </c>
      <c r="G3" s="2">
        <v>0</v>
      </c>
      <c r="H3" s="2">
        <f>2771.2/0.962</f>
        <v>2880.6652806652805</v>
      </c>
      <c r="I3" s="2">
        <v>1</v>
      </c>
      <c r="J3" s="2">
        <v>0</v>
      </c>
      <c r="K3" s="2">
        <f>-284.2/0.962</f>
        <v>-295.42619542619542</v>
      </c>
      <c r="L3" s="2">
        <v>25</v>
      </c>
      <c r="M3" s="2">
        <v>1</v>
      </c>
      <c r="N3" s="2">
        <v>6</v>
      </c>
      <c r="O3" s="2" t="s">
        <v>47</v>
      </c>
    </row>
    <row r="4" spans="1:15" x14ac:dyDescent="0.35">
      <c r="A4" s="1" t="s">
        <v>115</v>
      </c>
      <c r="B4" s="2" t="s">
        <v>116</v>
      </c>
      <c r="C4" s="2">
        <v>0</v>
      </c>
      <c r="D4" s="4">
        <v>10000000000</v>
      </c>
      <c r="E4" s="2" t="s">
        <v>66</v>
      </c>
      <c r="F4" s="2" t="s">
        <v>69</v>
      </c>
      <c r="G4" s="2">
        <v>0</v>
      </c>
      <c r="H4" s="2">
        <f>931/1.331</f>
        <v>699.47407963936894</v>
      </c>
      <c r="I4" s="2">
        <v>1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PV</vt:lpstr>
      <vt:lpstr>SC</vt:lpstr>
      <vt:lpstr>PVT</vt:lpstr>
      <vt:lpstr>Boiler</vt:lpstr>
      <vt:lpstr>Furnace</vt:lpstr>
      <vt:lpstr>FC</vt:lpstr>
      <vt:lpstr>CCGT</vt:lpstr>
      <vt:lpstr>Chiller_configuration</vt:lpstr>
      <vt:lpstr>Chiller</vt:lpstr>
      <vt:lpstr>Absorption_chiller</vt:lpstr>
      <vt:lpstr>CT</vt:lpstr>
      <vt:lpstr>HEX</vt:lpstr>
      <vt:lpstr>BH</vt:lpstr>
      <vt:lpstr>HP</vt:lpstr>
      <vt:lpstr>Pump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Luis Santos</cp:lastModifiedBy>
  <dcterms:created xsi:type="dcterms:W3CDTF">2014-03-24T07:52:52Z</dcterms:created>
  <dcterms:modified xsi:type="dcterms:W3CDTF">2021-09-30T08:00:39Z</dcterms:modified>
</cp:coreProperties>
</file>