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31880" yWindow="2960" windowWidth="25040" windowHeight="15500" tabRatio="500"/>
  </bookViews>
  <sheets>
    <sheet name="Sheet1" sheetId="1" r:id="rId1"/>
    <sheet name="Electricity gener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1" l="1"/>
  <c r="F58" i="1"/>
  <c r="F59" i="1"/>
  <c r="B58" i="1"/>
  <c r="C58" i="1"/>
  <c r="C60" i="1"/>
  <c r="B60" i="1"/>
  <c r="C57" i="1"/>
  <c r="C59" i="1"/>
  <c r="B59" i="1"/>
  <c r="B57" i="1"/>
  <c r="B29" i="1"/>
  <c r="C53" i="1"/>
  <c r="D53" i="1"/>
  <c r="E53" i="1"/>
  <c r="F53" i="1"/>
  <c r="G53" i="1"/>
  <c r="B53" i="1"/>
  <c r="C52" i="1"/>
  <c r="D52" i="1"/>
  <c r="E52" i="1"/>
  <c r="F52" i="1"/>
  <c r="G52" i="1"/>
  <c r="B52" i="1"/>
  <c r="B51" i="1"/>
  <c r="I39" i="1"/>
  <c r="J39" i="1"/>
  <c r="I38" i="1"/>
  <c r="J38" i="1"/>
  <c r="I37" i="1"/>
  <c r="J37" i="1"/>
  <c r="I36" i="1"/>
  <c r="J36" i="1"/>
  <c r="J23" i="1"/>
  <c r="J24" i="1"/>
  <c r="J25" i="1"/>
  <c r="J26" i="1"/>
  <c r="J22" i="1"/>
  <c r="I23" i="1"/>
  <c r="I24" i="1"/>
  <c r="I25" i="1"/>
  <c r="I26" i="1"/>
  <c r="I22" i="1"/>
  <c r="H23" i="1"/>
  <c r="H24" i="1"/>
  <c r="H25" i="1"/>
  <c r="H26" i="1"/>
  <c r="H22" i="1"/>
  <c r="G26" i="1"/>
  <c r="G23" i="1"/>
  <c r="G24" i="1"/>
  <c r="G25" i="1"/>
  <c r="G22" i="1"/>
  <c r="C26" i="1"/>
  <c r="D26" i="1"/>
  <c r="E26" i="1"/>
  <c r="F26" i="1"/>
  <c r="B26" i="1"/>
  <c r="G46" i="1"/>
  <c r="C46" i="1"/>
  <c r="D46" i="1"/>
  <c r="E46" i="1"/>
  <c r="F46" i="1"/>
  <c r="B46" i="1"/>
  <c r="G44" i="1"/>
  <c r="G45" i="1"/>
  <c r="G43" i="1"/>
  <c r="C45" i="1"/>
  <c r="D45" i="1"/>
  <c r="E45" i="1"/>
  <c r="F45" i="1"/>
  <c r="B45" i="1"/>
  <c r="B38" i="1"/>
  <c r="B44" i="1"/>
  <c r="C44" i="1"/>
  <c r="D44" i="1"/>
  <c r="E44" i="1"/>
  <c r="F44" i="1"/>
  <c r="C43" i="1"/>
  <c r="D43" i="1"/>
  <c r="E43" i="1"/>
  <c r="F43" i="1"/>
  <c r="B43" i="1"/>
  <c r="B36" i="1"/>
  <c r="H40" i="1"/>
  <c r="H37" i="1"/>
  <c r="H38" i="1"/>
  <c r="H39" i="1"/>
  <c r="H36" i="1"/>
  <c r="K3" i="2"/>
  <c r="K12" i="2"/>
  <c r="K2" i="2"/>
  <c r="K11" i="2"/>
  <c r="K6" i="2"/>
  <c r="K5" i="2"/>
  <c r="F6" i="2"/>
  <c r="C6" i="2"/>
  <c r="C4" i="2"/>
  <c r="C40" i="1"/>
  <c r="D40" i="1"/>
  <c r="E40" i="1"/>
  <c r="F40" i="1"/>
  <c r="G40" i="1"/>
  <c r="B37" i="1"/>
  <c r="B39" i="1"/>
  <c r="B32" i="1"/>
  <c r="B31" i="1"/>
  <c r="D25" i="1"/>
  <c r="E25" i="1"/>
  <c r="B25" i="1"/>
  <c r="C25" i="1"/>
  <c r="B22" i="1"/>
  <c r="E22" i="1"/>
  <c r="D22" i="1"/>
  <c r="D36" i="1"/>
  <c r="D37" i="1"/>
  <c r="D31" i="1"/>
  <c r="D38" i="1"/>
  <c r="D39" i="1"/>
  <c r="E36" i="1"/>
  <c r="E37" i="1"/>
  <c r="E31" i="1"/>
  <c r="E38" i="1"/>
  <c r="E39" i="1"/>
  <c r="F22" i="1"/>
  <c r="F36" i="1"/>
  <c r="F37" i="1"/>
  <c r="F24" i="1"/>
  <c r="F31" i="1"/>
  <c r="F38" i="1"/>
  <c r="F39" i="1"/>
  <c r="C22" i="1"/>
  <c r="C36" i="1"/>
  <c r="C37" i="1"/>
  <c r="C24" i="1"/>
  <c r="C31" i="1"/>
  <c r="C38" i="1"/>
  <c r="C39" i="1"/>
  <c r="F23" i="1"/>
  <c r="N30" i="1"/>
  <c r="G37" i="1"/>
  <c r="C23" i="1"/>
  <c r="G38" i="1"/>
  <c r="G39" i="1"/>
  <c r="G36" i="1"/>
  <c r="N29" i="1"/>
  <c r="D5" i="1"/>
  <c r="G31" i="1"/>
  <c r="C29" i="1"/>
  <c r="F25" i="1"/>
  <c r="D4" i="1"/>
  <c r="E7" i="1"/>
  <c r="E8" i="1"/>
  <c r="C32" i="1"/>
  <c r="D3" i="1"/>
  <c r="G29" i="1"/>
  <c r="G32" i="1"/>
  <c r="F29" i="1"/>
  <c r="F32" i="1"/>
  <c r="D6" i="1"/>
  <c r="D7" i="1"/>
  <c r="D16" i="1"/>
  <c r="I16" i="1"/>
  <c r="D8" i="1"/>
  <c r="D17" i="1"/>
  <c r="G17" i="1"/>
  <c r="I17" i="1"/>
  <c r="G7" i="1"/>
  <c r="I7" i="1"/>
  <c r="G8" i="1"/>
  <c r="I8" i="1"/>
  <c r="C12" i="1"/>
  <c r="D12" i="1"/>
  <c r="C13" i="1"/>
  <c r="D13" i="1"/>
  <c r="C14" i="1"/>
  <c r="D14" i="1"/>
  <c r="C6" i="1"/>
  <c r="C15" i="1"/>
  <c r="D15" i="1"/>
  <c r="C7" i="1"/>
  <c r="C16" i="1"/>
  <c r="C8" i="1"/>
  <c r="C17" i="1"/>
  <c r="B13" i="1"/>
  <c r="B14" i="1"/>
  <c r="B6" i="1"/>
  <c r="B15" i="1"/>
  <c r="B7" i="1"/>
  <c r="B16" i="1"/>
  <c r="B8" i="1"/>
  <c r="B17" i="1"/>
  <c r="B12" i="1"/>
</calcChain>
</file>

<file path=xl/comments1.xml><?xml version="1.0" encoding="utf-8"?>
<comments xmlns="http://schemas.openxmlformats.org/spreadsheetml/2006/main">
  <authors>
    <author>Prageeth Jayathissa</author>
  </authors>
  <commentList>
    <comment ref="A56" author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<sst xmlns="http://schemas.openxmlformats.org/spreadsheetml/2006/main" count="76" uniqueCount="51">
  <si>
    <t>Venetian Blind System</t>
  </si>
  <si>
    <t>Adaptive Soalr Facade</t>
  </si>
  <si>
    <t>Total (kWh)</t>
  </si>
  <si>
    <t>Total (GJ)</t>
  </si>
  <si>
    <t>kgCO2-eq</t>
  </si>
  <si>
    <t>Savings</t>
  </si>
  <si>
    <t>Heating (GJ)</t>
  </si>
  <si>
    <t>Cooling (GJ)</t>
  </si>
  <si>
    <t>Lighting (GJ)</t>
  </si>
  <si>
    <t>Heating (GJ/m2)</t>
  </si>
  <si>
    <t>Cooling (GJ/m2)</t>
  </si>
  <si>
    <t>Lighting (GJ/m2)</t>
  </si>
  <si>
    <t>Total (GJ/m2)</t>
  </si>
  <si>
    <t>Total (kWh/m2)</t>
  </si>
  <si>
    <t>kgCO2-eq/m2</t>
  </si>
  <si>
    <t>Electricity Generation</t>
  </si>
  <si>
    <t>Total</t>
  </si>
  <si>
    <t>Heating raw energy(GJ)</t>
  </si>
  <si>
    <t>For Conference</t>
  </si>
  <si>
    <t>Heating Electricity COP5(kWh)</t>
  </si>
  <si>
    <t>Lighting (kWh)</t>
  </si>
  <si>
    <t>Cooling(tons-R)</t>
  </si>
  <si>
    <t>Pumping Costs</t>
  </si>
  <si>
    <t>Cooling Pumping energy (kWh)</t>
  </si>
  <si>
    <t>Blinds at 45°</t>
  </si>
  <si>
    <t>Blinds at 90°</t>
  </si>
  <si>
    <t>Blinds at 0 °</t>
  </si>
  <si>
    <t>45° blinds</t>
  </si>
  <si>
    <t>No Facade</t>
  </si>
  <si>
    <t>Solar efficiency</t>
  </si>
  <si>
    <t>Kwh/m2</t>
  </si>
  <si>
    <t>m2</t>
  </si>
  <si>
    <t>angular efficiency</t>
  </si>
  <si>
    <t>kWh</t>
  </si>
  <si>
    <t>CO2</t>
  </si>
  <si>
    <t>Total energy savings</t>
  </si>
  <si>
    <t>Total CO2</t>
  </si>
  <si>
    <t>Grey CO2</t>
  </si>
  <si>
    <t>Grey Energy (MJ)</t>
  </si>
  <si>
    <t>Grey Energy (kWh)</t>
  </si>
  <si>
    <t>Energy payback time</t>
  </si>
  <si>
    <t>CO2 payback</t>
  </si>
  <si>
    <t>Compare to No facade</t>
  </si>
  <si>
    <t>For StadtZürich Pitch</t>
  </si>
  <si>
    <t>Floor Area</t>
  </si>
  <si>
    <t>Energy/m2floor (kWh/m2)</t>
  </si>
  <si>
    <t>Energy (kWh</t>
  </si>
  <si>
    <t>For LCA Publication</t>
  </si>
  <si>
    <t>Heating COP4</t>
  </si>
  <si>
    <t>Cooling COP3</t>
  </si>
  <si>
    <t>Lighting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</si>
</sst>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33" applyNumberFormat="1" applyFont="1"/>
    <xf numFmtId="9" fontId="0" fillId="0" borderId="0" xfId="33" applyFont="1"/>
    <xf numFmtId="0" fontId="5" fillId="2" borderId="0" xfId="38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Good" xfId="3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Normal" xfId="0" builtinId="0"/>
    <cellStyle name="Percent" xfId="3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60"/>
  <sheetViews>
    <sheetView tabSelected="1" showRuler="0" topLeftCell="A32" workbookViewId="0">
      <selection activeCell="A57" sqref="A57"/>
    </sheetView>
  </sheetViews>
  <sheetFormatPr baseColWidth="10" defaultRowHeight="15" x14ac:dyDescent="0"/>
  <cols>
    <col min="1" max="1" width="21" bestFit="1" customWidth="1"/>
    <col min="2" max="2" width="19.6640625" bestFit="1" customWidth="1"/>
    <col min="3" max="3" width="19.33203125" bestFit="1" customWidth="1"/>
    <col min="4" max="4" width="13.83203125" bestFit="1" customWidth="1"/>
    <col min="5" max="5" width="19.1640625" bestFit="1" customWidth="1"/>
    <col min="6" max="6" width="19.6640625" bestFit="1" customWidth="1"/>
    <col min="8" max="8" width="13.1640625" bestFit="1" customWidth="1"/>
    <col min="9" max="9" width="19.5" bestFit="1" customWidth="1"/>
    <col min="10" max="10" width="19.1640625" bestFit="1" customWidth="1"/>
    <col min="11" max="11" width="7.33203125" bestFit="1" customWidth="1"/>
  </cols>
  <sheetData>
    <row r="2" spans="1:9">
      <c r="B2" t="s">
        <v>0</v>
      </c>
      <c r="C2" t="s">
        <v>1</v>
      </c>
      <c r="D2" t="s">
        <v>5</v>
      </c>
      <c r="G2" t="s">
        <v>15</v>
      </c>
      <c r="I2" t="s">
        <v>16</v>
      </c>
    </row>
    <row r="3" spans="1:9">
      <c r="A3" t="s">
        <v>6</v>
      </c>
      <c r="B3">
        <v>6.61</v>
      </c>
      <c r="C3">
        <v>5.87</v>
      </c>
      <c r="D3">
        <f>B3-C3</f>
        <v>0.74000000000000021</v>
      </c>
    </row>
    <row r="4" spans="1:9">
      <c r="A4" t="s">
        <v>7</v>
      </c>
      <c r="B4">
        <v>4.53</v>
      </c>
      <c r="C4">
        <v>2.39</v>
      </c>
      <c r="D4">
        <f t="shared" ref="D4:D5" si="0">B4-C4</f>
        <v>2.14</v>
      </c>
    </row>
    <row r="5" spans="1:9">
      <c r="A5" t="s">
        <v>8</v>
      </c>
      <c r="B5">
        <v>1.65</v>
      </c>
      <c r="C5">
        <v>1.6</v>
      </c>
      <c r="D5">
        <f t="shared" si="0"/>
        <v>4.9999999999999822E-2</v>
      </c>
    </row>
    <row r="6" spans="1:9">
      <c r="A6" t="s">
        <v>3</v>
      </c>
      <c r="B6">
        <f>SUM(B3:B5)</f>
        <v>12.790000000000001</v>
      </c>
      <c r="C6">
        <f t="shared" ref="C6:D6" si="1">SUM(C3:C5)</f>
        <v>9.86</v>
      </c>
      <c r="D6">
        <f t="shared" si="1"/>
        <v>2.93</v>
      </c>
      <c r="E6">
        <v>55</v>
      </c>
    </row>
    <row r="7" spans="1:9">
      <c r="A7" t="s">
        <v>2</v>
      </c>
      <c r="B7">
        <f>B6*1000/3.6</f>
        <v>3552.7777777777783</v>
      </c>
      <c r="C7">
        <f t="shared" ref="C7:D7" si="2">C6*1000/3.6</f>
        <v>2738.8888888888887</v>
      </c>
      <c r="D7">
        <f t="shared" si="2"/>
        <v>813.88888888888891</v>
      </c>
      <c r="E7">
        <f>15*E6</f>
        <v>825</v>
      </c>
      <c r="G7">
        <f>G16*15.2</f>
        <v>620.16</v>
      </c>
      <c r="I7">
        <f>D7+G7</f>
        <v>1434.048888888889</v>
      </c>
    </row>
    <row r="8" spans="1:9">
      <c r="A8" t="s">
        <v>4</v>
      </c>
      <c r="B8">
        <f>B7*0.39968</f>
        <v>1419.9742222222224</v>
      </c>
      <c r="C8">
        <f t="shared" ref="C8:E8" si="3">C7*0.39968</f>
        <v>1094.6791111111111</v>
      </c>
      <c r="D8">
        <f t="shared" si="3"/>
        <v>325.29511111111111</v>
      </c>
      <c r="E8">
        <f t="shared" si="3"/>
        <v>329.73599999999999</v>
      </c>
      <c r="G8">
        <f>G17*15.2</f>
        <v>247.86554879999994</v>
      </c>
      <c r="I8">
        <f>D8+G8</f>
        <v>573.160659911111</v>
      </c>
    </row>
    <row r="11" spans="1:9">
      <c r="B11" t="s">
        <v>0</v>
      </c>
      <c r="C11" t="s">
        <v>1</v>
      </c>
      <c r="D11" t="s">
        <v>5</v>
      </c>
    </row>
    <row r="12" spans="1:9">
      <c r="A12" t="s">
        <v>9</v>
      </c>
      <c r="B12" s="1">
        <f>B3/15.2</f>
        <v>0.43486842105263163</v>
      </c>
      <c r="C12" s="1">
        <f t="shared" ref="C12:D12" si="4">C3/15.2</f>
        <v>0.3861842105263158</v>
      </c>
      <c r="D12" s="1">
        <f t="shared" si="4"/>
        <v>4.8684210526315809E-2</v>
      </c>
    </row>
    <row r="13" spans="1:9">
      <c r="A13" t="s">
        <v>10</v>
      </c>
      <c r="B13" s="1">
        <f t="shared" ref="B13:D17" si="5">B4/15.2</f>
        <v>0.29802631578947369</v>
      </c>
      <c r="C13" s="1">
        <f t="shared" si="5"/>
        <v>0.15723684210526317</v>
      </c>
      <c r="D13" s="1">
        <f t="shared" si="5"/>
        <v>0.14078947368421055</v>
      </c>
    </row>
    <row r="14" spans="1:9">
      <c r="A14" t="s">
        <v>11</v>
      </c>
      <c r="B14" s="1">
        <f t="shared" si="5"/>
        <v>0.10855263157894737</v>
      </c>
      <c r="C14" s="1">
        <f t="shared" si="5"/>
        <v>0.10526315789473685</v>
      </c>
      <c r="D14" s="1">
        <f t="shared" si="5"/>
        <v>3.2894736842105149E-3</v>
      </c>
    </row>
    <row r="15" spans="1:9">
      <c r="A15" t="s">
        <v>12</v>
      </c>
      <c r="B15" s="1">
        <f t="shared" si="5"/>
        <v>0.84144736842105272</v>
      </c>
      <c r="C15" s="1">
        <f t="shared" si="5"/>
        <v>0.64868421052631575</v>
      </c>
      <c r="D15" s="1">
        <f t="shared" si="5"/>
        <v>0.19276315789473686</v>
      </c>
    </row>
    <row r="16" spans="1:9">
      <c r="A16" t="s">
        <v>13</v>
      </c>
      <c r="B16" s="1">
        <f t="shared" si="5"/>
        <v>233.73538011695911</v>
      </c>
      <c r="C16" s="1">
        <f t="shared" si="5"/>
        <v>180.19005847953215</v>
      </c>
      <c r="D16" s="1">
        <f t="shared" si="5"/>
        <v>53.545321637426902</v>
      </c>
      <c r="G16">
        <v>40.799999999999997</v>
      </c>
      <c r="I16">
        <f t="shared" ref="I16:I17" si="6">D16+G16</f>
        <v>94.345321637426906</v>
      </c>
    </row>
    <row r="17" spans="1:14">
      <c r="A17" t="s">
        <v>14</v>
      </c>
      <c r="B17" s="1">
        <f t="shared" si="5"/>
        <v>93.419356725146216</v>
      </c>
      <c r="C17" s="1">
        <f t="shared" si="5"/>
        <v>72.018362573099409</v>
      </c>
      <c r="D17" s="1">
        <f>D8/15.2</f>
        <v>21.400994152046785</v>
      </c>
      <c r="G17">
        <f>G16*0.39968</f>
        <v>16.306943999999998</v>
      </c>
      <c r="I17">
        <f t="shared" si="6"/>
        <v>37.707938152046779</v>
      </c>
    </row>
    <row r="20" spans="1:14">
      <c r="A20" s="2" t="s">
        <v>18</v>
      </c>
    </row>
    <row r="21" spans="1:14">
      <c r="B21" s="2" t="s">
        <v>28</v>
      </c>
      <c r="C21" s="2" t="s">
        <v>24</v>
      </c>
      <c r="D21" s="2" t="s">
        <v>25</v>
      </c>
      <c r="E21" s="2" t="s">
        <v>26</v>
      </c>
      <c r="F21" s="2" t="s">
        <v>1</v>
      </c>
      <c r="G21" s="2" t="s">
        <v>5</v>
      </c>
      <c r="I21" s="2" t="s">
        <v>42</v>
      </c>
    </row>
    <row r="22" spans="1:14">
      <c r="A22" t="s">
        <v>17</v>
      </c>
      <c r="B22">
        <f>5.8*0.8</f>
        <v>4.6399999999999997</v>
      </c>
      <c r="C22">
        <f>B3*0.8</f>
        <v>5.2880000000000003</v>
      </c>
      <c r="D22">
        <f>5.95*0.8</f>
        <v>4.7600000000000007</v>
      </c>
      <c r="E22">
        <f>6.61*0.8</f>
        <v>5.2880000000000003</v>
      </c>
      <c r="F22">
        <f>C3*0.8</f>
        <v>4.6960000000000006</v>
      </c>
      <c r="G22">
        <f>C22-F22</f>
        <v>0.59199999999999964</v>
      </c>
      <c r="H22" s="4">
        <f>G22/C22</f>
        <v>0.11195158850226922</v>
      </c>
      <c r="I22">
        <f>B22-F22</f>
        <v>-5.6000000000000938E-2</v>
      </c>
      <c r="J22" s="4">
        <f>I22/B22</f>
        <v>-1.2068965517241582E-2</v>
      </c>
    </row>
    <row r="23" spans="1:14">
      <c r="A23" t="s">
        <v>7</v>
      </c>
      <c r="B23">
        <v>13.5</v>
      </c>
      <c r="C23">
        <f>B4</f>
        <v>4.53</v>
      </c>
      <c r="D23">
        <v>4.0999999999999996</v>
      </c>
      <c r="E23">
        <v>4.5199999999999996</v>
      </c>
      <c r="F23">
        <f>C4</f>
        <v>2.39</v>
      </c>
      <c r="G23">
        <f t="shared" ref="G23:G25" si="7">C23-F23</f>
        <v>2.14</v>
      </c>
      <c r="H23" s="4">
        <f t="shared" ref="H23:H26" si="8">G23/C23</f>
        <v>0.47240618101545256</v>
      </c>
      <c r="I23">
        <f t="shared" ref="I23:I26" si="9">B23-F23</f>
        <v>11.11</v>
      </c>
      <c r="J23" s="4">
        <f t="shared" ref="J23:J26" si="10">I23/B23</f>
        <v>0.8229629629629629</v>
      </c>
    </row>
    <row r="24" spans="1:14">
      <c r="A24" t="s">
        <v>8</v>
      </c>
      <c r="B24">
        <v>1.56</v>
      </c>
      <c r="C24">
        <f>B5</f>
        <v>1.65</v>
      </c>
      <c r="D24">
        <v>1.6</v>
      </c>
      <c r="E24">
        <v>1.65</v>
      </c>
      <c r="F24">
        <f>C5</f>
        <v>1.6</v>
      </c>
      <c r="G24">
        <f t="shared" si="7"/>
        <v>4.9999999999999822E-2</v>
      </c>
      <c r="H24" s="4">
        <f t="shared" si="8"/>
        <v>3.0303030303030196E-2</v>
      </c>
      <c r="I24">
        <f t="shared" si="9"/>
        <v>-4.0000000000000036E-2</v>
      </c>
      <c r="J24" s="4">
        <f t="shared" si="10"/>
        <v>-2.5641025641025664E-2</v>
      </c>
    </row>
    <row r="25" spans="1:14">
      <c r="A25" t="s">
        <v>21</v>
      </c>
      <c r="B25">
        <f>B23*78.985</f>
        <v>1066.2974999999999</v>
      </c>
      <c r="C25">
        <f>C23*78.985</f>
        <v>357.80205000000001</v>
      </c>
      <c r="D25">
        <f t="shared" ref="D25:E25" si="11">D23*78.985</f>
        <v>323.83849999999995</v>
      </c>
      <c r="E25">
        <f t="shared" si="11"/>
        <v>357.01219999999995</v>
      </c>
      <c r="F25">
        <f>C4*78.985</f>
        <v>188.77415000000002</v>
      </c>
      <c r="G25">
        <f t="shared" si="7"/>
        <v>169.02789999999999</v>
      </c>
      <c r="H25" s="4">
        <f t="shared" si="8"/>
        <v>0.47240618101545251</v>
      </c>
      <c r="I25">
        <f t="shared" si="9"/>
        <v>877.52334999999994</v>
      </c>
      <c r="J25" s="4">
        <f t="shared" si="10"/>
        <v>0.82296296296296301</v>
      </c>
    </row>
    <row r="26" spans="1:14">
      <c r="A26" t="s">
        <v>16</v>
      </c>
      <c r="B26" s="5">
        <f>SUM(B22:B24)</f>
        <v>19.7</v>
      </c>
      <c r="C26" s="5">
        <f t="shared" ref="C26:F26" si="12">SUM(C22:C24)</f>
        <v>11.468000000000002</v>
      </c>
      <c r="D26" s="5">
        <f t="shared" si="12"/>
        <v>10.459999999999999</v>
      </c>
      <c r="E26" s="5">
        <f t="shared" si="12"/>
        <v>11.458</v>
      </c>
      <c r="F26" s="5">
        <f t="shared" si="12"/>
        <v>8.6859999999999999</v>
      </c>
      <c r="G26">
        <f>C26-F26</f>
        <v>2.7820000000000018</v>
      </c>
      <c r="H26" s="4">
        <f t="shared" si="8"/>
        <v>0.24258807115451703</v>
      </c>
      <c r="I26">
        <f t="shared" si="9"/>
        <v>11.013999999999999</v>
      </c>
      <c r="J26" s="4">
        <f t="shared" si="10"/>
        <v>0.55908629441624369</v>
      </c>
    </row>
    <row r="28" spans="1:14">
      <c r="C28" t="s">
        <v>0</v>
      </c>
      <c r="F28" t="s">
        <v>1</v>
      </c>
      <c r="G28" t="s">
        <v>5</v>
      </c>
      <c r="I28" t="s">
        <v>22</v>
      </c>
      <c r="J28" t="s">
        <v>27</v>
      </c>
      <c r="K28">
        <v>90</v>
      </c>
      <c r="L28">
        <v>0</v>
      </c>
      <c r="M28" t="s">
        <v>1</v>
      </c>
      <c r="N28" t="s">
        <v>5</v>
      </c>
    </row>
    <row r="29" spans="1:14">
      <c r="A29" t="s">
        <v>19</v>
      </c>
      <c r="B29">
        <f>B22/(5*0.0036)</f>
        <v>257.77777777777777</v>
      </c>
      <c r="C29">
        <f>C22/(5*0.0036)</f>
        <v>293.77777777777783</v>
      </c>
      <c r="F29">
        <f>F22/(5*0.0036)</f>
        <v>260.88888888888897</v>
      </c>
      <c r="G29">
        <f>G22/(5*0.0036)</f>
        <v>32.888888888888872</v>
      </c>
      <c r="I29">
        <v>6.21</v>
      </c>
      <c r="J29">
        <v>7.44</v>
      </c>
      <c r="K29">
        <v>6.58</v>
      </c>
      <c r="L29">
        <v>7.44</v>
      </c>
      <c r="M29">
        <v>6.56</v>
      </c>
      <c r="N29">
        <f>J29-M29</f>
        <v>0.88000000000000078</v>
      </c>
    </row>
    <row r="30" spans="1:14">
      <c r="A30" t="s">
        <v>7</v>
      </c>
      <c r="B30">
        <v>0</v>
      </c>
      <c r="C30">
        <v>0</v>
      </c>
      <c r="F30">
        <v>0</v>
      </c>
      <c r="G30">
        <v>0</v>
      </c>
      <c r="I30">
        <v>5.77</v>
      </c>
      <c r="J30">
        <v>4.17</v>
      </c>
      <c r="K30">
        <v>4</v>
      </c>
      <c r="L30">
        <v>4.17</v>
      </c>
      <c r="M30">
        <v>3.24</v>
      </c>
      <c r="N30">
        <f>J30-M30</f>
        <v>0.92999999999999972</v>
      </c>
    </row>
    <row r="31" spans="1:14">
      <c r="A31" t="s">
        <v>20</v>
      </c>
      <c r="B31">
        <f>B24/0.0036</f>
        <v>433.33333333333337</v>
      </c>
      <c r="C31">
        <f>C24/0.0036</f>
        <v>458.33333333333331</v>
      </c>
      <c r="D31">
        <f t="shared" ref="D31:F31" si="13">D24/0.0036</f>
        <v>444.44444444444446</v>
      </c>
      <c r="E31">
        <f t="shared" si="13"/>
        <v>458.33333333333331</v>
      </c>
      <c r="F31">
        <f t="shared" si="13"/>
        <v>444.44444444444446</v>
      </c>
      <c r="G31">
        <f>G24/0.0036</f>
        <v>13.88888888888884</v>
      </c>
    </row>
    <row r="32" spans="1:14">
      <c r="A32" t="s">
        <v>2</v>
      </c>
      <c r="B32">
        <f>SUM(B29:B31)</f>
        <v>691.11111111111109</v>
      </c>
      <c r="C32">
        <f>SUM(C29:C31)</f>
        <v>752.11111111111109</v>
      </c>
      <c r="F32">
        <f>SUM(F29:F31)</f>
        <v>705.33333333333348</v>
      </c>
      <c r="G32">
        <f>SUM(G29:G31)</f>
        <v>46.777777777777715</v>
      </c>
    </row>
    <row r="34" spans="1:10">
      <c r="I34" t="s">
        <v>29</v>
      </c>
      <c r="J34">
        <v>0.95</v>
      </c>
    </row>
    <row r="35" spans="1:10">
      <c r="I35" s="2" t="s">
        <v>42</v>
      </c>
    </row>
    <row r="36" spans="1:10">
      <c r="A36" t="s">
        <v>19</v>
      </c>
      <c r="B36">
        <f>B22/(5*0.0036)+I29</f>
        <v>263.98777777777775</v>
      </c>
      <c r="C36">
        <f>C22/(5*0.0036)+J29</f>
        <v>301.21777777777783</v>
      </c>
      <c r="D36">
        <f t="shared" ref="D36:F36" si="14">D22/(5*0.0036)+K29</f>
        <v>271.0244444444445</v>
      </c>
      <c r="E36">
        <f t="shared" si="14"/>
        <v>301.21777777777783</v>
      </c>
      <c r="F36">
        <f t="shared" si="14"/>
        <v>267.44888888888897</v>
      </c>
      <c r="G36">
        <f>C36-F36</f>
        <v>33.768888888888853</v>
      </c>
      <c r="H36" s="3">
        <f>G36/C36</f>
        <v>0.1121078879806414</v>
      </c>
      <c r="I36">
        <f>B36-F36</f>
        <v>-3.4611111111112223</v>
      </c>
      <c r="J36" s="4">
        <f>I36/B36</f>
        <v>-1.3110876345285767E-2</v>
      </c>
    </row>
    <row r="37" spans="1:10">
      <c r="A37" t="s">
        <v>23</v>
      </c>
      <c r="B37">
        <f>I30</f>
        <v>5.77</v>
      </c>
      <c r="C37">
        <f>J30</f>
        <v>4.17</v>
      </c>
      <c r="D37">
        <f t="shared" ref="D37:G37" si="15">K30</f>
        <v>4</v>
      </c>
      <c r="E37">
        <f t="shared" si="15"/>
        <v>4.17</v>
      </c>
      <c r="F37">
        <f t="shared" si="15"/>
        <v>3.24</v>
      </c>
      <c r="G37">
        <f t="shared" si="15"/>
        <v>0.92999999999999972</v>
      </c>
      <c r="H37" s="3">
        <f t="shared" ref="H37:H39" si="16">G37/C37</f>
        <v>0.2230215827338129</v>
      </c>
      <c r="I37">
        <f t="shared" ref="I37:I39" si="17">B37-F37</f>
        <v>2.5299999999999994</v>
      </c>
      <c r="J37" s="4">
        <f t="shared" ref="J37:J39" si="18">I37/B37</f>
        <v>0.43847487001733093</v>
      </c>
    </row>
    <row r="38" spans="1:10">
      <c r="A38" t="s">
        <v>20</v>
      </c>
      <c r="B38">
        <f>B31/3.67</f>
        <v>118.07447774750229</v>
      </c>
      <c r="C38">
        <f>C31/3.67</f>
        <v>124.88646684831971</v>
      </c>
      <c r="D38">
        <f t="shared" ref="D38:F38" si="19">D31/3.67</f>
        <v>121.10202845897669</v>
      </c>
      <c r="E38">
        <f t="shared" si="19"/>
        <v>124.88646684831971</v>
      </c>
      <c r="F38">
        <f t="shared" si="19"/>
        <v>121.10202845897669</v>
      </c>
      <c r="G38">
        <f>C38-F38</f>
        <v>3.7844383893430233</v>
      </c>
      <c r="H38" s="3">
        <f t="shared" si="16"/>
        <v>3.0303030303030318E-2</v>
      </c>
      <c r="I38">
        <f t="shared" si="17"/>
        <v>-3.0275507114744045</v>
      </c>
      <c r="J38" s="4">
        <f t="shared" si="18"/>
        <v>-2.5641025641025529E-2</v>
      </c>
    </row>
    <row r="39" spans="1:10">
      <c r="A39" t="s">
        <v>2</v>
      </c>
      <c r="B39">
        <f>SUM(B36:B38)</f>
        <v>387.83225552528</v>
      </c>
      <c r="C39" s="2">
        <f>SUM(C36:C38)</f>
        <v>430.27424462609758</v>
      </c>
      <c r="D39">
        <f t="shared" ref="D39:F39" si="20">SUM(D36:D38)</f>
        <v>396.12647290342119</v>
      </c>
      <c r="E39">
        <f t="shared" si="20"/>
        <v>430.27424462609758</v>
      </c>
      <c r="F39" s="2">
        <f t="shared" si="20"/>
        <v>391.79091734786567</v>
      </c>
      <c r="G39" s="2">
        <f>C39-F39</f>
        <v>38.483327278231911</v>
      </c>
      <c r="H39" s="3">
        <f t="shared" si="16"/>
        <v>8.9439067661773231E-2</v>
      </c>
      <c r="I39">
        <f t="shared" si="17"/>
        <v>-3.9586618225856682</v>
      </c>
      <c r="J39" s="4">
        <f t="shared" si="18"/>
        <v>-1.020714952453879E-2</v>
      </c>
    </row>
    <row r="40" spans="1:10">
      <c r="C40">
        <f t="shared" ref="C40:F40" si="21">C39*0.399</f>
        <v>171.67942360581296</v>
      </c>
      <c r="D40">
        <f t="shared" si="21"/>
        <v>158.05446268846507</v>
      </c>
      <c r="E40">
        <f t="shared" si="21"/>
        <v>171.67942360581296</v>
      </c>
      <c r="F40">
        <f t="shared" si="21"/>
        <v>156.32457602179841</v>
      </c>
      <c r="G40">
        <f>G39*0.399</f>
        <v>15.354847584014534</v>
      </c>
      <c r="H40" s="3">
        <f>G40/C40</f>
        <v>8.9439067661773231E-2</v>
      </c>
      <c r="J40" s="4"/>
    </row>
    <row r="43" spans="1:10">
      <c r="A43" t="s">
        <v>19</v>
      </c>
      <c r="B43">
        <f>B22/(5*0.0036)+I29</f>
        <v>263.98777777777775</v>
      </c>
      <c r="C43">
        <f t="shared" ref="C43:F43" si="22">C22/(5*0.0036)+J29</f>
        <v>301.21777777777783</v>
      </c>
      <c r="D43">
        <f t="shared" si="22"/>
        <v>271.0244444444445</v>
      </c>
      <c r="E43">
        <f t="shared" si="22"/>
        <v>301.21777777777783</v>
      </c>
      <c r="F43">
        <f t="shared" si="22"/>
        <v>267.44888888888897</v>
      </c>
      <c r="G43">
        <f>C43-F43</f>
        <v>33.768888888888853</v>
      </c>
    </row>
    <row r="44" spans="1:10">
      <c r="A44" t="s">
        <v>23</v>
      </c>
      <c r="B44">
        <f>B23/(5*0.0036)+I30</f>
        <v>755.77</v>
      </c>
      <c r="C44">
        <f t="shared" ref="C44" si="23">C23/(5*0.0036)+J30</f>
        <v>255.83666666666667</v>
      </c>
      <c r="D44">
        <f t="shared" ref="D44" si="24">D23/(5*0.0036)+K30</f>
        <v>231.77777777777777</v>
      </c>
      <c r="E44">
        <f t="shared" ref="E44" si="25">E23/(5*0.0036)+L30</f>
        <v>255.2811111111111</v>
      </c>
      <c r="F44">
        <f t="shared" ref="F44" si="26">F23/(5*0.0036)+M30</f>
        <v>136.01777777777781</v>
      </c>
      <c r="G44">
        <f t="shared" ref="G44:G46" si="27">C44-F44</f>
        <v>119.81888888888886</v>
      </c>
    </row>
    <row r="45" spans="1:10">
      <c r="A45" t="s">
        <v>20</v>
      </c>
      <c r="B45">
        <f>B31/3.67</f>
        <v>118.07447774750229</v>
      </c>
      <c r="C45">
        <f t="shared" ref="C45:F45" si="28">C31/3.67</f>
        <v>124.88646684831971</v>
      </c>
      <c r="D45">
        <f t="shared" si="28"/>
        <v>121.10202845897669</v>
      </c>
      <c r="E45">
        <f t="shared" si="28"/>
        <v>124.88646684831971</v>
      </c>
      <c r="F45">
        <f t="shared" si="28"/>
        <v>121.10202845897669</v>
      </c>
      <c r="G45">
        <f t="shared" si="27"/>
        <v>3.7844383893430233</v>
      </c>
    </row>
    <row r="46" spans="1:10">
      <c r="A46" t="s">
        <v>2</v>
      </c>
      <c r="B46">
        <f>SUM(B43:B45)</f>
        <v>1137.8322555252801</v>
      </c>
      <c r="C46">
        <f t="shared" ref="C46:F46" si="29">SUM(C43:C45)</f>
        <v>681.94091129276421</v>
      </c>
      <c r="D46">
        <f t="shared" si="29"/>
        <v>623.90425068119896</v>
      </c>
      <c r="E46">
        <f t="shared" si="29"/>
        <v>681.38535573720867</v>
      </c>
      <c r="F46">
        <f t="shared" si="29"/>
        <v>524.56869512564344</v>
      </c>
      <c r="G46">
        <f t="shared" si="27"/>
        <v>157.37221616712077</v>
      </c>
    </row>
    <row r="50" spans="1:7">
      <c r="A50" s="2" t="s">
        <v>43</v>
      </c>
    </row>
    <row r="51" spans="1:7">
      <c r="A51" t="s">
        <v>44</v>
      </c>
      <c r="B51">
        <f>4.9*7</f>
        <v>34.300000000000004</v>
      </c>
    </row>
    <row r="52" spans="1:7">
      <c r="A52" t="s">
        <v>46</v>
      </c>
      <c r="B52">
        <f>B26*1000/3.6</f>
        <v>5472.2222222222217</v>
      </c>
      <c r="C52">
        <f t="shared" ref="C52:G52" si="30">C26*1000/3.6</f>
        <v>3185.5555555555561</v>
      </c>
      <c r="D52">
        <f t="shared" si="30"/>
        <v>2905.5555555555552</v>
      </c>
      <c r="E52">
        <f t="shared" si="30"/>
        <v>3182.7777777777778</v>
      </c>
      <c r="F52">
        <f t="shared" si="30"/>
        <v>2412.7777777777778</v>
      </c>
      <c r="G52">
        <f t="shared" si="30"/>
        <v>772.77777777777828</v>
      </c>
    </row>
    <row r="53" spans="1:7">
      <c r="A53" t="s">
        <v>45</v>
      </c>
      <c r="B53">
        <f>B52/$B$51</f>
        <v>159.54000647878195</v>
      </c>
      <c r="C53">
        <f t="shared" ref="C53:G53" si="31">C52/$B$51</f>
        <v>92.873339812115333</v>
      </c>
      <c r="D53">
        <f t="shared" si="31"/>
        <v>84.71007450599285</v>
      </c>
      <c r="E53">
        <f t="shared" si="31"/>
        <v>92.792355037252989</v>
      </c>
      <c r="F53">
        <f t="shared" si="31"/>
        <v>70.343375445416257</v>
      </c>
      <c r="G53">
        <f t="shared" si="31"/>
        <v>22.529964366699073</v>
      </c>
    </row>
    <row r="56" spans="1:7">
      <c r="A56" s="2" t="s">
        <v>47</v>
      </c>
    </row>
    <row r="57" spans="1:7">
      <c r="A57" t="s">
        <v>48</v>
      </c>
      <c r="B57">
        <f>B22/(4*0.0036)</f>
        <v>322.22222222222223</v>
      </c>
      <c r="C57">
        <f t="shared" ref="C57" si="32">C22/(4*0.0036)</f>
        <v>367.22222222222223</v>
      </c>
      <c r="F57">
        <f>F22/(4*0.0036)</f>
        <v>326.11111111111114</v>
      </c>
    </row>
    <row r="58" spans="1:7">
      <c r="A58" t="s">
        <v>49</v>
      </c>
      <c r="B58">
        <f>B23/(3*0.0036)</f>
        <v>1250</v>
      </c>
      <c r="C58">
        <f t="shared" ref="C58" si="33">C23/(3*0.0036)</f>
        <v>419.44444444444446</v>
      </c>
      <c r="F58">
        <f>F23/(3*0.0036)</f>
        <v>221.2962962962963</v>
      </c>
    </row>
    <row r="59" spans="1:7">
      <c r="A59" t="s">
        <v>50</v>
      </c>
      <c r="B59">
        <f>B24/(3.67*0.0036)</f>
        <v>118.07447774750227</v>
      </c>
      <c r="C59">
        <f t="shared" ref="C59" si="34">C24/(3.67*0.0036)</f>
        <v>124.8864668483197</v>
      </c>
      <c r="F59">
        <f>F24/(3.67*0.0036)</f>
        <v>121.10202845897669</v>
      </c>
    </row>
    <row r="60" spans="1:7">
      <c r="A60" t="s">
        <v>16</v>
      </c>
      <c r="B60">
        <f>SUM(B57:B59)</f>
        <v>1690.2966999697244</v>
      </c>
      <c r="C60">
        <f t="shared" ref="C60" si="35">SUM(C57:C59)</f>
        <v>911.55313351498648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Ruler="0" workbookViewId="0">
      <selection activeCell="K13" sqref="K13"/>
    </sheetView>
  </sheetViews>
  <sheetFormatPr baseColWidth="10" defaultRowHeight="15" x14ac:dyDescent="0"/>
  <cols>
    <col min="2" max="2" width="15.6640625" bestFit="1" customWidth="1"/>
    <col min="10" max="10" width="17.83203125" bestFit="1" customWidth="1"/>
  </cols>
  <sheetData>
    <row r="2" spans="2:11">
      <c r="B2" t="s">
        <v>30</v>
      </c>
      <c r="C2">
        <v>40.799999999999997</v>
      </c>
      <c r="J2" t="s">
        <v>35</v>
      </c>
      <c r="K2">
        <f>C6+Sheet1!G39</f>
        <v>621.4337272782318</v>
      </c>
    </row>
    <row r="3" spans="2:11">
      <c r="B3" t="s">
        <v>31</v>
      </c>
      <c r="C3">
        <v>15.2</v>
      </c>
      <c r="J3" t="s">
        <v>36</v>
      </c>
      <c r="K3">
        <f>F6+Sheet1!G40</f>
        <v>247.95205718401451</v>
      </c>
    </row>
    <row r="4" spans="2:11">
      <c r="B4" t="s">
        <v>33</v>
      </c>
      <c r="C4">
        <f>C3*C2</f>
        <v>620.16</v>
      </c>
    </row>
    <row r="5" spans="2:11">
      <c r="B5" t="s">
        <v>32</v>
      </c>
      <c r="C5">
        <v>0.94</v>
      </c>
      <c r="J5" t="s">
        <v>38</v>
      </c>
      <c r="K5">
        <f>5589</f>
        <v>5589</v>
      </c>
    </row>
    <row r="6" spans="2:11">
      <c r="B6" t="s">
        <v>33</v>
      </c>
      <c r="C6">
        <f>C5*C4</f>
        <v>582.95039999999995</v>
      </c>
      <c r="E6" t="s">
        <v>34</v>
      </c>
      <c r="F6">
        <f>C6*0.399</f>
        <v>232.59720959999999</v>
      </c>
      <c r="J6" t="s">
        <v>39</v>
      </c>
      <c r="K6">
        <f>K5/3.6</f>
        <v>1552.5</v>
      </c>
    </row>
    <row r="8" spans="2:11">
      <c r="J8" t="s">
        <v>37</v>
      </c>
      <c r="K8">
        <v>374</v>
      </c>
    </row>
    <row r="11" spans="2:11">
      <c r="J11" t="s">
        <v>40</v>
      </c>
      <c r="K11">
        <f>K6/K2</f>
        <v>2.4982551346217905</v>
      </c>
    </row>
    <row r="12" spans="2:11">
      <c r="J12" t="s">
        <v>41</v>
      </c>
      <c r="K12">
        <f>K8/K3</f>
        <v>1.5083561082231336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 generation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Prageeth Jayathissa</cp:lastModifiedBy>
  <dcterms:created xsi:type="dcterms:W3CDTF">2014-11-28T11:52:46Z</dcterms:created>
  <dcterms:modified xsi:type="dcterms:W3CDTF">2015-11-13T22:00:57Z</dcterms:modified>
</cp:coreProperties>
</file>