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illias\Documents\Teaching\EK1&amp;2\"/>
    </mc:Choice>
  </mc:AlternateContent>
  <bookViews>
    <workbookView xWindow="0" yWindow="0" windowWidth="25575" windowHeight="7380"/>
  </bookViews>
  <sheets>
    <sheet name="Heizwärme-Kältebedarf" sheetId="3" r:id="rId1"/>
    <sheet name="Warmwasserwärmebedarf " sheetId="1" r:id="rId2"/>
    <sheet name="Heiz-Kühlleistung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4" i="4" l="1"/>
  <c r="E50" i="4" s="1"/>
  <c r="E53" i="4"/>
  <c r="E50" i="3"/>
  <c r="F50" i="3"/>
  <c r="G50" i="3"/>
  <c r="H50" i="3"/>
  <c r="I50" i="3"/>
  <c r="J50" i="3"/>
  <c r="K50" i="3"/>
  <c r="L50" i="3"/>
  <c r="M50" i="3"/>
  <c r="N50" i="3"/>
  <c r="O50" i="3"/>
  <c r="D50" i="3"/>
  <c r="O54" i="3"/>
  <c r="N54" i="3"/>
  <c r="M54" i="3"/>
  <c r="L54" i="3"/>
  <c r="K54" i="3"/>
  <c r="J54" i="3"/>
  <c r="I54" i="3"/>
  <c r="H54" i="3"/>
  <c r="G54" i="3"/>
  <c r="F54" i="3"/>
  <c r="E54" i="3"/>
  <c r="O53" i="3"/>
  <c r="N53" i="3"/>
  <c r="M53" i="3"/>
  <c r="L53" i="3"/>
  <c r="K53" i="3"/>
  <c r="J53" i="3"/>
  <c r="I53" i="3"/>
  <c r="H53" i="3"/>
  <c r="G53" i="3"/>
  <c r="F53" i="3"/>
  <c r="E53" i="3"/>
  <c r="D53" i="3"/>
  <c r="D54" i="3"/>
  <c r="E24" i="4"/>
  <c r="E25" i="4"/>
  <c r="E96" i="4" l="1"/>
  <c r="E95" i="4"/>
  <c r="E94" i="4"/>
  <c r="E93" i="4"/>
  <c r="F5" i="4"/>
  <c r="E106" i="4"/>
  <c r="E103" i="4" s="1"/>
  <c r="E89" i="4"/>
  <c r="E88" i="4"/>
  <c r="D88" i="4"/>
  <c r="D87" i="4"/>
  <c r="E87" i="4" s="1"/>
  <c r="D86" i="4"/>
  <c r="D81" i="4" s="1"/>
  <c r="D80" i="4" s="1"/>
  <c r="E83" i="4"/>
  <c r="E82" i="4"/>
  <c r="E76" i="4"/>
  <c r="D76" i="4"/>
  <c r="D75" i="4"/>
  <c r="E69" i="4"/>
  <c r="E68" i="4"/>
  <c r="E67" i="4"/>
  <c r="E66" i="4"/>
  <c r="D65" i="4"/>
  <c r="E62" i="4"/>
  <c r="E75" i="4"/>
  <c r="E103" i="3"/>
  <c r="F103" i="3"/>
  <c r="G103" i="3"/>
  <c r="H103" i="3"/>
  <c r="I103" i="3"/>
  <c r="J103" i="3"/>
  <c r="K103" i="3"/>
  <c r="L103" i="3"/>
  <c r="M103" i="3"/>
  <c r="N103" i="3"/>
  <c r="O103" i="3"/>
  <c r="E46" i="4" l="1"/>
  <c r="E28" i="4"/>
  <c r="E86" i="4"/>
  <c r="E81" i="4" s="1"/>
  <c r="E80" i="4" s="1"/>
  <c r="D74" i="4"/>
  <c r="D59" i="4"/>
  <c r="D58" i="4" s="1"/>
  <c r="E65" i="4"/>
  <c r="E6" i="1"/>
  <c r="E13" i="1"/>
  <c r="D13" i="1"/>
  <c r="D6" i="1" s="1"/>
  <c r="D73" i="4" l="1"/>
  <c r="D6" i="4"/>
  <c r="E37" i="4"/>
  <c r="E59" i="4"/>
  <c r="E58" i="4" s="1"/>
  <c r="E74" i="4"/>
  <c r="E73" i="4" s="1"/>
  <c r="E45" i="4"/>
  <c r="E27" i="4"/>
  <c r="E83" i="3"/>
  <c r="F83" i="3" s="1"/>
  <c r="G83" i="3" s="1"/>
  <c r="H83" i="3" s="1"/>
  <c r="I83" i="3" s="1"/>
  <c r="J83" i="3" s="1"/>
  <c r="K83" i="3" s="1"/>
  <c r="L83" i="3" s="1"/>
  <c r="M83" i="3" s="1"/>
  <c r="N83" i="3" s="1"/>
  <c r="O83" i="3" s="1"/>
  <c r="E82" i="3"/>
  <c r="F82" i="3" s="1"/>
  <c r="G82" i="3" s="1"/>
  <c r="H82" i="3" s="1"/>
  <c r="I82" i="3" s="1"/>
  <c r="J82" i="3" s="1"/>
  <c r="K82" i="3" s="1"/>
  <c r="L82" i="3" s="1"/>
  <c r="M82" i="3" s="1"/>
  <c r="N82" i="3" s="1"/>
  <c r="O82" i="3" s="1"/>
  <c r="E89" i="3"/>
  <c r="F89" i="3" s="1"/>
  <c r="G89" i="3" s="1"/>
  <c r="H89" i="3" s="1"/>
  <c r="I89" i="3" s="1"/>
  <c r="J89" i="3" s="1"/>
  <c r="K89" i="3" s="1"/>
  <c r="L89" i="3" s="1"/>
  <c r="M89" i="3" s="1"/>
  <c r="N89" i="3" s="1"/>
  <c r="O89" i="3" s="1"/>
  <c r="E69" i="3"/>
  <c r="F69" i="3" s="1"/>
  <c r="G69" i="3" s="1"/>
  <c r="H69" i="3" s="1"/>
  <c r="I69" i="3" s="1"/>
  <c r="J69" i="3" s="1"/>
  <c r="K69" i="3" s="1"/>
  <c r="L69" i="3" s="1"/>
  <c r="M69" i="3" s="1"/>
  <c r="N69" i="3" s="1"/>
  <c r="O69" i="3" s="1"/>
  <c r="E68" i="3"/>
  <c r="F68" i="3" s="1"/>
  <c r="G68" i="3" s="1"/>
  <c r="H68" i="3" s="1"/>
  <c r="I68" i="3" s="1"/>
  <c r="J68" i="3" s="1"/>
  <c r="K68" i="3" s="1"/>
  <c r="L68" i="3" s="1"/>
  <c r="M68" i="3" s="1"/>
  <c r="N68" i="3" s="1"/>
  <c r="O68" i="3" s="1"/>
  <c r="D7" i="4" l="1"/>
  <c r="E44" i="4"/>
  <c r="E43" i="4"/>
  <c r="E42" i="4" s="1"/>
  <c r="D106" i="3"/>
  <c r="D103" i="3" s="1"/>
  <c r="P103" i="3" s="1"/>
  <c r="E36" i="4" l="1"/>
  <c r="E35" i="4" s="1"/>
  <c r="E26" i="4" s="1"/>
  <c r="E23" i="4" s="1"/>
  <c r="F23" i="4" s="1"/>
  <c r="D28" i="3"/>
  <c r="D10" i="3"/>
  <c r="D46" i="3"/>
  <c r="D99" i="3"/>
  <c r="E99" i="3" s="1"/>
  <c r="F99" i="3" s="1"/>
  <c r="G99" i="3" s="1"/>
  <c r="H99" i="3" s="1"/>
  <c r="I99" i="3" s="1"/>
  <c r="J99" i="3" s="1"/>
  <c r="K99" i="3" s="1"/>
  <c r="L99" i="3" s="1"/>
  <c r="M99" i="3" s="1"/>
  <c r="N99" i="3" s="1"/>
  <c r="O99" i="3" s="1"/>
  <c r="D98" i="3"/>
  <c r="E98" i="3" s="1"/>
  <c r="F98" i="3" s="1"/>
  <c r="G98" i="3" s="1"/>
  <c r="H98" i="3" s="1"/>
  <c r="I98" i="3" s="1"/>
  <c r="J98" i="3" s="1"/>
  <c r="K98" i="3" s="1"/>
  <c r="L98" i="3" s="1"/>
  <c r="M98" i="3" s="1"/>
  <c r="N98" i="3" s="1"/>
  <c r="O98" i="3" s="1"/>
  <c r="D97" i="3"/>
  <c r="E97" i="3" s="1"/>
  <c r="F97" i="3" s="1"/>
  <c r="G97" i="3" s="1"/>
  <c r="H97" i="3" s="1"/>
  <c r="I97" i="3" s="1"/>
  <c r="J97" i="3" s="1"/>
  <c r="K97" i="3" s="1"/>
  <c r="L97" i="3" s="1"/>
  <c r="M97" i="3" s="1"/>
  <c r="N97" i="3" s="1"/>
  <c r="O97" i="3" s="1"/>
  <c r="D62" i="3"/>
  <c r="E62" i="3" s="1"/>
  <c r="F62" i="3" s="1"/>
  <c r="G62" i="3" s="1"/>
  <c r="H62" i="3" s="1"/>
  <c r="I62" i="3" s="1"/>
  <c r="J62" i="3" s="1"/>
  <c r="K62" i="3" s="1"/>
  <c r="L62" i="3" s="1"/>
  <c r="M62" i="3" s="1"/>
  <c r="N62" i="3" s="1"/>
  <c r="O62" i="3" s="1"/>
  <c r="E60" i="3"/>
  <c r="F60" i="3" s="1"/>
  <c r="J60" i="3" s="1"/>
  <c r="K60" i="3" s="1"/>
  <c r="O60" i="3" s="1"/>
  <c r="E66" i="3"/>
  <c r="F66" i="3" s="1"/>
  <c r="G66" i="3" s="1"/>
  <c r="H66" i="3" s="1"/>
  <c r="I66" i="3" s="1"/>
  <c r="J66" i="3" s="1"/>
  <c r="K66" i="3" s="1"/>
  <c r="L66" i="3" s="1"/>
  <c r="M66" i="3" s="1"/>
  <c r="N66" i="3" s="1"/>
  <c r="O66" i="3" s="1"/>
  <c r="E67" i="3"/>
  <c r="E106" i="3" s="1"/>
  <c r="E5" i="1"/>
  <c r="D5" i="1"/>
  <c r="D5" i="4" l="1"/>
  <c r="F67" i="3"/>
  <c r="F106" i="3" s="1"/>
  <c r="F77" i="3"/>
  <c r="G77" i="3"/>
  <c r="K77" i="3"/>
  <c r="M77" i="3"/>
  <c r="N77" i="3"/>
  <c r="O77" i="3"/>
  <c r="D77" i="3"/>
  <c r="O76" i="3"/>
  <c r="O75" i="3"/>
  <c r="N76" i="3"/>
  <c r="M76" i="3"/>
  <c r="N75" i="3"/>
  <c r="L77" i="3"/>
  <c r="L76" i="3"/>
  <c r="K76" i="3"/>
  <c r="I77" i="3"/>
  <c r="J76" i="3"/>
  <c r="I76" i="3"/>
  <c r="J77" i="3"/>
  <c r="H77" i="3"/>
  <c r="H76" i="3"/>
  <c r="G76" i="3"/>
  <c r="F76" i="3"/>
  <c r="F75" i="3"/>
  <c r="F65" i="3"/>
  <c r="D96" i="3"/>
  <c r="E96" i="3" s="1"/>
  <c r="F96" i="3" s="1"/>
  <c r="G96" i="3" s="1"/>
  <c r="H96" i="3" s="1"/>
  <c r="I96" i="3" s="1"/>
  <c r="J96" i="3" s="1"/>
  <c r="K96" i="3" s="1"/>
  <c r="L96" i="3" s="1"/>
  <c r="M96" i="3" s="1"/>
  <c r="N96" i="3" s="1"/>
  <c r="O96" i="3" s="1"/>
  <c r="D95" i="3"/>
  <c r="E95" i="3" s="1"/>
  <c r="F95" i="3" s="1"/>
  <c r="G95" i="3" s="1"/>
  <c r="H95" i="3" s="1"/>
  <c r="I95" i="3" s="1"/>
  <c r="J95" i="3" s="1"/>
  <c r="K95" i="3" s="1"/>
  <c r="L95" i="3" s="1"/>
  <c r="M95" i="3" s="1"/>
  <c r="N95" i="3" s="1"/>
  <c r="O95" i="3" s="1"/>
  <c r="D94" i="3"/>
  <c r="E94" i="3" s="1"/>
  <c r="F94" i="3" s="1"/>
  <c r="G94" i="3" s="1"/>
  <c r="H94" i="3" s="1"/>
  <c r="I94" i="3" s="1"/>
  <c r="J94" i="3" s="1"/>
  <c r="K94" i="3" s="1"/>
  <c r="L94" i="3" s="1"/>
  <c r="M94" i="3" s="1"/>
  <c r="N94" i="3" s="1"/>
  <c r="O94" i="3" s="1"/>
  <c r="D88" i="3"/>
  <c r="E88" i="3" s="1"/>
  <c r="F88" i="3" s="1"/>
  <c r="G88" i="3" s="1"/>
  <c r="H88" i="3" s="1"/>
  <c r="I88" i="3" s="1"/>
  <c r="J88" i="3" s="1"/>
  <c r="K88" i="3" s="1"/>
  <c r="L88" i="3" s="1"/>
  <c r="M88" i="3" s="1"/>
  <c r="N88" i="3" s="1"/>
  <c r="O88" i="3" s="1"/>
  <c r="D87" i="3"/>
  <c r="E87" i="3" s="1"/>
  <c r="F87" i="3" s="1"/>
  <c r="G87" i="3" s="1"/>
  <c r="H87" i="3" s="1"/>
  <c r="I87" i="3" s="1"/>
  <c r="J87" i="3" s="1"/>
  <c r="K87" i="3" s="1"/>
  <c r="L87" i="3" s="1"/>
  <c r="M87" i="3" s="1"/>
  <c r="N87" i="3" s="1"/>
  <c r="O87" i="3" s="1"/>
  <c r="E76" i="3"/>
  <c r="D76" i="3"/>
  <c r="E75" i="3"/>
  <c r="D75" i="3"/>
  <c r="E65" i="3"/>
  <c r="D65" i="3"/>
  <c r="F59" i="3" l="1"/>
  <c r="F58" i="3" s="1"/>
  <c r="F24" i="3" s="1"/>
  <c r="D59" i="3"/>
  <c r="D58" i="3" s="1"/>
  <c r="H86" i="3"/>
  <c r="H81" i="3" s="1"/>
  <c r="H80" i="3" s="1"/>
  <c r="O86" i="3"/>
  <c r="O81" i="3" s="1"/>
  <c r="O80" i="3" s="1"/>
  <c r="F86" i="3"/>
  <c r="F81" i="3" s="1"/>
  <c r="F80" i="3" s="1"/>
  <c r="F37" i="3" s="1"/>
  <c r="N86" i="3"/>
  <c r="N81" i="3" s="1"/>
  <c r="N80" i="3" s="1"/>
  <c r="M86" i="3"/>
  <c r="M81" i="3" s="1"/>
  <c r="M80" i="3" s="1"/>
  <c r="L86" i="3"/>
  <c r="L81" i="3" s="1"/>
  <c r="L80" i="3" s="1"/>
  <c r="F28" i="3"/>
  <c r="G67" i="3"/>
  <c r="G106" i="3" s="1"/>
  <c r="G86" i="3"/>
  <c r="G81" i="3" s="1"/>
  <c r="G80" i="3" s="1"/>
  <c r="K86" i="3"/>
  <c r="K81" i="3" s="1"/>
  <c r="K80" i="3" s="1"/>
  <c r="D86" i="3"/>
  <c r="D81" i="3" s="1"/>
  <c r="D80" i="3" s="1"/>
  <c r="D37" i="3" s="1"/>
  <c r="J86" i="3"/>
  <c r="J81" i="3" s="1"/>
  <c r="J80" i="3" s="1"/>
  <c r="E86" i="3"/>
  <c r="E81" i="3" s="1"/>
  <c r="K93" i="3"/>
  <c r="K27" i="3" s="1"/>
  <c r="F93" i="3"/>
  <c r="F27" i="3" s="1"/>
  <c r="H93" i="3"/>
  <c r="H27" i="3" s="1"/>
  <c r="I86" i="3"/>
  <c r="I81" i="3" s="1"/>
  <c r="I80" i="3" s="1"/>
  <c r="O93" i="3"/>
  <c r="O27" i="3" s="1"/>
  <c r="L93" i="3"/>
  <c r="L27" i="3" s="1"/>
  <c r="N93" i="3"/>
  <c r="N27" i="3" s="1"/>
  <c r="E28" i="3"/>
  <c r="G93" i="3"/>
  <c r="G27" i="3" s="1"/>
  <c r="M93" i="3"/>
  <c r="M27" i="3" s="1"/>
  <c r="I93" i="3"/>
  <c r="I27" i="3" s="1"/>
  <c r="J93" i="3"/>
  <c r="J27" i="3" s="1"/>
  <c r="D93" i="3"/>
  <c r="E59" i="3"/>
  <c r="E77" i="3"/>
  <c r="E93" i="3"/>
  <c r="E27" i="3" s="1"/>
  <c r="D19" i="3" l="1"/>
  <c r="F19" i="3"/>
  <c r="F74" i="3"/>
  <c r="F73" i="3" s="1"/>
  <c r="F25" i="3" s="1"/>
  <c r="H74" i="3"/>
  <c r="H73" i="3" s="1"/>
  <c r="H25" i="3" s="1"/>
  <c r="O74" i="3"/>
  <c r="O73" i="3" s="1"/>
  <c r="G74" i="3"/>
  <c r="G73" i="3" s="1"/>
  <c r="G25" i="3" s="1"/>
  <c r="L74" i="3"/>
  <c r="L73" i="3" s="1"/>
  <c r="L25" i="3" s="1"/>
  <c r="D27" i="3"/>
  <c r="P93" i="3"/>
  <c r="I74" i="3"/>
  <c r="I73" i="3" s="1"/>
  <c r="I25" i="3" s="1"/>
  <c r="D24" i="3"/>
  <c r="M74" i="3"/>
  <c r="M73" i="3" s="1"/>
  <c r="D74" i="3"/>
  <c r="D73" i="3" s="1"/>
  <c r="K74" i="3"/>
  <c r="K73" i="3" s="1"/>
  <c r="J74" i="3"/>
  <c r="J73" i="3" s="1"/>
  <c r="J25" i="3" s="1"/>
  <c r="N74" i="3"/>
  <c r="N73" i="3" s="1"/>
  <c r="F43" i="3"/>
  <c r="G45" i="3"/>
  <c r="K9" i="3"/>
  <c r="E46" i="3"/>
  <c r="D9" i="3"/>
  <c r="O9" i="3"/>
  <c r="J45" i="3"/>
  <c r="I45" i="3"/>
  <c r="H45" i="3"/>
  <c r="N45" i="3"/>
  <c r="N9" i="3"/>
  <c r="L9" i="3"/>
  <c r="H44" i="3"/>
  <c r="D6" i="3"/>
  <c r="M45" i="3"/>
  <c r="F45" i="3"/>
  <c r="F10" i="3"/>
  <c r="F46" i="3"/>
  <c r="G28" i="3"/>
  <c r="H67" i="3"/>
  <c r="H106" i="3" s="1"/>
  <c r="G65" i="3"/>
  <c r="G37" i="3" s="1"/>
  <c r="H9" i="3"/>
  <c r="D43" i="3"/>
  <c r="E10" i="3"/>
  <c r="L45" i="3"/>
  <c r="K45" i="3"/>
  <c r="F9" i="3"/>
  <c r="O45" i="3"/>
  <c r="G9" i="3"/>
  <c r="M9" i="3"/>
  <c r="O44" i="3"/>
  <c r="D45" i="3"/>
  <c r="J9" i="3"/>
  <c r="I9" i="3"/>
  <c r="F6" i="3"/>
  <c r="E80" i="3"/>
  <c r="E37" i="3" s="1"/>
  <c r="E58" i="3"/>
  <c r="E24" i="3" s="1"/>
  <c r="E45" i="3"/>
  <c r="E9" i="3"/>
  <c r="H7" i="3" l="1"/>
  <c r="O7" i="3"/>
  <c r="O25" i="3"/>
  <c r="K44" i="3"/>
  <c r="K25" i="3"/>
  <c r="M44" i="3"/>
  <c r="M25" i="3"/>
  <c r="N44" i="3"/>
  <c r="N25" i="3"/>
  <c r="G19" i="3"/>
  <c r="E19" i="3"/>
  <c r="N7" i="3"/>
  <c r="F7" i="3"/>
  <c r="I7" i="3"/>
  <c r="I44" i="3"/>
  <c r="L7" i="3"/>
  <c r="L44" i="3"/>
  <c r="F44" i="3"/>
  <c r="F42" i="3" s="1"/>
  <c r="M7" i="3"/>
  <c r="J44" i="3"/>
  <c r="G7" i="3"/>
  <c r="K7" i="3"/>
  <c r="G44" i="3"/>
  <c r="J7" i="3"/>
  <c r="G59" i="3"/>
  <c r="G58" i="3" s="1"/>
  <c r="G24" i="3" s="1"/>
  <c r="D25" i="3"/>
  <c r="D44" i="3"/>
  <c r="D42" i="3" s="1"/>
  <c r="D7" i="3"/>
  <c r="G10" i="3"/>
  <c r="G46" i="3"/>
  <c r="H28" i="3"/>
  <c r="I67" i="3"/>
  <c r="I106" i="3" s="1"/>
  <c r="H65" i="3"/>
  <c r="H37" i="3" s="1"/>
  <c r="P10" i="3"/>
  <c r="E6" i="3"/>
  <c r="E43" i="3"/>
  <c r="E74" i="3"/>
  <c r="H19" i="3" l="1"/>
  <c r="D18" i="3"/>
  <c r="D17" i="3" s="1"/>
  <c r="D8" i="3" s="1"/>
  <c r="D5" i="3" s="1"/>
  <c r="D36" i="3"/>
  <c r="D35" i="3" s="1"/>
  <c r="D26" i="3" s="1"/>
  <c r="D23" i="3" s="1"/>
  <c r="F18" i="3"/>
  <c r="F17" i="3" s="1"/>
  <c r="F8" i="3" s="1"/>
  <c r="F36" i="3"/>
  <c r="F35" i="3" s="1"/>
  <c r="F26" i="3" s="1"/>
  <c r="F23" i="3" s="1"/>
  <c r="G43" i="3"/>
  <c r="G42" i="3" s="1"/>
  <c r="G6" i="3"/>
  <c r="H59" i="3"/>
  <c r="H58" i="3" s="1"/>
  <c r="H46" i="3"/>
  <c r="I28" i="3"/>
  <c r="J67" i="3"/>
  <c r="J106" i="3" s="1"/>
  <c r="I65" i="3"/>
  <c r="I37" i="3" s="1"/>
  <c r="H10" i="3"/>
  <c r="E73" i="3"/>
  <c r="E25" i="3" s="1"/>
  <c r="H43" i="3" l="1"/>
  <c r="H42" i="3" s="1"/>
  <c r="H24" i="3"/>
  <c r="I19" i="3"/>
  <c r="G18" i="3"/>
  <c r="G17" i="3" s="1"/>
  <c r="G8" i="3" s="1"/>
  <c r="G36" i="3"/>
  <c r="G35" i="3" s="1"/>
  <c r="G26" i="3" s="1"/>
  <c r="G23" i="3" s="1"/>
  <c r="H6" i="3"/>
  <c r="P73" i="3"/>
  <c r="I59" i="3"/>
  <c r="I58" i="3" s="1"/>
  <c r="I24" i="3" s="1"/>
  <c r="I46" i="3"/>
  <c r="J28" i="3"/>
  <c r="K67" i="3"/>
  <c r="K106" i="3" s="1"/>
  <c r="J65" i="3"/>
  <c r="J37" i="3" s="1"/>
  <c r="I10" i="3"/>
  <c r="E44" i="3"/>
  <c r="E7" i="3"/>
  <c r="P8" i="3" s="1"/>
  <c r="J19" i="3" l="1"/>
  <c r="H36" i="3"/>
  <c r="H35" i="3" s="1"/>
  <c r="H26" i="3" s="1"/>
  <c r="H23" i="3" s="1"/>
  <c r="H18" i="3"/>
  <c r="H17" i="3" s="1"/>
  <c r="H8" i="3" s="1"/>
  <c r="I43" i="3"/>
  <c r="I42" i="3" s="1"/>
  <c r="I6" i="3"/>
  <c r="J59" i="3"/>
  <c r="J58" i="3" s="1"/>
  <c r="J46" i="3"/>
  <c r="K28" i="3"/>
  <c r="L67" i="3"/>
  <c r="L106" i="3" s="1"/>
  <c r="K65" i="3"/>
  <c r="K37" i="3" s="1"/>
  <c r="J10" i="3"/>
  <c r="E42" i="3"/>
  <c r="J6" i="3" l="1"/>
  <c r="J24" i="3"/>
  <c r="K19" i="3"/>
  <c r="E18" i="3"/>
  <c r="E17" i="3" s="1"/>
  <c r="E8" i="3" s="1"/>
  <c r="E36" i="3"/>
  <c r="E35" i="3" s="1"/>
  <c r="E26" i="3" s="1"/>
  <c r="E23" i="3" s="1"/>
  <c r="I36" i="3"/>
  <c r="I35" i="3" s="1"/>
  <c r="I26" i="3" s="1"/>
  <c r="I23" i="3" s="1"/>
  <c r="I18" i="3"/>
  <c r="I17" i="3" s="1"/>
  <c r="I8" i="3" s="1"/>
  <c r="J43" i="3"/>
  <c r="J42" i="3" s="1"/>
  <c r="K59" i="3"/>
  <c r="K58" i="3" s="1"/>
  <c r="K46" i="3"/>
  <c r="L28" i="3"/>
  <c r="M67" i="3"/>
  <c r="M106" i="3" s="1"/>
  <c r="L65" i="3"/>
  <c r="L37" i="3" s="1"/>
  <c r="K10" i="3"/>
  <c r="K6" i="3" l="1"/>
  <c r="K24" i="3"/>
  <c r="L19" i="3"/>
  <c r="K43" i="3"/>
  <c r="J36" i="3"/>
  <c r="J35" i="3" s="1"/>
  <c r="J26" i="3" s="1"/>
  <c r="J23" i="3" s="1"/>
  <c r="J18" i="3"/>
  <c r="J17" i="3" s="1"/>
  <c r="J8" i="3" s="1"/>
  <c r="L59" i="3"/>
  <c r="L58" i="3" s="1"/>
  <c r="K42" i="3"/>
  <c r="L46" i="3"/>
  <c r="M28" i="3"/>
  <c r="N67" i="3"/>
  <c r="N106" i="3" s="1"/>
  <c r="M65" i="3"/>
  <c r="M37" i="3" s="1"/>
  <c r="L10" i="3"/>
  <c r="L43" i="3" l="1"/>
  <c r="L24" i="3"/>
  <c r="M19" i="3"/>
  <c r="K36" i="3"/>
  <c r="K35" i="3" s="1"/>
  <c r="K26" i="3" s="1"/>
  <c r="K23" i="3" s="1"/>
  <c r="K18" i="3"/>
  <c r="K17" i="3" s="1"/>
  <c r="K8" i="3" s="1"/>
  <c r="L6" i="3"/>
  <c r="M59" i="3"/>
  <c r="M58" i="3" s="1"/>
  <c r="M24" i="3" s="1"/>
  <c r="L42" i="3"/>
  <c r="M46" i="3"/>
  <c r="N28" i="3"/>
  <c r="O67" i="3"/>
  <c r="O106" i="3" s="1"/>
  <c r="N65" i="3"/>
  <c r="N37" i="3" s="1"/>
  <c r="M10" i="3"/>
  <c r="N19" i="3" l="1"/>
  <c r="L36" i="3"/>
  <c r="L35" i="3" s="1"/>
  <c r="L26" i="3" s="1"/>
  <c r="L23" i="3" s="1"/>
  <c r="L18" i="3"/>
  <c r="L17" i="3" s="1"/>
  <c r="L8" i="3" s="1"/>
  <c r="N59" i="3"/>
  <c r="N58" i="3" s="1"/>
  <c r="M6" i="3"/>
  <c r="M43" i="3"/>
  <c r="M42" i="3"/>
  <c r="N46" i="3"/>
  <c r="N10" i="3"/>
  <c r="O28" i="3"/>
  <c r="O65" i="3"/>
  <c r="O37" i="3" s="1"/>
  <c r="N43" i="3" l="1"/>
  <c r="N42" i="3" s="1"/>
  <c r="N24" i="3"/>
  <c r="O19" i="3"/>
  <c r="M18" i="3"/>
  <c r="M17" i="3" s="1"/>
  <c r="M8" i="3" s="1"/>
  <c r="M36" i="3"/>
  <c r="M35" i="3" s="1"/>
  <c r="M26" i="3" s="1"/>
  <c r="M23" i="3" s="1"/>
  <c r="N6" i="3"/>
  <c r="O59" i="3"/>
  <c r="O58" i="3" s="1"/>
  <c r="O46" i="3"/>
  <c r="O10" i="3"/>
  <c r="O6" i="3" l="1"/>
  <c r="P7" i="3" s="1"/>
  <c r="O24" i="3"/>
  <c r="N18" i="3"/>
  <c r="N17" i="3" s="1"/>
  <c r="N8" i="3" s="1"/>
  <c r="N36" i="3"/>
  <c r="N35" i="3" s="1"/>
  <c r="N26" i="3" s="1"/>
  <c r="N23" i="3" s="1"/>
  <c r="O43" i="3"/>
  <c r="P58" i="3"/>
  <c r="O42" i="3"/>
  <c r="O36" i="3" l="1"/>
  <c r="O35" i="3" s="1"/>
  <c r="O26" i="3" s="1"/>
  <c r="O23" i="3" s="1"/>
  <c r="O18" i="3"/>
  <c r="O17" i="3" s="1"/>
  <c r="O8" i="3" s="1"/>
  <c r="F5" i="3" l="1"/>
  <c r="P9" i="3" l="1"/>
  <c r="E5" i="3"/>
  <c r="G5" i="3"/>
  <c r="H5" i="3" l="1"/>
  <c r="I5" i="3" l="1"/>
  <c r="J5" i="3" l="1"/>
  <c r="K5" i="3" l="1"/>
  <c r="L5" i="3" l="1"/>
  <c r="M5" i="3" l="1"/>
  <c r="O5" i="3" l="1"/>
  <c r="N5" i="3"/>
  <c r="P6" i="3" l="1"/>
  <c r="P5" i="3"/>
</calcChain>
</file>

<file path=xl/sharedStrings.xml><?xml version="1.0" encoding="utf-8"?>
<sst xmlns="http://schemas.openxmlformats.org/spreadsheetml/2006/main" count="77" uniqueCount="47">
  <si>
    <t>Dach+Wand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</si>
  <si>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</si>
  <si>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</si>
  <si>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</si>
  <si>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</si>
  <si>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</si>
  <si>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</si>
  <si>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</si>
  <si>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</si>
  <si>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</si>
  <si>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</si>
  <si>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</si>
  <si>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</si>
  <si>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Total</t>
  </si>
  <si>
    <t>m3/h (Richtwert pro Raumnutzung*Nettogeschossfläche))</t>
  </si>
  <si>
    <t>natürliche Lüftung: 0 (Richtwert pro Raumnutzung)</t>
  </si>
  <si>
    <t>(Richtwert pro Raumnutzung*Nettogeschossfläche)</t>
  </si>
  <si>
    <t>(Richtwert pro Raumnutzung*Tage)</t>
  </si>
  <si>
    <t>Dach+Wand über Fläche gemittelt</t>
  </si>
  <si>
    <t>Pro Monat</t>
  </si>
  <si>
    <t>Pro Jahr</t>
  </si>
  <si>
    <t>liter (Richtwert pro Raumnutzung)</t>
  </si>
  <si>
    <t>kg/liter</t>
  </si>
  <si>
    <t>Warmwasserwärmebedarf</t>
  </si>
  <si>
    <t>m3/h</t>
  </si>
  <si>
    <r>
      <t>Über alle Himmelsrichtungen mit Glasfläche gemittelt (</t>
    </r>
    <r>
      <rPr>
        <sz val="11"/>
        <color theme="1"/>
        <rFont val="Calibri"/>
        <family val="2"/>
      </rPr>
      <t>≈</t>
    </r>
    <r>
      <rPr>
        <sz val="9.35"/>
        <color theme="1"/>
        <rFont val="Calibri"/>
        <family val="2"/>
      </rPr>
      <t>Westen)</t>
    </r>
  </si>
  <si>
    <t>Heizwärme-/Kältebedarf</t>
  </si>
  <si>
    <t>gemäss Gebäude</t>
  </si>
  <si>
    <t xml:space="preserve">Sommerschutz </t>
  </si>
  <si>
    <t>Für 'Richtwert' siehe z.Bsp. SIA 2040!</t>
  </si>
  <si>
    <t>Klimadaten (z.Bsp. SIA 2015)</t>
  </si>
  <si>
    <t>Richtwert pro Raumnutzung oder Temperatur nach Komfortanspruch</t>
  </si>
  <si>
    <t>identisch mit Zeile 59</t>
  </si>
  <si>
    <t>identisch mit Zeile 60</t>
  </si>
  <si>
    <t>Richtwerte pro Raumnutzung</t>
  </si>
  <si>
    <t>Heiz-/Kühlleistungsbedarf</t>
  </si>
  <si>
    <t>Wintertag</t>
  </si>
  <si>
    <t>Sommertag</t>
  </si>
  <si>
    <t>Für die Heizlastberechung werden interne und solare Gewinne und damit auch der Ausnutzungsgrad für Wärmegewinne/verluste vernachlässigt. D.h. die Heizlast ergibt sich aus Transmissions- und Lüftungswärmeverluste.</t>
  </si>
  <si>
    <t>W</t>
  </si>
  <si>
    <t>kW</t>
  </si>
  <si>
    <t>Monatliche Globalstrahlung</t>
  </si>
  <si>
    <t>Heizlastberechung [kW]</t>
  </si>
  <si>
    <t>Kühllastberechung [kW]</t>
  </si>
  <si>
    <t>Zur Berechnung der Heiz-/Kühllast auf '1' setzen</t>
  </si>
  <si>
    <t>Zur Berechnen der Heiz-/Kühllast mit G in kW/m2</t>
  </si>
  <si>
    <t>gemittelt über alle Bauteile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</si>
</sst>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E+00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1"/>
      <name val="Calibri"/>
      <family val="2"/>
    </font>
    <font>
      <sz val="9.35"/>
      <color theme="1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 applyFill="1"/>
    <xf numFmtId="0" fontId="1" fillId="4" borderId="2" xfId="0" applyFont="1" applyFill="1" applyBorder="1"/>
    <xf numFmtId="165" fontId="2" fillId="4" borderId="2" xfId="0" applyNumberFormat="1" applyFont="1" applyFill="1" applyBorder="1"/>
    <xf numFmtId="165" fontId="1" fillId="4" borderId="2" xfId="0" applyNumberFormat="1" applyFont="1" applyFill="1" applyBorder="1"/>
    <xf numFmtId="0" fontId="1" fillId="2" borderId="2" xfId="0" applyFont="1" applyFill="1" applyBorder="1"/>
    <xf numFmtId="165" fontId="2" fillId="2" borderId="2" xfId="0" applyNumberFormat="1" applyFont="1" applyFill="1" applyBorder="1"/>
    <xf numFmtId="1" fontId="1" fillId="2" borderId="2" xfId="0" applyNumberFormat="1" applyFont="1" applyFill="1" applyBorder="1"/>
    <xf numFmtId="2" fontId="1" fillId="2" borderId="2" xfId="0" applyNumberFormat="1" applyFont="1" applyFill="1" applyBorder="1"/>
    <xf numFmtId="0" fontId="1" fillId="5" borderId="2" xfId="0" applyFont="1" applyFill="1" applyBorder="1"/>
    <xf numFmtId="165" fontId="2" fillId="5" borderId="2" xfId="0" applyNumberFormat="1" applyFont="1" applyFill="1" applyBorder="1"/>
    <xf numFmtId="1" fontId="1" fillId="5" borderId="2" xfId="0" applyNumberFormat="1" applyFont="1" applyFill="1" applyBorder="1"/>
    <xf numFmtId="2" fontId="1" fillId="5" borderId="2" xfId="0" applyNumberFormat="1" applyFont="1" applyFill="1" applyBorder="1"/>
    <xf numFmtId="0" fontId="1" fillId="6" borderId="2" xfId="0" applyFont="1" applyFill="1" applyBorder="1"/>
    <xf numFmtId="165" fontId="2" fillId="6" borderId="2" xfId="0" applyNumberFormat="1" applyFont="1" applyFill="1" applyBorder="1"/>
    <xf numFmtId="0" fontId="1" fillId="3" borderId="2" xfId="0" applyFont="1" applyFill="1" applyBorder="1"/>
    <xf numFmtId="165" fontId="2" fillId="3" borderId="2" xfId="0" applyNumberFormat="1" applyFont="1" applyFill="1" applyBorder="1"/>
    <xf numFmtId="1" fontId="1" fillId="3" borderId="2" xfId="0" applyNumberFormat="1" applyFont="1" applyFill="1" applyBorder="1"/>
    <xf numFmtId="0" fontId="0" fillId="7" borderId="4" xfId="0" applyFill="1" applyBorder="1"/>
    <xf numFmtId="0" fontId="0" fillId="7" borderId="5" xfId="0" applyFill="1" applyBorder="1"/>
    <xf numFmtId="0" fontId="1" fillId="7" borderId="5" xfId="0" applyFont="1" applyFill="1" applyBorder="1"/>
    <xf numFmtId="0" fontId="0" fillId="7" borderId="6" xfId="0" applyFill="1" applyBorder="1"/>
    <xf numFmtId="0" fontId="0" fillId="7" borderId="7" xfId="0" applyFill="1" applyBorder="1"/>
    <xf numFmtId="0" fontId="0" fillId="4" borderId="0" xfId="0" applyFill="1" applyBorder="1"/>
    <xf numFmtId="0" fontId="0" fillId="7" borderId="8" xfId="0" applyFill="1" applyBorder="1"/>
    <xf numFmtId="0" fontId="1" fillId="4" borderId="0" xfId="0" applyFont="1" applyFill="1" applyBorder="1"/>
    <xf numFmtId="165" fontId="2" fillId="4" borderId="0" xfId="0" applyNumberFormat="1" applyFont="1" applyFill="1" applyBorder="1"/>
    <xf numFmtId="165" fontId="0" fillId="7" borderId="8" xfId="0" applyNumberFormat="1" applyFill="1" applyBorder="1"/>
    <xf numFmtId="165" fontId="1" fillId="4" borderId="0" xfId="0" applyNumberFormat="1" applyFont="1" applyFill="1" applyBorder="1"/>
    <xf numFmtId="0" fontId="0" fillId="2" borderId="0" xfId="0" applyFill="1" applyBorder="1"/>
    <xf numFmtId="0" fontId="1" fillId="2" borderId="0" xfId="0" applyFont="1" applyFill="1" applyBorder="1"/>
    <xf numFmtId="165" fontId="2" fillId="2" borderId="0" xfId="0" applyNumberFormat="1" applyFont="1" applyFill="1" applyBorder="1"/>
    <xf numFmtId="1" fontId="1" fillId="2" borderId="0" xfId="0" applyNumberFormat="1" applyFont="1" applyFill="1" applyBorder="1"/>
    <xf numFmtId="0" fontId="0" fillId="5" borderId="0" xfId="0" applyFill="1" applyBorder="1"/>
    <xf numFmtId="0" fontId="1" fillId="5" borderId="0" xfId="0" applyFont="1" applyFill="1" applyBorder="1"/>
    <xf numFmtId="165" fontId="2" fillId="5" borderId="0" xfId="0" applyNumberFormat="1" applyFont="1" applyFill="1" applyBorder="1"/>
    <xf numFmtId="1" fontId="1" fillId="5" borderId="0" xfId="0" applyNumberFormat="1" applyFont="1" applyFill="1" applyBorder="1"/>
    <xf numFmtId="2" fontId="1" fillId="5" borderId="0" xfId="0" applyNumberFormat="1" applyFont="1" applyFill="1" applyBorder="1"/>
    <xf numFmtId="0" fontId="0" fillId="6" borderId="0" xfId="0" applyFill="1" applyBorder="1"/>
    <xf numFmtId="0" fontId="1" fillId="6" borderId="0" xfId="0" applyFont="1" applyFill="1" applyBorder="1"/>
    <xf numFmtId="165" fontId="2" fillId="6" borderId="0" xfId="0" applyNumberFormat="1" applyFont="1" applyFill="1" applyBorder="1"/>
    <xf numFmtId="0" fontId="0" fillId="3" borderId="0" xfId="0" applyFill="1" applyBorder="1"/>
    <xf numFmtId="0" fontId="1" fillId="3" borderId="0" xfId="0" applyFont="1" applyFill="1" applyBorder="1"/>
    <xf numFmtId="0" fontId="0" fillId="7" borderId="9" xfId="0" applyFill="1" applyBorder="1"/>
    <xf numFmtId="0" fontId="0" fillId="7" borderId="10" xfId="0" applyFill="1" applyBorder="1"/>
    <xf numFmtId="0" fontId="1" fillId="7" borderId="10" xfId="0" applyFont="1" applyFill="1" applyBorder="1"/>
    <xf numFmtId="0" fontId="0" fillId="7" borderId="11" xfId="0" applyFill="1" applyBorder="1"/>
    <xf numFmtId="2" fontId="0" fillId="0" borderId="0" xfId="0" applyNumberFormat="1"/>
    <xf numFmtId="165" fontId="1" fillId="4" borderId="12" xfId="0" applyNumberFormat="1" applyFont="1" applyFill="1" applyBorder="1"/>
    <xf numFmtId="2" fontId="1" fillId="4" borderId="0" xfId="0" applyNumberFormat="1" applyFont="1" applyFill="1" applyBorder="1"/>
    <xf numFmtId="2" fontId="1" fillId="4" borderId="2" xfId="0" applyNumberFormat="1" applyFont="1" applyFill="1" applyBorder="1"/>
    <xf numFmtId="2" fontId="2" fillId="4" borderId="12" xfId="0" applyNumberFormat="1" applyFont="1" applyFill="1" applyBorder="1"/>
    <xf numFmtId="0" fontId="1" fillId="2" borderId="12" xfId="0" applyFont="1" applyFill="1" applyBorder="1"/>
    <xf numFmtId="0" fontId="1" fillId="4" borderId="0" xfId="0" applyNumberFormat="1" applyFont="1" applyFill="1" applyBorder="1"/>
    <xf numFmtId="0" fontId="1" fillId="4" borderId="2" xfId="0" applyNumberFormat="1" applyFont="1" applyFill="1" applyBorder="1"/>
    <xf numFmtId="164" fontId="1" fillId="3" borderId="2" xfId="0" applyNumberFormat="1" applyFont="1" applyFill="1" applyBorder="1"/>
    <xf numFmtId="165" fontId="0" fillId="0" borderId="0" xfId="0" applyNumberFormat="1"/>
    <xf numFmtId="1" fontId="1" fillId="4" borderId="0" xfId="0" applyNumberFormat="1" applyFont="1" applyFill="1" applyBorder="1"/>
    <xf numFmtId="0" fontId="0" fillId="4" borderId="0" xfId="0" applyFill="1" applyBorder="1" applyAlignment="1">
      <alignment horizontal="right"/>
    </xf>
    <xf numFmtId="0" fontId="3" fillId="7" borderId="5" xfId="0" applyFont="1" applyFill="1" applyBorder="1" applyAlignment="1">
      <alignment horizontal="left" wrapText="1"/>
    </xf>
    <xf numFmtId="0" fontId="1" fillId="4" borderId="3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right" indent="1"/>
    </xf>
    <xf numFmtId="0" fontId="1" fillId="4" borderId="12" xfId="0" applyFont="1" applyFill="1" applyBorder="1"/>
    <xf numFmtId="0" fontId="2" fillId="4" borderId="12" xfId="0" applyFont="1" applyFill="1" applyBorder="1"/>
    <xf numFmtId="0" fontId="1" fillId="4" borderId="12" xfId="0" applyNumberFormat="1" applyFont="1" applyFill="1" applyBorder="1"/>
    <xf numFmtId="2" fontId="1" fillId="4" borderId="12" xfId="0" applyNumberFormat="1" applyFont="1" applyFill="1" applyBorder="1"/>
    <xf numFmtId="1" fontId="1" fillId="4" borderId="12" xfId="0" applyNumberFormat="1" applyFont="1" applyFill="1" applyBorder="1"/>
    <xf numFmtId="2" fontId="2" fillId="4" borderId="0" xfId="0" applyNumberFormat="1" applyFont="1" applyFill="1" applyBorder="1"/>
    <xf numFmtId="2" fontId="2" fillId="4" borderId="2" xfId="0" applyNumberFormat="1" applyFont="1" applyFill="1" applyBorder="1"/>
    <xf numFmtId="165" fontId="2" fillId="4" borderId="12" xfId="0" applyNumberFormat="1" applyFont="1" applyFill="1" applyBorder="1"/>
    <xf numFmtId="2" fontId="0" fillId="4" borderId="0" xfId="0" applyNumberFormat="1" applyFill="1" applyBorder="1"/>
    <xf numFmtId="2" fontId="1" fillId="2" borderId="0" xfId="0" applyNumberFormat="1" applyFont="1" applyFill="1" applyBorder="1"/>
    <xf numFmtId="0" fontId="1" fillId="6" borderId="12" xfId="0" applyFont="1" applyFill="1" applyBorder="1"/>
    <xf numFmtId="1" fontId="1" fillId="3" borderId="12" xfId="0" applyNumberFormat="1" applyFont="1" applyFill="1" applyBorder="1"/>
    <xf numFmtId="164" fontId="1" fillId="3" borderId="12" xfId="0" applyNumberFormat="1" applyFont="1" applyFill="1" applyBorder="1"/>
    <xf numFmtId="0" fontId="1" fillId="3" borderId="12" xfId="0" applyFont="1" applyFill="1" applyBorder="1"/>
    <xf numFmtId="0" fontId="1" fillId="4" borderId="0" xfId="0" applyFont="1" applyFill="1" applyBorder="1" applyAlignment="1">
      <alignment horizontal="left" indent="1"/>
    </xf>
    <xf numFmtId="0" fontId="0" fillId="7" borderId="0" xfId="0" applyFill="1" applyBorder="1"/>
    <xf numFmtId="0" fontId="0" fillId="7" borderId="0" xfId="0" applyFill="1"/>
    <xf numFmtId="0" fontId="1" fillId="7" borderId="1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165" fontId="2" fillId="3" borderId="12" xfId="0" applyNumberFormat="1" applyFont="1" applyFill="1" applyBorder="1"/>
    <xf numFmtId="0" fontId="1" fillId="7" borderId="0" xfId="0" applyFont="1" applyFill="1" applyBorder="1" applyAlignment="1">
      <alignment horizontal="center"/>
    </xf>
    <xf numFmtId="0" fontId="0" fillId="0" borderId="6" xfId="0" applyBorder="1"/>
    <xf numFmtId="164" fontId="1" fillId="2" borderId="0" xfId="0" applyNumberFormat="1" applyFont="1" applyFill="1" applyBorder="1"/>
    <xf numFmtId="164" fontId="1" fillId="2" borderId="2" xfId="0" applyNumberFormat="1" applyFont="1" applyFill="1" applyBorder="1"/>
    <xf numFmtId="0" fontId="6" fillId="0" borderId="0" xfId="0" applyFont="1"/>
    <xf numFmtId="0" fontId="7" fillId="7" borderId="8" xfId="0" applyFont="1" applyFill="1" applyBorder="1" applyAlignment="1">
      <alignment horizontal="left"/>
    </xf>
    <xf numFmtId="164" fontId="6" fillId="7" borderId="8" xfId="0" applyNumberFormat="1" applyFont="1" applyFill="1" applyBorder="1" applyAlignment="1">
      <alignment horizontal="left"/>
    </xf>
    <xf numFmtId="0" fontId="0" fillId="7" borderId="13" xfId="0" applyFill="1" applyBorder="1" applyAlignment="1">
      <alignment horizontal="left" vertical="center" wrapText="1"/>
    </xf>
    <xf numFmtId="1" fontId="1" fillId="4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454137922944784E-4"/>
          <c:y val="5.3711912998820506E-2"/>
          <c:w val="0.91978482974863041"/>
          <c:h val="0.86035063976377957"/>
        </c:manualLayout>
      </c:layout>
      <c:barChart>
        <c:barDir val="col"/>
        <c:grouping val="clustered"/>
        <c:varyColors val="0"/>
        <c:ser>
          <c:idx val="1"/>
          <c:order val="0"/>
          <c:tx>
            <c:v>Transmissionwärmeverluste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'Heizwärme-Kältebedarf'!$D$2:$O$2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'Heizwärme-Kältebedarf'!$D$6:$O$6</c:f>
              <c:numCache>
                <c:formatCode>0.0E+00</c:formatCode>
                <c:ptCount val="12"/>
                <c:pt idx="0">
                  <c:v>1486425.6</c:v>
                </c:pt>
                <c:pt idx="1">
                  <c:v>1393156.7999999998</c:v>
                </c:pt>
                <c:pt idx="2">
                  <c:v>1130241.6000000001</c:v>
                </c:pt>
                <c:pt idx="3">
                  <c:v>980424</c:v>
                </c:pt>
                <c:pt idx="4">
                  <c:v>692539.2</c:v>
                </c:pt>
                <c:pt idx="5">
                  <c:v>592660.80000000005</c:v>
                </c:pt>
                <c:pt idx="6">
                  <c:v>517017.59999999998</c:v>
                </c:pt>
                <c:pt idx="7">
                  <c:v>552268.79999999993</c:v>
                </c:pt>
                <c:pt idx="8">
                  <c:v>657288</c:v>
                </c:pt>
                <c:pt idx="9">
                  <c:v>788011.20000000007</c:v>
                </c:pt>
                <c:pt idx="10">
                  <c:v>1199275.2</c:v>
                </c:pt>
                <c:pt idx="11">
                  <c:v>1422532.8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8-4F04-B0BA-8A757B841347}"/>
            </c:ext>
          </c:extLst>
        </c:ser>
        <c:ser>
          <c:idx val="2"/>
          <c:order val="1"/>
          <c:tx>
            <c:v>Lüftungswärmeverluste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'Heizwärme-Kältebedarf'!$D$2:$O$2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'Heizwärme-Kältebedarf'!$D$7:$O$7</c:f>
              <c:numCache>
                <c:formatCode>0.0E+00</c:formatCode>
                <c:ptCount val="12"/>
                <c:pt idx="0">
                  <c:v>732283.19999999984</c:v>
                </c:pt>
                <c:pt idx="1">
                  <c:v>686334.59999999986</c:v>
                </c:pt>
                <c:pt idx="2">
                  <c:v>556810.19999999995</c:v>
                </c:pt>
                <c:pt idx="3">
                  <c:v>410642.99999999988</c:v>
                </c:pt>
                <c:pt idx="4">
                  <c:v>377357.39999999997</c:v>
                </c:pt>
                <c:pt idx="5">
                  <c:v>255792.59999999998</c:v>
                </c:pt>
                <c:pt idx="6">
                  <c:v>218527.19999999995</c:v>
                </c:pt>
                <c:pt idx="7">
                  <c:v>235893.59999999995</c:v>
                </c:pt>
                <c:pt idx="8">
                  <c:v>396170.99999999988</c:v>
                </c:pt>
                <c:pt idx="9">
                  <c:v>388211.39999999991</c:v>
                </c:pt>
                <c:pt idx="10">
                  <c:v>590819.39999999979</c:v>
                </c:pt>
                <c:pt idx="11">
                  <c:v>700806.59999999986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F8-4F04-B0BA-8A757B841347}"/>
            </c:ext>
          </c:extLst>
        </c:ser>
        <c:ser>
          <c:idx val="3"/>
          <c:order val="2"/>
          <c:tx>
            <c:v>Interne Wärmeeinträge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'Heizwärme-Kältebedarf'!$D$2:$O$2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'Heizwärme-Kältebedarf'!$D$9:$O$9</c:f>
              <c:numCache>
                <c:formatCode>0.0E+00</c:formatCode>
                <c:ptCount val="12"/>
                <c:pt idx="0">
                  <c:v>523800</c:v>
                </c:pt>
                <c:pt idx="1">
                  <c:v>523800</c:v>
                </c:pt>
                <c:pt idx="2">
                  <c:v>523800</c:v>
                </c:pt>
                <c:pt idx="3">
                  <c:v>523800</c:v>
                </c:pt>
                <c:pt idx="4">
                  <c:v>523800</c:v>
                </c:pt>
                <c:pt idx="5">
                  <c:v>523800</c:v>
                </c:pt>
                <c:pt idx="6">
                  <c:v>523800</c:v>
                </c:pt>
                <c:pt idx="7">
                  <c:v>523800</c:v>
                </c:pt>
                <c:pt idx="8">
                  <c:v>523800</c:v>
                </c:pt>
                <c:pt idx="9">
                  <c:v>523800</c:v>
                </c:pt>
                <c:pt idx="10">
                  <c:v>523800</c:v>
                </c:pt>
                <c:pt idx="11">
                  <c:v>523800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F8-4F04-B0BA-8A757B841347}"/>
            </c:ext>
          </c:extLst>
        </c:ser>
        <c:ser>
          <c:idx val="4"/>
          <c:order val="3"/>
          <c:tx>
            <c:v>Solare Wärmeeinträge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'Heizwärme-Kältebedarf'!$D$2:$O$2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'Heizwärme-Kältebedarf'!$D$10:$O$10</c:f>
              <c:numCache>
                <c:formatCode>0.0E+00</c:formatCode>
                <c:ptCount val="12"/>
                <c:pt idx="0">
                  <c:v>891323.99999999988</c:v>
                </c:pt>
                <c:pt idx="1">
                  <c:v>1227797.9999999998</c:v>
                </c:pt>
                <c:pt idx="2">
                  <c:v>912869.99999999988</c:v>
                </c:pt>
                <c:pt idx="3">
                  <c:v>1036800</c:v>
                </c:pt>
                <c:pt idx="4">
                  <c:v>530712</c:v>
                </c:pt>
                <c:pt idx="5">
                  <c:v>525636.00000000012</c:v>
                </c:pt>
                <c:pt idx="6">
                  <c:v>528876.00000000012</c:v>
                </c:pt>
                <c:pt idx="7">
                  <c:v>483083.99999999994</c:v>
                </c:pt>
                <c:pt idx="8">
                  <c:v>940680.00000000012</c:v>
                </c:pt>
                <c:pt idx="9">
                  <c:v>634392.00000000012</c:v>
                </c:pt>
                <c:pt idx="10">
                  <c:v>842400.00000000012</c:v>
                </c:pt>
                <c:pt idx="11">
                  <c:v>627750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F8-4F04-B0BA-8A757B841347}"/>
            </c:ext>
          </c:extLst>
        </c:ser>
        <c:ser>
          <c:idx val="0"/>
          <c:order val="4"/>
          <c:tx>
            <c:v>Heizwärmebedarf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'Heizwärme-Kältebedarf'!$D$2:$O$2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'Heizwärme-Kältebedarf'!$D$5:$O$5</c:f>
              <c:numCache>
                <c:formatCode>0.0E+00</c:formatCode>
                <c:ptCount val="12"/>
                <c:pt idx="0">
                  <c:v>804474.63027694961</c:v>
                </c:pt>
                <c:pt idx="1">
                  <c:v>354277.7851875464</c:v>
                </c:pt>
                <c:pt idx="2">
                  <c:v>274507.15289412253</c:v>
                </c:pt>
                <c:pt idx="3">
                  <c:v>36062.268329872284</c:v>
                </c:pt>
                <c:pt idx="4">
                  <c:v>78147.920989752631</c:v>
                </c:pt>
                <c:pt idx="5">
                  <c:v>8383.0626599687384</c:v>
                </c:pt>
                <c:pt idx="6">
                  <c:v>1401.69062705955</c:v>
                </c:pt>
                <c:pt idx="7">
                  <c:v>5504.7101739324862</c:v>
                </c:pt>
                <c:pt idx="8">
                  <c:v>2827.1943266161252</c:v>
                </c:pt>
                <c:pt idx="9">
                  <c:v>86477.954809033079</c:v>
                </c:pt>
                <c:pt idx="10">
                  <c:v>431108.42967566592</c:v>
                </c:pt>
                <c:pt idx="11">
                  <c:v>971881.73091915715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8-4F04-B0BA-8A757B841347}"/>
            </c:ext>
          </c:extLst>
        </c:ser>
        <c:ser>
          <c:idx val="5"/>
          <c:order val="5"/>
          <c:tx>
            <c:v>Kältebedarf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'Heizwärme-Kältebedarf'!$D$23:$O$23</c:f>
              <c:numCache>
                <c:formatCode>0.0E+00</c:formatCode>
                <c:ptCount val="12"/>
                <c:pt idx="0">
                  <c:v>889.83027695049532</c:v>
                </c:pt>
                <c:pt idx="1">
                  <c:v>26384.385187546723</c:v>
                </c:pt>
                <c:pt idx="2">
                  <c:v>24125.352894122945</c:v>
                </c:pt>
                <c:pt idx="3">
                  <c:v>205595.26832987205</c:v>
                </c:pt>
                <c:pt idx="4">
                  <c:v>62763.320989752538</c:v>
                </c:pt>
                <c:pt idx="5">
                  <c:v>209365.66265996872</c:v>
                </c:pt>
                <c:pt idx="6">
                  <c:v>318532.89062705904</c:v>
                </c:pt>
                <c:pt idx="7">
                  <c:v>224226.3101739327</c:v>
                </c:pt>
                <c:pt idx="8">
                  <c:v>413848.19432661659</c:v>
                </c:pt>
                <c:pt idx="9">
                  <c:v>68447.354809032986</c:v>
                </c:pt>
                <c:pt idx="10">
                  <c:v>7213.8296756669879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02-4747-B8EB-0DF574AA1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9332760"/>
        <c:axId val="339335384"/>
      </c:barChart>
      <c:catAx>
        <c:axId val="339332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335384"/>
        <c:crosses val="autoZero"/>
        <c:auto val="1"/>
        <c:lblAlgn val="ctr"/>
        <c:lblOffset val="100"/>
        <c:noMultiLvlLbl val="0"/>
      </c:catAx>
      <c:valAx>
        <c:axId val="3393353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Wärme [Wh]</a:t>
                </a:r>
              </a:p>
            </c:rich>
          </c:tx>
          <c:layout>
            <c:manualLayout>
              <c:xMode val="edge"/>
              <c:yMode val="edge"/>
              <c:x val="0.97580555855175655"/>
              <c:y val="0.23206245142104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9332760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810671317092074"/>
          <c:y val="5.420093947484033E-2"/>
          <c:w val="0.70528304815895149"/>
          <c:h val="0.1503942063767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12" Type="http://schemas.openxmlformats.org/officeDocument/2006/relationships/image" Target="../media/image11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6534150</xdr:colOff>
      <xdr:row>0</xdr:row>
      <xdr:rowOff>31750</xdr:rowOff>
    </xdr:from>
    <xdr:to>
      <xdr:col>15</xdr:col>
      <xdr:colOff>806450</xdr:colOff>
      <xdr:row>1</xdr:row>
      <xdr:rowOff>59765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240192</xdr:colOff>
      <xdr:row>2</xdr:row>
      <xdr:rowOff>146229</xdr:rowOff>
    </xdr:from>
    <xdr:to>
      <xdr:col>3</xdr:col>
      <xdr:colOff>3232</xdr:colOff>
      <xdr:row>10</xdr:row>
      <xdr:rowOff>41413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3214" y="1728207"/>
          <a:ext cx="6422257" cy="1419184"/>
        </a:xfrm>
        <a:prstGeom prst="rect">
          <a:avLst/>
        </a:prstGeom>
      </xdr:spPr>
    </xdr:pic>
    <xdr:clientData/>
  </xdr:twoCellAnchor>
  <xdr:twoCellAnchor editAs="oneCell">
    <xdr:from>
      <xdr:col>1</xdr:col>
      <xdr:colOff>248477</xdr:colOff>
      <xdr:row>20</xdr:row>
      <xdr:rowOff>157368</xdr:rowOff>
    </xdr:from>
    <xdr:to>
      <xdr:col>2</xdr:col>
      <xdr:colOff>6383716</xdr:colOff>
      <xdr:row>28</xdr:row>
      <xdr:rowOff>29939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499" y="4787346"/>
          <a:ext cx="6392000" cy="1396571"/>
        </a:xfrm>
        <a:prstGeom prst="rect">
          <a:avLst/>
        </a:prstGeom>
      </xdr:spPr>
    </xdr:pic>
    <xdr:clientData/>
  </xdr:twoCellAnchor>
  <xdr:twoCellAnchor editAs="oneCell">
    <xdr:from>
      <xdr:col>1</xdr:col>
      <xdr:colOff>248478</xdr:colOff>
      <xdr:row>28</xdr:row>
      <xdr:rowOff>91107</xdr:rowOff>
    </xdr:from>
    <xdr:to>
      <xdr:col>2</xdr:col>
      <xdr:colOff>6383717</xdr:colOff>
      <xdr:row>37</xdr:row>
      <xdr:rowOff>32798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00" y="6245085"/>
          <a:ext cx="6392000" cy="1656191"/>
        </a:xfrm>
        <a:prstGeom prst="rect">
          <a:avLst/>
        </a:prstGeom>
      </xdr:spPr>
    </xdr:pic>
    <xdr:clientData/>
  </xdr:twoCellAnchor>
  <xdr:twoCellAnchor editAs="oneCell">
    <xdr:from>
      <xdr:col>2</xdr:col>
      <xdr:colOff>16565</xdr:colOff>
      <xdr:row>39</xdr:row>
      <xdr:rowOff>0</xdr:rowOff>
    </xdr:from>
    <xdr:to>
      <xdr:col>3</xdr:col>
      <xdr:colOff>6109</xdr:colOff>
      <xdr:row>46</xdr:row>
      <xdr:rowOff>36214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96348" y="8439978"/>
          <a:ext cx="6392000" cy="1369714"/>
        </a:xfrm>
        <a:prstGeom prst="rect">
          <a:avLst/>
        </a:prstGeom>
      </xdr:spPr>
    </xdr:pic>
    <xdr:clientData/>
  </xdr:twoCellAnchor>
  <xdr:oneCellAnchor>
    <xdr:from>
      <xdr:col>2</xdr:col>
      <xdr:colOff>0</xdr:colOff>
      <xdr:row>10</xdr:row>
      <xdr:rowOff>107673</xdr:rowOff>
    </xdr:from>
    <xdr:ext cx="6392000" cy="1656191"/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9783" y="3023151"/>
          <a:ext cx="6392000" cy="1656191"/>
        </a:xfrm>
        <a:prstGeom prst="rect">
          <a:avLst/>
        </a:prstGeom>
      </xdr:spPr>
    </xdr:pic>
    <xdr:clientData/>
  </xdr:oneCellAnchor>
  <xdr:twoCellAnchor editAs="oneCell">
    <xdr:from>
      <xdr:col>2</xdr:col>
      <xdr:colOff>1</xdr:colOff>
      <xdr:row>55</xdr:row>
      <xdr:rowOff>173935</xdr:rowOff>
    </xdr:from>
    <xdr:to>
      <xdr:col>2</xdr:col>
      <xdr:colOff>6400954</xdr:colOff>
      <xdr:row>62</xdr:row>
      <xdr:rowOff>13197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79784" y="11471413"/>
          <a:ext cx="6400953" cy="1172762"/>
        </a:xfrm>
        <a:prstGeom prst="rect">
          <a:avLst/>
        </a:prstGeom>
      </xdr:spPr>
    </xdr:pic>
    <xdr:clientData/>
  </xdr:twoCellAnchor>
  <xdr:twoCellAnchor editAs="oneCell">
    <xdr:from>
      <xdr:col>2</xdr:col>
      <xdr:colOff>8284</xdr:colOff>
      <xdr:row>62</xdr:row>
      <xdr:rowOff>157370</xdr:rowOff>
    </xdr:from>
    <xdr:to>
      <xdr:col>2</xdr:col>
      <xdr:colOff>6382379</xdr:colOff>
      <xdr:row>69</xdr:row>
      <xdr:rowOff>41394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8067" y="12788348"/>
          <a:ext cx="6374095" cy="1217524"/>
        </a:xfrm>
        <a:prstGeom prst="rect">
          <a:avLst/>
        </a:prstGeom>
      </xdr:spPr>
    </xdr:pic>
    <xdr:clientData/>
  </xdr:twoCellAnchor>
  <xdr:twoCellAnchor editAs="oneCell">
    <xdr:from>
      <xdr:col>2</xdr:col>
      <xdr:colOff>8284</xdr:colOff>
      <xdr:row>70</xdr:row>
      <xdr:rowOff>182218</xdr:rowOff>
    </xdr:from>
    <xdr:to>
      <xdr:col>2</xdr:col>
      <xdr:colOff>6391331</xdr:colOff>
      <xdr:row>77</xdr:row>
      <xdr:rowOff>21480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88067" y="14337196"/>
          <a:ext cx="6383047" cy="117276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77</xdr:row>
      <xdr:rowOff>149084</xdr:rowOff>
    </xdr:from>
    <xdr:to>
      <xdr:col>2</xdr:col>
      <xdr:colOff>6383047</xdr:colOff>
      <xdr:row>83</xdr:row>
      <xdr:rowOff>44560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79783" y="15637562"/>
          <a:ext cx="6383047" cy="103847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83</xdr:row>
      <xdr:rowOff>165651</xdr:rowOff>
    </xdr:from>
    <xdr:to>
      <xdr:col>2</xdr:col>
      <xdr:colOff>6383047</xdr:colOff>
      <xdr:row>89</xdr:row>
      <xdr:rowOff>43222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79783" y="16797129"/>
          <a:ext cx="6383047" cy="1020571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90</xdr:row>
      <xdr:rowOff>190499</xdr:rowOff>
    </xdr:from>
    <xdr:to>
      <xdr:col>2</xdr:col>
      <xdr:colOff>6383048</xdr:colOff>
      <xdr:row>99</xdr:row>
      <xdr:rowOff>6856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79784" y="18155477"/>
          <a:ext cx="6383047" cy="1530857"/>
        </a:xfrm>
        <a:prstGeom prst="rect">
          <a:avLst/>
        </a:prstGeom>
      </xdr:spPr>
    </xdr:pic>
    <xdr:clientData/>
  </xdr:twoCellAnchor>
  <xdr:twoCellAnchor editAs="oneCell">
    <xdr:from>
      <xdr:col>1</xdr:col>
      <xdr:colOff>248480</xdr:colOff>
      <xdr:row>101</xdr:row>
      <xdr:rowOff>1</xdr:rowOff>
    </xdr:from>
    <xdr:to>
      <xdr:col>2</xdr:col>
      <xdr:colOff>6383719</xdr:colOff>
      <xdr:row>109</xdr:row>
      <xdr:rowOff>6858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71502" y="20060479"/>
          <a:ext cx="6392000" cy="1530857"/>
        </a:xfrm>
        <a:prstGeom prst="rect">
          <a:avLst/>
        </a:prstGeom>
      </xdr:spPr>
    </xdr:pic>
    <xdr:clientData/>
  </xdr:twoCellAnchor>
  <xdr:twoCellAnchor editAs="oneCell">
    <xdr:from>
      <xdr:col>2</xdr:col>
      <xdr:colOff>8282</xdr:colOff>
      <xdr:row>46</xdr:row>
      <xdr:rowOff>165650</xdr:rowOff>
    </xdr:from>
    <xdr:to>
      <xdr:col>2</xdr:col>
      <xdr:colOff>6400282</xdr:colOff>
      <xdr:row>54</xdr:row>
      <xdr:rowOff>11364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88065" y="10137911"/>
          <a:ext cx="6392000" cy="1369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96802</xdr:colOff>
      <xdr:row>2</xdr:row>
      <xdr:rowOff>152400</xdr:rowOff>
    </xdr:from>
    <xdr:to>
      <xdr:col>2</xdr:col>
      <xdr:colOff>6334125</xdr:colOff>
      <xdr:row>16</xdr:row>
      <xdr:rowOff>43288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0652" y="742950"/>
          <a:ext cx="6494498" cy="25578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240192</xdr:colOff>
      <xdr:row>2</xdr:row>
      <xdr:rowOff>146229</xdr:rowOff>
    </xdr:from>
    <xdr:to>
      <xdr:col>3</xdr:col>
      <xdr:colOff>3232</xdr:colOff>
      <xdr:row>10</xdr:row>
      <xdr:rowOff>41413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4042" y="1736904"/>
          <a:ext cx="6421015" cy="1419184"/>
        </a:xfrm>
        <a:prstGeom prst="rect">
          <a:avLst/>
        </a:prstGeom>
      </xdr:spPr>
    </xdr:pic>
    <xdr:clientData/>
  </xdr:twoCellAnchor>
  <xdr:twoCellAnchor editAs="oneCell">
    <xdr:from>
      <xdr:col>1</xdr:col>
      <xdr:colOff>248477</xdr:colOff>
      <xdr:row>20</xdr:row>
      <xdr:rowOff>157368</xdr:rowOff>
    </xdr:from>
    <xdr:to>
      <xdr:col>2</xdr:col>
      <xdr:colOff>6383716</xdr:colOff>
      <xdr:row>28</xdr:row>
      <xdr:rowOff>29939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2327" y="5177043"/>
          <a:ext cx="6392414" cy="1396571"/>
        </a:xfrm>
        <a:prstGeom prst="rect">
          <a:avLst/>
        </a:prstGeom>
      </xdr:spPr>
    </xdr:pic>
    <xdr:clientData/>
  </xdr:twoCellAnchor>
  <xdr:twoCellAnchor editAs="oneCell">
    <xdr:from>
      <xdr:col>1</xdr:col>
      <xdr:colOff>248478</xdr:colOff>
      <xdr:row>28</xdr:row>
      <xdr:rowOff>91107</xdr:rowOff>
    </xdr:from>
    <xdr:to>
      <xdr:col>2</xdr:col>
      <xdr:colOff>6383717</xdr:colOff>
      <xdr:row>37</xdr:row>
      <xdr:rowOff>32798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2328" y="6634782"/>
          <a:ext cx="6392414" cy="1656191"/>
        </a:xfrm>
        <a:prstGeom prst="rect">
          <a:avLst/>
        </a:prstGeom>
      </xdr:spPr>
    </xdr:pic>
    <xdr:clientData/>
  </xdr:twoCellAnchor>
  <xdr:twoCellAnchor editAs="oneCell">
    <xdr:from>
      <xdr:col>2</xdr:col>
      <xdr:colOff>16565</xdr:colOff>
      <xdr:row>39</xdr:row>
      <xdr:rowOff>0</xdr:rowOff>
    </xdr:from>
    <xdr:to>
      <xdr:col>3</xdr:col>
      <xdr:colOff>6109</xdr:colOff>
      <xdr:row>46</xdr:row>
      <xdr:rowOff>36214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7590" y="8639175"/>
          <a:ext cx="6390344" cy="1369714"/>
        </a:xfrm>
        <a:prstGeom prst="rect">
          <a:avLst/>
        </a:prstGeom>
      </xdr:spPr>
    </xdr:pic>
    <xdr:clientData/>
  </xdr:twoCellAnchor>
  <xdr:oneCellAnchor>
    <xdr:from>
      <xdr:col>2</xdr:col>
      <xdr:colOff>0</xdr:colOff>
      <xdr:row>10</xdr:row>
      <xdr:rowOff>107673</xdr:rowOff>
    </xdr:from>
    <xdr:ext cx="6392000" cy="1656191"/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1025" y="3222348"/>
          <a:ext cx="6392000" cy="1656191"/>
        </a:xfrm>
        <a:prstGeom prst="rect">
          <a:avLst/>
        </a:prstGeom>
      </xdr:spPr>
    </xdr:pic>
    <xdr:clientData/>
  </xdr:oneCellAnchor>
  <xdr:twoCellAnchor editAs="oneCell">
    <xdr:from>
      <xdr:col>2</xdr:col>
      <xdr:colOff>1</xdr:colOff>
      <xdr:row>55</xdr:row>
      <xdr:rowOff>173935</xdr:rowOff>
    </xdr:from>
    <xdr:to>
      <xdr:col>3</xdr:col>
      <xdr:colOff>154</xdr:colOff>
      <xdr:row>62</xdr:row>
      <xdr:rowOff>13197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1026" y="11670610"/>
          <a:ext cx="6400953" cy="1172762"/>
        </a:xfrm>
        <a:prstGeom prst="rect">
          <a:avLst/>
        </a:prstGeom>
      </xdr:spPr>
    </xdr:pic>
    <xdr:clientData/>
  </xdr:twoCellAnchor>
  <xdr:twoCellAnchor editAs="oneCell">
    <xdr:from>
      <xdr:col>2</xdr:col>
      <xdr:colOff>8284</xdr:colOff>
      <xdr:row>62</xdr:row>
      <xdr:rowOff>157370</xdr:rowOff>
    </xdr:from>
    <xdr:to>
      <xdr:col>2</xdr:col>
      <xdr:colOff>6382379</xdr:colOff>
      <xdr:row>69</xdr:row>
      <xdr:rowOff>41394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89309" y="12987545"/>
          <a:ext cx="6374095" cy="1217524"/>
        </a:xfrm>
        <a:prstGeom prst="rect">
          <a:avLst/>
        </a:prstGeom>
      </xdr:spPr>
    </xdr:pic>
    <xdr:clientData/>
  </xdr:twoCellAnchor>
  <xdr:twoCellAnchor editAs="oneCell">
    <xdr:from>
      <xdr:col>2</xdr:col>
      <xdr:colOff>8284</xdr:colOff>
      <xdr:row>70</xdr:row>
      <xdr:rowOff>182218</xdr:rowOff>
    </xdr:from>
    <xdr:to>
      <xdr:col>2</xdr:col>
      <xdr:colOff>6391331</xdr:colOff>
      <xdr:row>77</xdr:row>
      <xdr:rowOff>21480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9309" y="14536393"/>
          <a:ext cx="6383047" cy="117276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77</xdr:row>
      <xdr:rowOff>149084</xdr:rowOff>
    </xdr:from>
    <xdr:to>
      <xdr:col>2</xdr:col>
      <xdr:colOff>6383047</xdr:colOff>
      <xdr:row>83</xdr:row>
      <xdr:rowOff>44560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81025" y="15836759"/>
          <a:ext cx="6383047" cy="103847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83</xdr:row>
      <xdr:rowOff>165651</xdr:rowOff>
    </xdr:from>
    <xdr:to>
      <xdr:col>2</xdr:col>
      <xdr:colOff>6383047</xdr:colOff>
      <xdr:row>89</xdr:row>
      <xdr:rowOff>43222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81025" y="16996326"/>
          <a:ext cx="6383047" cy="1020571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90</xdr:row>
      <xdr:rowOff>190499</xdr:rowOff>
    </xdr:from>
    <xdr:to>
      <xdr:col>2</xdr:col>
      <xdr:colOff>6383048</xdr:colOff>
      <xdr:row>99</xdr:row>
      <xdr:rowOff>6856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81026" y="18354674"/>
          <a:ext cx="6383047" cy="1530857"/>
        </a:xfrm>
        <a:prstGeom prst="rect">
          <a:avLst/>
        </a:prstGeom>
      </xdr:spPr>
    </xdr:pic>
    <xdr:clientData/>
  </xdr:twoCellAnchor>
  <xdr:twoCellAnchor editAs="oneCell">
    <xdr:from>
      <xdr:col>1</xdr:col>
      <xdr:colOff>248480</xdr:colOff>
      <xdr:row>101</xdr:row>
      <xdr:rowOff>1</xdr:rowOff>
    </xdr:from>
    <xdr:to>
      <xdr:col>2</xdr:col>
      <xdr:colOff>6383719</xdr:colOff>
      <xdr:row>109</xdr:row>
      <xdr:rowOff>6858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72330" y="20259676"/>
          <a:ext cx="6392414" cy="1530857"/>
        </a:xfrm>
        <a:prstGeom prst="rect">
          <a:avLst/>
        </a:prstGeom>
      </xdr:spPr>
    </xdr:pic>
    <xdr:clientData/>
  </xdr:twoCellAnchor>
  <xdr:twoCellAnchor editAs="oneCell">
    <xdr:from>
      <xdr:col>2</xdr:col>
      <xdr:colOff>8282</xdr:colOff>
      <xdr:row>46</xdr:row>
      <xdr:rowOff>173931</xdr:rowOff>
    </xdr:from>
    <xdr:to>
      <xdr:col>2</xdr:col>
      <xdr:colOff>6400282</xdr:colOff>
      <xdr:row>54</xdr:row>
      <xdr:rowOff>19645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88065" y="9268235"/>
          <a:ext cx="6392000" cy="1369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16"/>
  <sheetViews>
    <sheetView tabSelected="1" zoomScale="115" zoomScaleNormal="115" workbookViewId="0">
      <pane ySplit="2" topLeftCell="A3" activePane="bottomLeft" state="frozen"/>
      <selection pane="bottomLeft" activeCell="B1" sqref="B1:C1"/>
    </sheetView>
  </sheetViews>
  <sheetFormatPr defaultRowHeight="15" x14ac:dyDescent="0.25"/>
  <cols>
    <col min="1" max="1" width="4.85546875" customWidth="1"/>
    <col min="2" max="2" width="3.85546875" customWidth="1"/>
    <col min="3" max="3" width="96" customWidth="1"/>
    <col min="4" max="4" width="11.5703125" style="1" bestFit="1" customWidth="1"/>
    <col min="5" max="6" width="12.42578125" style="1" bestFit="1" customWidth="1"/>
    <col min="7" max="14" width="12.42578125" style="1" customWidth="1"/>
    <col min="15" max="16" width="12.42578125" style="1" bestFit="1" customWidth="1"/>
    <col min="17" max="17" width="62.7109375" bestFit="1" customWidth="1"/>
    <col min="18" max="18" width="24.85546875" bestFit="1" customWidth="1"/>
    <col min="25" max="25" width="12.42578125" customWidth="1"/>
  </cols>
  <sheetData>
    <row r="1" spans="1:17" ht="110.1" customHeight="1" x14ac:dyDescent="0.5">
      <c r="A1" s="18"/>
      <c r="B1" s="59" t="s">
        <v>26</v>
      </c>
      <c r="C1" s="59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1"/>
    </row>
    <row r="2" spans="1:17" s="78" customFormat="1" ht="15.75" customHeight="1" x14ac:dyDescent="0.25">
      <c r="A2" s="22"/>
      <c r="B2" s="77"/>
      <c r="C2" s="77"/>
      <c r="D2" s="79" t="s">
        <v>1</v>
      </c>
      <c r="E2" s="80" t="s">
        <v>2</v>
      </c>
      <c r="F2" s="79" t="s">
        <v>3</v>
      </c>
      <c r="G2" s="80" t="s">
        <v>4</v>
      </c>
      <c r="H2" s="79" t="s">
        <v>5</v>
      </c>
      <c r="I2" s="80" t="s">
        <v>6</v>
      </c>
      <c r="J2" s="79" t="s">
        <v>7</v>
      </c>
      <c r="K2" s="80" t="s">
        <v>8</v>
      </c>
      <c r="L2" s="79" t="s">
        <v>9</v>
      </c>
      <c r="M2" s="80" t="s">
        <v>10</v>
      </c>
      <c r="N2" s="79" t="s">
        <v>11</v>
      </c>
      <c r="O2" s="80" t="s">
        <v>12</v>
      </c>
      <c r="P2" s="80" t="s">
        <v>13</v>
      </c>
      <c r="Q2" s="24"/>
    </row>
    <row r="3" spans="1:17" x14ac:dyDescent="0.25">
      <c r="A3" s="22"/>
      <c r="B3" s="23"/>
      <c r="C3" s="23"/>
      <c r="D3" s="76"/>
      <c r="E3" s="2"/>
      <c r="F3" s="76"/>
      <c r="G3" s="2"/>
      <c r="H3" s="76"/>
      <c r="I3" s="2"/>
      <c r="J3" s="76"/>
      <c r="K3" s="2"/>
      <c r="L3" s="76"/>
      <c r="M3" s="2"/>
      <c r="N3" s="76"/>
      <c r="O3" s="2"/>
      <c r="P3" s="2"/>
      <c r="Q3" s="24"/>
    </row>
    <row r="4" spans="1:17" x14ac:dyDescent="0.25">
      <c r="A4" s="22"/>
      <c r="B4" s="23"/>
      <c r="C4" s="23"/>
      <c r="D4" s="25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4"/>
    </row>
    <row r="5" spans="1:17" x14ac:dyDescent="0.25">
      <c r="A5" s="22"/>
      <c r="B5" s="23"/>
      <c r="C5" s="23"/>
      <c r="D5" s="26">
        <f t="shared" ref="D5:O5" si="0">IF((D6+D7-D8*(D9+D10))&lt;0,0,D6+D7-D8*(D9+D10))</f>
        <v>804474.63027694961</v>
      </c>
      <c r="E5" s="3">
        <f t="shared" si="0"/>
        <v>354277.7851875464</v>
      </c>
      <c r="F5" s="3">
        <f t="shared" si="0"/>
        <v>274507.15289412253</v>
      </c>
      <c r="G5" s="3">
        <f t="shared" si="0"/>
        <v>36062.268329872284</v>
      </c>
      <c r="H5" s="3">
        <f t="shared" si="0"/>
        <v>78147.920989752631</v>
      </c>
      <c r="I5" s="3">
        <f>IF((I6+I7-I8*(I9+I10))&lt;0,0,I6+I7-I8*(I9+I10))</f>
        <v>8383.0626599687384</v>
      </c>
      <c r="J5" s="3">
        <f t="shared" si="0"/>
        <v>1401.69062705955</v>
      </c>
      <c r="K5" s="3">
        <f t="shared" si="0"/>
        <v>5504.7101739324862</v>
      </c>
      <c r="L5" s="3">
        <f t="shared" si="0"/>
        <v>2827.1943266161252</v>
      </c>
      <c r="M5" s="3">
        <f t="shared" si="0"/>
        <v>86477.954809033079</v>
      </c>
      <c r="N5" s="3">
        <f t="shared" si="0"/>
        <v>431108.42967566592</v>
      </c>
      <c r="O5" s="3">
        <f t="shared" si="0"/>
        <v>971881.73091915715</v>
      </c>
      <c r="P5" s="3">
        <f>SUM(D5:O5)</f>
        <v>3055054.5308696758</v>
      </c>
      <c r="Q5" s="27"/>
    </row>
    <row r="6" spans="1:17" x14ac:dyDescent="0.25">
      <c r="A6" s="22"/>
      <c r="B6" s="23"/>
      <c r="C6" s="23"/>
      <c r="D6" s="28">
        <f t="shared" ref="D6:O6" si="1">D58</f>
        <v>1486425.6</v>
      </c>
      <c r="E6" s="4">
        <f t="shared" si="1"/>
        <v>1393156.7999999998</v>
      </c>
      <c r="F6" s="4">
        <f t="shared" si="1"/>
        <v>1130241.6000000001</v>
      </c>
      <c r="G6" s="4">
        <f t="shared" si="1"/>
        <v>980424</v>
      </c>
      <c r="H6" s="4">
        <f t="shared" si="1"/>
        <v>692539.2</v>
      </c>
      <c r="I6" s="4">
        <f t="shared" si="1"/>
        <v>592660.80000000005</v>
      </c>
      <c r="J6" s="4">
        <f t="shared" si="1"/>
        <v>517017.59999999998</v>
      </c>
      <c r="K6" s="4">
        <f t="shared" si="1"/>
        <v>552268.79999999993</v>
      </c>
      <c r="L6" s="4">
        <f t="shared" si="1"/>
        <v>657288</v>
      </c>
      <c r="M6" s="4">
        <f t="shared" si="1"/>
        <v>788011.20000000007</v>
      </c>
      <c r="N6" s="4">
        <f t="shared" si="1"/>
        <v>1199275.2</v>
      </c>
      <c r="O6" s="4">
        <f t="shared" si="1"/>
        <v>1422532.8</v>
      </c>
      <c r="P6" s="4">
        <f>SUM(D5:O5)</f>
        <v>3055054.5308696758</v>
      </c>
      <c r="Q6" s="24"/>
    </row>
    <row r="7" spans="1:17" x14ac:dyDescent="0.25">
      <c r="A7" s="22"/>
      <c r="B7" s="23"/>
      <c r="C7" s="23"/>
      <c r="D7" s="28">
        <f t="shared" ref="D7:O7" si="2">D73</f>
        <v>732283.19999999984</v>
      </c>
      <c r="E7" s="4">
        <f t="shared" si="2"/>
        <v>686334.59999999986</v>
      </c>
      <c r="F7" s="4">
        <f t="shared" si="2"/>
        <v>556810.19999999995</v>
      </c>
      <c r="G7" s="4">
        <f t="shared" si="2"/>
        <v>410642.99999999988</v>
      </c>
      <c r="H7" s="4">
        <f t="shared" si="2"/>
        <v>377357.39999999997</v>
      </c>
      <c r="I7" s="4">
        <f t="shared" si="2"/>
        <v>255792.59999999998</v>
      </c>
      <c r="J7" s="4">
        <f t="shared" si="2"/>
        <v>218527.19999999995</v>
      </c>
      <c r="K7" s="4">
        <f t="shared" si="2"/>
        <v>235893.59999999995</v>
      </c>
      <c r="L7" s="4">
        <f t="shared" si="2"/>
        <v>396170.99999999988</v>
      </c>
      <c r="M7" s="4">
        <f t="shared" si="2"/>
        <v>388211.39999999991</v>
      </c>
      <c r="N7" s="4">
        <f t="shared" si="2"/>
        <v>590819.39999999979</v>
      </c>
      <c r="O7" s="4">
        <f t="shared" si="2"/>
        <v>700806.59999999986</v>
      </c>
      <c r="P7" s="4">
        <f t="shared" ref="P7:P10" si="3">SUM(D6:O6)</f>
        <v>11411841.6</v>
      </c>
      <c r="Q7" s="24"/>
    </row>
    <row r="8" spans="1:17" x14ac:dyDescent="0.25">
      <c r="A8" s="22"/>
      <c r="B8" s="23"/>
      <c r="C8" s="23"/>
      <c r="D8" s="49">
        <f>D17</f>
        <v>0.9993711997839414</v>
      </c>
      <c r="E8" s="50">
        <f t="shared" ref="E8:O8" si="4">E17</f>
        <v>0.98493696316874846</v>
      </c>
      <c r="F8" s="50">
        <f t="shared" si="4"/>
        <v>0.9832074499404021</v>
      </c>
      <c r="G8" s="50">
        <f t="shared" si="4"/>
        <v>0.86825883100738666</v>
      </c>
      <c r="H8" s="50">
        <f t="shared" si="4"/>
        <v>0.94048116949854266</v>
      </c>
      <c r="I8" s="50">
        <f t="shared" si="4"/>
        <v>0.80049696917204216</v>
      </c>
      <c r="J8" s="50">
        <f t="shared" si="4"/>
        <v>0.69740652334900799</v>
      </c>
      <c r="K8" s="50">
        <f t="shared" si="4"/>
        <v>0.77730671043145727</v>
      </c>
      <c r="L8" s="50">
        <f t="shared" si="4"/>
        <v>0.71740945979008508</v>
      </c>
      <c r="M8" s="50">
        <f t="shared" si="4"/>
        <v>0.94090154757671174</v>
      </c>
      <c r="N8" s="50">
        <f t="shared" si="4"/>
        <v>0.99471978504196579</v>
      </c>
      <c r="O8" s="50">
        <f t="shared" si="4"/>
        <v>0.9999198203124855</v>
      </c>
      <c r="P8" s="4">
        <f>SUM(D7:O7)</f>
        <v>5549650.1999999983</v>
      </c>
      <c r="Q8" s="24"/>
    </row>
    <row r="9" spans="1:17" x14ac:dyDescent="0.25">
      <c r="A9" s="22"/>
      <c r="B9" s="23"/>
      <c r="C9" s="23"/>
      <c r="D9" s="28">
        <f t="shared" ref="D9:O9" si="5">D93</f>
        <v>523800</v>
      </c>
      <c r="E9" s="4">
        <f t="shared" si="5"/>
        <v>523800</v>
      </c>
      <c r="F9" s="4">
        <f t="shared" si="5"/>
        <v>523800</v>
      </c>
      <c r="G9" s="4">
        <f t="shared" si="5"/>
        <v>523800</v>
      </c>
      <c r="H9" s="4">
        <f t="shared" si="5"/>
        <v>523800</v>
      </c>
      <c r="I9" s="4">
        <f t="shared" si="5"/>
        <v>523800</v>
      </c>
      <c r="J9" s="4">
        <f t="shared" si="5"/>
        <v>523800</v>
      </c>
      <c r="K9" s="4">
        <f t="shared" si="5"/>
        <v>523800</v>
      </c>
      <c r="L9" s="4">
        <f t="shared" si="5"/>
        <v>523800</v>
      </c>
      <c r="M9" s="4">
        <f t="shared" si="5"/>
        <v>523800</v>
      </c>
      <c r="N9" s="4">
        <f t="shared" si="5"/>
        <v>523800</v>
      </c>
      <c r="O9" s="4">
        <f t="shared" si="5"/>
        <v>523800</v>
      </c>
      <c r="P9" s="4">
        <f t="shared" si="3"/>
        <v>10.704416429072776</v>
      </c>
      <c r="Q9" s="24"/>
    </row>
    <row r="10" spans="1:17" x14ac:dyDescent="0.25">
      <c r="A10" s="22"/>
      <c r="B10" s="23"/>
      <c r="C10" s="23"/>
      <c r="D10" s="28">
        <f t="shared" ref="D10:O10" si="6">D103*1000</f>
        <v>891323.99999999988</v>
      </c>
      <c r="E10" s="4">
        <f t="shared" si="6"/>
        <v>1227797.9999999998</v>
      </c>
      <c r="F10" s="4">
        <f t="shared" si="6"/>
        <v>912869.99999999988</v>
      </c>
      <c r="G10" s="4">
        <f t="shared" si="6"/>
        <v>1036800</v>
      </c>
      <c r="H10" s="4">
        <f t="shared" si="6"/>
        <v>530712</v>
      </c>
      <c r="I10" s="4">
        <f t="shared" si="6"/>
        <v>525636.00000000012</v>
      </c>
      <c r="J10" s="4">
        <f t="shared" si="6"/>
        <v>528876.00000000012</v>
      </c>
      <c r="K10" s="4">
        <f t="shared" si="6"/>
        <v>483083.99999999994</v>
      </c>
      <c r="L10" s="4">
        <f t="shared" si="6"/>
        <v>940680.00000000012</v>
      </c>
      <c r="M10" s="4">
        <f t="shared" si="6"/>
        <v>634392.00000000012</v>
      </c>
      <c r="N10" s="4">
        <f t="shared" si="6"/>
        <v>842400.00000000012</v>
      </c>
      <c r="O10" s="4">
        <f t="shared" si="6"/>
        <v>627750</v>
      </c>
      <c r="P10" s="4">
        <f t="shared" si="3"/>
        <v>6285600</v>
      </c>
      <c r="Q10" s="24"/>
    </row>
    <row r="11" spans="1:17" x14ac:dyDescent="0.25">
      <c r="A11" s="22"/>
      <c r="B11" s="23"/>
      <c r="C11" s="23"/>
      <c r="D11" s="25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4"/>
    </row>
    <row r="12" spans="1:17" x14ac:dyDescent="0.25">
      <c r="A12" s="22"/>
      <c r="B12" s="23"/>
      <c r="C12" s="23"/>
      <c r="D12" s="69"/>
      <c r="E12" s="69"/>
      <c r="F12" s="3"/>
      <c r="G12" s="3"/>
      <c r="H12" s="26"/>
      <c r="I12" s="3"/>
      <c r="J12" s="26"/>
      <c r="K12" s="3"/>
      <c r="L12" s="26"/>
      <c r="M12" s="3"/>
      <c r="N12" s="3"/>
      <c r="O12" s="3"/>
      <c r="P12" s="3"/>
      <c r="Q12" s="24"/>
    </row>
    <row r="13" spans="1:17" x14ac:dyDescent="0.25">
      <c r="A13" s="22"/>
      <c r="B13" s="23"/>
      <c r="C13" s="23"/>
      <c r="D13" s="48"/>
      <c r="E13" s="48"/>
      <c r="F13" s="4"/>
      <c r="G13" s="4"/>
      <c r="H13" s="28"/>
      <c r="I13" s="4"/>
      <c r="J13" s="28"/>
      <c r="K13" s="4"/>
      <c r="L13" s="28"/>
      <c r="M13" s="4"/>
      <c r="N13" s="4"/>
      <c r="O13" s="4"/>
      <c r="P13" s="2"/>
      <c r="Q13" s="24"/>
    </row>
    <row r="14" spans="1:17" x14ac:dyDescent="0.25">
      <c r="A14" s="22"/>
      <c r="B14" s="23"/>
      <c r="C14" s="23"/>
      <c r="D14" s="48"/>
      <c r="E14" s="48"/>
      <c r="F14" s="4"/>
      <c r="G14" s="4"/>
      <c r="H14" s="28"/>
      <c r="I14" s="4"/>
      <c r="J14" s="28"/>
      <c r="K14" s="4"/>
      <c r="L14" s="28"/>
      <c r="M14" s="4"/>
      <c r="N14" s="4"/>
      <c r="O14" s="4"/>
      <c r="P14" s="2"/>
      <c r="Q14" s="24"/>
    </row>
    <row r="15" spans="1:17" x14ac:dyDescent="0.25">
      <c r="A15" s="22"/>
      <c r="B15" s="23"/>
      <c r="C15" s="70"/>
      <c r="D15" s="48"/>
      <c r="E15" s="48"/>
      <c r="F15" s="4"/>
      <c r="G15" s="4"/>
      <c r="H15" s="28"/>
      <c r="I15" s="4"/>
      <c r="J15" s="28"/>
      <c r="K15" s="4"/>
      <c r="L15" s="28"/>
      <c r="M15" s="4"/>
      <c r="N15" s="4"/>
      <c r="O15" s="4"/>
      <c r="P15" s="2"/>
      <c r="Q15" s="24"/>
    </row>
    <row r="16" spans="1:17" x14ac:dyDescent="0.25">
      <c r="A16" s="22"/>
      <c r="B16" s="23"/>
      <c r="C16" s="23"/>
      <c r="D16" s="48"/>
      <c r="E16" s="48"/>
      <c r="F16" s="4"/>
      <c r="G16" s="4"/>
      <c r="H16" s="28"/>
      <c r="I16" s="4"/>
      <c r="J16" s="28"/>
      <c r="K16" s="4"/>
      <c r="L16" s="28"/>
      <c r="M16" s="4"/>
      <c r="N16" s="4"/>
      <c r="O16" s="4"/>
      <c r="P16" s="2"/>
      <c r="Q16" s="24"/>
    </row>
    <row r="17" spans="1:17" x14ac:dyDescent="0.25">
      <c r="A17" s="22"/>
      <c r="B17" s="23"/>
      <c r="C17" s="23"/>
      <c r="D17" s="51">
        <f>IF(D18&lt;0,1,(1-D18^(1+D19/15))/(1-D18^(1+D19/15+1)))</f>
        <v>0.9993711997839414</v>
      </c>
      <c r="E17" s="51">
        <f t="shared" ref="E17:O17" si="7">IF(E18&lt;0,1,(1-E18^(1+E19/15))/(1-E18^(1+E19/15+1)))</f>
        <v>0.98493696316874846</v>
      </c>
      <c r="F17" s="51">
        <f t="shared" si="7"/>
        <v>0.9832074499404021</v>
      </c>
      <c r="G17" s="51">
        <f t="shared" si="7"/>
        <v>0.86825883100738666</v>
      </c>
      <c r="H17" s="51">
        <f t="shared" si="7"/>
        <v>0.94048116949854266</v>
      </c>
      <c r="I17" s="51">
        <f t="shared" si="7"/>
        <v>0.80049696917204216</v>
      </c>
      <c r="J17" s="51">
        <f t="shared" si="7"/>
        <v>0.69740652334900799</v>
      </c>
      <c r="K17" s="51">
        <f t="shared" si="7"/>
        <v>0.77730671043145727</v>
      </c>
      <c r="L17" s="51">
        <f t="shared" si="7"/>
        <v>0.71740945979008508</v>
      </c>
      <c r="M17" s="51">
        <f t="shared" si="7"/>
        <v>0.94090154757671174</v>
      </c>
      <c r="N17" s="51">
        <f t="shared" si="7"/>
        <v>0.99471978504196579</v>
      </c>
      <c r="O17" s="51">
        <f t="shared" si="7"/>
        <v>0.9999198203124855</v>
      </c>
      <c r="P17" s="2"/>
      <c r="Q17" s="24"/>
    </row>
    <row r="18" spans="1:17" x14ac:dyDescent="0.25">
      <c r="A18" s="22"/>
      <c r="B18" s="23"/>
      <c r="C18" s="23"/>
      <c r="D18" s="65">
        <f>D42</f>
        <v>0.63781420977822778</v>
      </c>
      <c r="E18" s="65">
        <f t="shared" ref="E18:O18" si="8">E42</f>
        <v>0.84232038660991815</v>
      </c>
      <c r="F18" s="65">
        <f t="shared" si="8"/>
        <v>0.8515861812897505</v>
      </c>
      <c r="G18" s="65">
        <f t="shared" si="8"/>
        <v>1.121872634459735</v>
      </c>
      <c r="H18" s="65">
        <f t="shared" si="8"/>
        <v>0.98562047958653209</v>
      </c>
      <c r="I18" s="65">
        <f t="shared" si="8"/>
        <v>1.2368811298298763</v>
      </c>
      <c r="J18" s="65">
        <f t="shared" si="8"/>
        <v>1.4311514404017269</v>
      </c>
      <c r="K18" s="65">
        <f t="shared" si="8"/>
        <v>1.2775082901696404</v>
      </c>
      <c r="L18" s="65">
        <f t="shared" si="8"/>
        <v>1.3901632621677731</v>
      </c>
      <c r="M18" s="65">
        <f t="shared" si="8"/>
        <v>0.98467075874923671</v>
      </c>
      <c r="N18" s="65">
        <f t="shared" si="8"/>
        <v>0.76319988898910718</v>
      </c>
      <c r="O18" s="65">
        <f t="shared" si="8"/>
        <v>0.54232969067498116</v>
      </c>
      <c r="P18" s="2"/>
      <c r="Q18" s="24"/>
    </row>
    <row r="19" spans="1:17" x14ac:dyDescent="0.25">
      <c r="A19" s="22"/>
      <c r="B19" s="23"/>
      <c r="C19" s="23"/>
      <c r="D19" s="65">
        <f>D37</f>
        <v>197.04433497536945</v>
      </c>
      <c r="E19" s="65">
        <f t="shared" ref="E19:O19" si="9">E37</f>
        <v>197.04433497536945</v>
      </c>
      <c r="F19" s="65">
        <f t="shared" si="9"/>
        <v>197.04433497536945</v>
      </c>
      <c r="G19" s="65">
        <f t="shared" si="9"/>
        <v>197.04433497536945</v>
      </c>
      <c r="H19" s="65">
        <f t="shared" si="9"/>
        <v>197.04433497536945</v>
      </c>
      <c r="I19" s="65">
        <f t="shared" si="9"/>
        <v>197.04433497536945</v>
      </c>
      <c r="J19" s="65">
        <f t="shared" si="9"/>
        <v>197.04433497536945</v>
      </c>
      <c r="K19" s="65">
        <f t="shared" si="9"/>
        <v>197.04433497536945</v>
      </c>
      <c r="L19" s="65">
        <f t="shared" si="9"/>
        <v>197.04433497536945</v>
      </c>
      <c r="M19" s="65">
        <f t="shared" si="9"/>
        <v>197.04433497536945</v>
      </c>
      <c r="N19" s="65">
        <f t="shared" si="9"/>
        <v>197.04433497536945</v>
      </c>
      <c r="O19" s="65">
        <f t="shared" si="9"/>
        <v>197.04433497536945</v>
      </c>
      <c r="P19" s="2"/>
      <c r="Q19" s="24"/>
    </row>
    <row r="20" spans="1:17" x14ac:dyDescent="0.25">
      <c r="A20" s="22"/>
      <c r="B20" s="23"/>
      <c r="C20" s="23"/>
      <c r="D20" s="49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2"/>
      <c r="Q20" s="24"/>
    </row>
    <row r="21" spans="1:17" x14ac:dyDescent="0.25">
      <c r="A21" s="22"/>
      <c r="B21" s="23"/>
      <c r="C21" s="23"/>
      <c r="D21" s="28"/>
      <c r="E21" s="4"/>
      <c r="F21" s="4"/>
      <c r="G21" s="4"/>
      <c r="H21" s="2"/>
      <c r="I21" s="4"/>
      <c r="J21" s="2"/>
      <c r="K21" s="4"/>
      <c r="L21" s="2"/>
      <c r="M21" s="4"/>
      <c r="N21" s="4"/>
      <c r="O21" s="4"/>
      <c r="P21" s="2"/>
      <c r="Q21" s="24"/>
    </row>
    <row r="22" spans="1:17" x14ac:dyDescent="0.25">
      <c r="A22" s="22"/>
      <c r="B22" s="23"/>
      <c r="C22" s="23"/>
      <c r="D22" s="25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4"/>
    </row>
    <row r="23" spans="1:17" x14ac:dyDescent="0.25">
      <c r="A23" s="22"/>
      <c r="B23" s="23"/>
      <c r="C23" s="23"/>
      <c r="D23" s="26">
        <f>IF(D27+D28-D26*(D24+D25)&lt;0,0,D27+D28-D26*(D24+D25))</f>
        <v>889.83027695049532</v>
      </c>
      <c r="E23" s="3">
        <f t="shared" ref="E23:N23" si="10">IF(E27+E28-E26*(E24+E25)&lt;0,0,E27+E28-E26*(E24+E25))</f>
        <v>26384.385187546723</v>
      </c>
      <c r="F23" s="3">
        <f t="shared" si="10"/>
        <v>24125.352894122945</v>
      </c>
      <c r="G23" s="3">
        <f t="shared" si="10"/>
        <v>205595.26832987205</v>
      </c>
      <c r="H23" s="3">
        <f t="shared" si="10"/>
        <v>62763.320989752538</v>
      </c>
      <c r="I23" s="3">
        <f t="shared" si="10"/>
        <v>209365.66265996872</v>
      </c>
      <c r="J23" s="3">
        <f t="shared" si="10"/>
        <v>318532.89062705904</v>
      </c>
      <c r="K23" s="3">
        <f t="shared" si="10"/>
        <v>224226.3101739327</v>
      </c>
      <c r="L23" s="3">
        <f t="shared" si="10"/>
        <v>413848.19432661659</v>
      </c>
      <c r="M23" s="3">
        <f t="shared" si="10"/>
        <v>68447.354809032986</v>
      </c>
      <c r="N23" s="3">
        <f t="shared" si="10"/>
        <v>7213.8296756669879</v>
      </c>
      <c r="O23" s="3">
        <f t="shared" ref="O23" si="11">IF(O27+O28-O26*(O24+O25)&gt;0,0,O27+O28-O26*(O24+O25))</f>
        <v>0</v>
      </c>
      <c r="P23" s="3"/>
      <c r="Q23" s="27"/>
    </row>
    <row r="24" spans="1:17" x14ac:dyDescent="0.25">
      <c r="A24" s="22"/>
      <c r="B24" s="23"/>
      <c r="C24" s="23"/>
      <c r="D24" s="28">
        <f>D58</f>
        <v>1486425.6</v>
      </c>
      <c r="E24" s="4">
        <f t="shared" ref="E24:O24" si="12">E58</f>
        <v>1393156.7999999998</v>
      </c>
      <c r="F24" s="4">
        <f t="shared" si="12"/>
        <v>1130241.6000000001</v>
      </c>
      <c r="G24" s="4">
        <f t="shared" si="12"/>
        <v>980424</v>
      </c>
      <c r="H24" s="4">
        <f t="shared" si="12"/>
        <v>692539.2</v>
      </c>
      <c r="I24" s="4">
        <f t="shared" si="12"/>
        <v>592660.80000000005</v>
      </c>
      <c r="J24" s="4">
        <f t="shared" si="12"/>
        <v>517017.59999999998</v>
      </c>
      <c r="K24" s="4">
        <f t="shared" si="12"/>
        <v>552268.79999999993</v>
      </c>
      <c r="L24" s="4">
        <f t="shared" si="12"/>
        <v>657288</v>
      </c>
      <c r="M24" s="4">
        <f t="shared" si="12"/>
        <v>788011.20000000007</v>
      </c>
      <c r="N24" s="4">
        <f t="shared" si="12"/>
        <v>1199275.2</v>
      </c>
      <c r="O24" s="4">
        <f t="shared" si="12"/>
        <v>1422532.8</v>
      </c>
      <c r="P24" s="51"/>
      <c r="Q24" s="24"/>
    </row>
    <row r="25" spans="1:17" x14ac:dyDescent="0.25">
      <c r="A25" s="22"/>
      <c r="B25" s="23"/>
      <c r="C25" s="23"/>
      <c r="D25" s="28">
        <f>D73</f>
        <v>732283.19999999984</v>
      </c>
      <c r="E25" s="4">
        <f t="shared" ref="E25:O25" si="13">E73</f>
        <v>686334.59999999986</v>
      </c>
      <c r="F25" s="4">
        <f t="shared" si="13"/>
        <v>556810.19999999995</v>
      </c>
      <c r="G25" s="4">
        <f t="shared" si="13"/>
        <v>410642.99999999988</v>
      </c>
      <c r="H25" s="4">
        <f t="shared" si="13"/>
        <v>377357.39999999997</v>
      </c>
      <c r="I25" s="4">
        <f t="shared" si="13"/>
        <v>255792.59999999998</v>
      </c>
      <c r="J25" s="4">
        <f t="shared" si="13"/>
        <v>218527.19999999995</v>
      </c>
      <c r="K25" s="4">
        <f t="shared" si="13"/>
        <v>235893.59999999995</v>
      </c>
      <c r="L25" s="4">
        <f t="shared" si="13"/>
        <v>396170.99999999988</v>
      </c>
      <c r="M25" s="4">
        <f t="shared" si="13"/>
        <v>388211.39999999991</v>
      </c>
      <c r="N25" s="4">
        <f t="shared" si="13"/>
        <v>590819.39999999979</v>
      </c>
      <c r="O25" s="4">
        <f t="shared" si="13"/>
        <v>700806.59999999986</v>
      </c>
      <c r="P25" s="48"/>
      <c r="Q25" s="24"/>
    </row>
    <row r="26" spans="1:17" x14ac:dyDescent="0.25">
      <c r="A26" s="22"/>
      <c r="B26" s="23"/>
      <c r="C26" s="23"/>
      <c r="D26" s="49">
        <f>D35</f>
        <v>0.63741315206531368</v>
      </c>
      <c r="E26" s="50">
        <f t="shared" ref="E26:O26" si="14">E35</f>
        <v>0.82963248360269892</v>
      </c>
      <c r="F26" s="50">
        <f t="shared" si="14"/>
        <v>0.83728587771038032</v>
      </c>
      <c r="G26" s="50">
        <f t="shared" si="14"/>
        <v>0.97407582213518684</v>
      </c>
      <c r="H26" s="50">
        <f t="shared" si="14"/>
        <v>0.92695750132325649</v>
      </c>
      <c r="I26" s="50">
        <f t="shared" si="14"/>
        <v>0.99011959565490726</v>
      </c>
      <c r="J26" s="50">
        <f t="shared" si="14"/>
        <v>0.99809435043649419</v>
      </c>
      <c r="K26" s="50">
        <f t="shared" si="14"/>
        <v>0.99301576658067858</v>
      </c>
      <c r="L26" s="50">
        <f t="shared" si="14"/>
        <v>0.99731627493180419</v>
      </c>
      <c r="M26" s="50">
        <f t="shared" si="14"/>
        <v>0.92647824076069174</v>
      </c>
      <c r="N26" s="50">
        <f t="shared" si="14"/>
        <v>0.75917002951929657</v>
      </c>
      <c r="O26" s="50">
        <f t="shared" si="14"/>
        <v>0.54228620684985362</v>
      </c>
      <c r="P26" s="2"/>
      <c r="Q26" s="24"/>
    </row>
    <row r="27" spans="1:17" x14ac:dyDescent="0.25">
      <c r="A27" s="22"/>
      <c r="B27" s="23"/>
      <c r="C27" s="23"/>
      <c r="D27" s="28">
        <f>D93</f>
        <v>523800</v>
      </c>
      <c r="E27" s="4">
        <f t="shared" ref="E27:O27" si="15">E93</f>
        <v>523800</v>
      </c>
      <c r="F27" s="4">
        <f t="shared" si="15"/>
        <v>523800</v>
      </c>
      <c r="G27" s="4">
        <f t="shared" si="15"/>
        <v>523800</v>
      </c>
      <c r="H27" s="4">
        <f t="shared" si="15"/>
        <v>523800</v>
      </c>
      <c r="I27" s="4">
        <f t="shared" si="15"/>
        <v>523800</v>
      </c>
      <c r="J27" s="4">
        <f t="shared" si="15"/>
        <v>523800</v>
      </c>
      <c r="K27" s="4">
        <f t="shared" si="15"/>
        <v>523800</v>
      </c>
      <c r="L27" s="4">
        <f t="shared" si="15"/>
        <v>523800</v>
      </c>
      <c r="M27" s="4">
        <f t="shared" si="15"/>
        <v>523800</v>
      </c>
      <c r="N27" s="4">
        <f t="shared" si="15"/>
        <v>523800</v>
      </c>
      <c r="O27" s="4">
        <f t="shared" si="15"/>
        <v>523800</v>
      </c>
      <c r="P27" s="2"/>
      <c r="Q27" s="24"/>
    </row>
    <row r="28" spans="1:17" x14ac:dyDescent="0.25">
      <c r="A28" s="22"/>
      <c r="B28" s="23"/>
      <c r="C28" s="23"/>
      <c r="D28" s="28">
        <f>D103*1000</f>
        <v>891323.99999999988</v>
      </c>
      <c r="E28" s="4">
        <f t="shared" ref="E28:O28" si="16">E103*1000</f>
        <v>1227797.9999999998</v>
      </c>
      <c r="F28" s="4">
        <f t="shared" si="16"/>
        <v>912869.99999999988</v>
      </c>
      <c r="G28" s="4">
        <f t="shared" si="16"/>
        <v>1036800</v>
      </c>
      <c r="H28" s="4">
        <f t="shared" si="16"/>
        <v>530712</v>
      </c>
      <c r="I28" s="4">
        <f t="shared" si="16"/>
        <v>525636.00000000012</v>
      </c>
      <c r="J28" s="4">
        <f t="shared" si="16"/>
        <v>528876.00000000012</v>
      </c>
      <c r="K28" s="4">
        <f t="shared" si="16"/>
        <v>483083.99999999994</v>
      </c>
      <c r="L28" s="4">
        <f t="shared" si="16"/>
        <v>940680.00000000012</v>
      </c>
      <c r="M28" s="4">
        <f t="shared" si="16"/>
        <v>634392.00000000012</v>
      </c>
      <c r="N28" s="4">
        <f t="shared" si="16"/>
        <v>842400.00000000012</v>
      </c>
      <c r="O28" s="4">
        <f t="shared" si="16"/>
        <v>627750</v>
      </c>
      <c r="P28" s="2"/>
      <c r="Q28" s="24"/>
    </row>
    <row r="29" spans="1:17" x14ac:dyDescent="0.25">
      <c r="A29" s="22"/>
      <c r="B29" s="23"/>
      <c r="C29" s="23"/>
      <c r="D29" s="25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4"/>
    </row>
    <row r="30" spans="1:17" x14ac:dyDescent="0.25">
      <c r="A30" s="22"/>
      <c r="B30" s="23"/>
      <c r="C30" s="23"/>
      <c r="D30" s="69"/>
      <c r="E30" s="69"/>
      <c r="F30" s="3"/>
      <c r="G30" s="3"/>
      <c r="H30" s="26"/>
      <c r="I30" s="3"/>
      <c r="J30" s="26"/>
      <c r="K30" s="3"/>
      <c r="L30" s="26"/>
      <c r="M30" s="3"/>
      <c r="N30" s="3"/>
      <c r="O30" s="3"/>
      <c r="P30" s="3"/>
      <c r="Q30" s="24"/>
    </row>
    <row r="31" spans="1:17" x14ac:dyDescent="0.25">
      <c r="A31" s="22"/>
      <c r="B31" s="23"/>
      <c r="C31" s="23"/>
      <c r="D31" s="48"/>
      <c r="E31" s="48"/>
      <c r="F31" s="4"/>
      <c r="G31" s="4"/>
      <c r="H31" s="28"/>
      <c r="I31" s="4"/>
      <c r="J31" s="28"/>
      <c r="K31" s="4"/>
      <c r="L31" s="28"/>
      <c r="M31" s="4"/>
      <c r="N31" s="4"/>
      <c r="O31" s="4"/>
      <c r="P31" s="2"/>
      <c r="Q31" s="24"/>
    </row>
    <row r="32" spans="1:17" x14ac:dyDescent="0.25">
      <c r="A32" s="22"/>
      <c r="B32" s="23"/>
      <c r="C32" s="23"/>
      <c r="D32" s="48"/>
      <c r="E32" s="48"/>
      <c r="F32" s="4"/>
      <c r="G32" s="4"/>
      <c r="H32" s="28"/>
      <c r="I32" s="4"/>
      <c r="J32" s="28"/>
      <c r="K32" s="4"/>
      <c r="L32" s="28"/>
      <c r="M32" s="4"/>
      <c r="N32" s="4"/>
      <c r="O32" s="4"/>
      <c r="P32" s="2"/>
      <c r="Q32" s="24"/>
    </row>
    <row r="33" spans="1:17" x14ac:dyDescent="0.25">
      <c r="A33" s="22"/>
      <c r="B33" s="23"/>
      <c r="C33" s="70"/>
      <c r="D33" s="48"/>
      <c r="E33" s="48"/>
      <c r="F33" s="4"/>
      <c r="G33" s="4"/>
      <c r="H33" s="28"/>
      <c r="I33" s="4"/>
      <c r="J33" s="28"/>
      <c r="K33" s="4"/>
      <c r="L33" s="28"/>
      <c r="M33" s="4"/>
      <c r="N33" s="4"/>
      <c r="O33" s="4"/>
      <c r="P33" s="2"/>
      <c r="Q33" s="24"/>
    </row>
    <row r="34" spans="1:17" x14ac:dyDescent="0.25">
      <c r="A34" s="22"/>
      <c r="B34" s="23"/>
      <c r="C34" s="23"/>
      <c r="D34" s="48"/>
      <c r="E34" s="48"/>
      <c r="F34" s="4"/>
      <c r="G34" s="4"/>
      <c r="H34" s="28"/>
      <c r="I34" s="4"/>
      <c r="J34" s="28"/>
      <c r="K34" s="4"/>
      <c r="L34" s="28"/>
      <c r="M34" s="4"/>
      <c r="N34" s="4"/>
      <c r="O34" s="4"/>
      <c r="P34" s="2"/>
      <c r="Q34" s="24"/>
    </row>
    <row r="35" spans="1:17" x14ac:dyDescent="0.25">
      <c r="A35" s="22"/>
      <c r="B35" s="23"/>
      <c r="C35" s="23"/>
      <c r="D35" s="51">
        <f>IF(D36&lt;0,1,(1-D36^-(1+D37/15))/(1-D36^-(1+D37/15+1)))</f>
        <v>0.63741315206531368</v>
      </c>
      <c r="E35" s="51">
        <f t="shared" ref="E35:O35" si="17">IF(E36&lt;0,1,(1-E36^-(1+E37/15))/(1-E36^-(1+E37/15+1)))</f>
        <v>0.82963248360269892</v>
      </c>
      <c r="F35" s="51">
        <f t="shared" si="17"/>
        <v>0.83728587771038032</v>
      </c>
      <c r="G35" s="51">
        <f t="shared" si="17"/>
        <v>0.97407582213518684</v>
      </c>
      <c r="H35" s="51">
        <f t="shared" si="17"/>
        <v>0.92695750132325649</v>
      </c>
      <c r="I35" s="51">
        <f t="shared" si="17"/>
        <v>0.99011959565490726</v>
      </c>
      <c r="J35" s="51">
        <f t="shared" si="17"/>
        <v>0.99809435043649419</v>
      </c>
      <c r="K35" s="51">
        <f t="shared" si="17"/>
        <v>0.99301576658067858</v>
      </c>
      <c r="L35" s="51">
        <f t="shared" si="17"/>
        <v>0.99731627493180419</v>
      </c>
      <c r="M35" s="51">
        <f t="shared" si="17"/>
        <v>0.92647824076069174</v>
      </c>
      <c r="N35" s="51">
        <f t="shared" si="17"/>
        <v>0.75917002951929657</v>
      </c>
      <c r="O35" s="51">
        <f t="shared" si="17"/>
        <v>0.54228620684985362</v>
      </c>
      <c r="P35" s="2"/>
      <c r="Q35" s="24"/>
    </row>
    <row r="36" spans="1:17" x14ac:dyDescent="0.25">
      <c r="A36" s="22"/>
      <c r="B36" s="23"/>
      <c r="C36" s="23"/>
      <c r="D36" s="65">
        <f>D42</f>
        <v>0.63781420977822778</v>
      </c>
      <c r="E36" s="65">
        <f t="shared" ref="E36:O36" si="18">E42</f>
        <v>0.84232038660991815</v>
      </c>
      <c r="F36" s="65">
        <f t="shared" si="18"/>
        <v>0.8515861812897505</v>
      </c>
      <c r="G36" s="65">
        <f t="shared" si="18"/>
        <v>1.121872634459735</v>
      </c>
      <c r="H36" s="65">
        <f t="shared" si="18"/>
        <v>0.98562047958653209</v>
      </c>
      <c r="I36" s="65">
        <f t="shared" si="18"/>
        <v>1.2368811298298763</v>
      </c>
      <c r="J36" s="65">
        <f t="shared" si="18"/>
        <v>1.4311514404017269</v>
      </c>
      <c r="K36" s="65">
        <f t="shared" si="18"/>
        <v>1.2775082901696404</v>
      </c>
      <c r="L36" s="65">
        <f t="shared" si="18"/>
        <v>1.3901632621677731</v>
      </c>
      <c r="M36" s="65">
        <f t="shared" si="18"/>
        <v>0.98467075874923671</v>
      </c>
      <c r="N36" s="65">
        <f t="shared" si="18"/>
        <v>0.76319988898910718</v>
      </c>
      <c r="O36" s="65">
        <f t="shared" si="18"/>
        <v>0.54232969067498116</v>
      </c>
      <c r="P36" s="2"/>
      <c r="Q36" s="24"/>
    </row>
    <row r="37" spans="1:17" x14ac:dyDescent="0.25">
      <c r="A37" s="22"/>
      <c r="B37" s="23"/>
      <c r="C37" s="23"/>
      <c r="D37" s="65">
        <f>D50</f>
        <v>197.04433497536945</v>
      </c>
      <c r="E37" s="65">
        <f t="shared" ref="E37:O37" si="19">E50</f>
        <v>197.04433497536945</v>
      </c>
      <c r="F37" s="65">
        <f t="shared" si="19"/>
        <v>197.04433497536945</v>
      </c>
      <c r="G37" s="65">
        <f t="shared" si="19"/>
        <v>197.04433497536945</v>
      </c>
      <c r="H37" s="65">
        <f t="shared" si="19"/>
        <v>197.04433497536945</v>
      </c>
      <c r="I37" s="65">
        <f t="shared" si="19"/>
        <v>197.04433497536945</v>
      </c>
      <c r="J37" s="65">
        <f t="shared" si="19"/>
        <v>197.04433497536945</v>
      </c>
      <c r="K37" s="65">
        <f t="shared" si="19"/>
        <v>197.04433497536945</v>
      </c>
      <c r="L37" s="65">
        <f t="shared" si="19"/>
        <v>197.04433497536945</v>
      </c>
      <c r="M37" s="65">
        <f t="shared" si="19"/>
        <v>197.04433497536945</v>
      </c>
      <c r="N37" s="65">
        <f t="shared" si="19"/>
        <v>197.04433497536945</v>
      </c>
      <c r="O37" s="65">
        <f t="shared" si="19"/>
        <v>197.04433497536945</v>
      </c>
      <c r="P37" s="2"/>
      <c r="Q37" s="24"/>
    </row>
    <row r="38" spans="1:17" x14ac:dyDescent="0.25">
      <c r="A38" s="22"/>
      <c r="B38" s="23"/>
      <c r="C38" s="23"/>
      <c r="D38" s="48"/>
      <c r="E38" s="48"/>
      <c r="F38" s="4"/>
      <c r="G38" s="4"/>
      <c r="H38" s="25"/>
      <c r="I38" s="4"/>
      <c r="J38" s="25"/>
      <c r="K38" s="4"/>
      <c r="L38" s="25"/>
      <c r="M38" s="4"/>
      <c r="N38" s="4"/>
      <c r="O38" s="4"/>
      <c r="P38" s="2"/>
      <c r="Q38" s="24"/>
    </row>
    <row r="39" spans="1:17" x14ac:dyDescent="0.25">
      <c r="A39" s="22"/>
      <c r="B39" s="23"/>
      <c r="C39" s="23"/>
      <c r="D39" s="28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24"/>
    </row>
    <row r="40" spans="1:17" x14ac:dyDescent="0.25">
      <c r="A40" s="22"/>
      <c r="B40" s="23"/>
      <c r="C40" s="23"/>
      <c r="D40" s="28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24"/>
    </row>
    <row r="41" spans="1:17" x14ac:dyDescent="0.25">
      <c r="A41" s="22"/>
      <c r="B41" s="23"/>
      <c r="C41" s="23"/>
      <c r="D41" s="25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4"/>
    </row>
    <row r="42" spans="1:17" x14ac:dyDescent="0.25">
      <c r="A42" s="22"/>
      <c r="B42" s="23"/>
      <c r="C42" s="23"/>
      <c r="D42" s="51">
        <f t="shared" ref="D42:O42" si="20">(D45+D46)/(D43+D44)</f>
        <v>0.63781420977822778</v>
      </c>
      <c r="E42" s="68">
        <f t="shared" si="20"/>
        <v>0.84232038660991815</v>
      </c>
      <c r="F42" s="68">
        <f t="shared" si="20"/>
        <v>0.8515861812897505</v>
      </c>
      <c r="G42" s="68">
        <f t="shared" si="20"/>
        <v>1.121872634459735</v>
      </c>
      <c r="H42" s="68">
        <f t="shared" si="20"/>
        <v>0.98562047958653209</v>
      </c>
      <c r="I42" s="68">
        <f t="shared" si="20"/>
        <v>1.2368811298298763</v>
      </c>
      <c r="J42" s="68">
        <f t="shared" si="20"/>
        <v>1.4311514404017269</v>
      </c>
      <c r="K42" s="68">
        <f t="shared" si="20"/>
        <v>1.2775082901696404</v>
      </c>
      <c r="L42" s="68">
        <f t="shared" si="20"/>
        <v>1.3901632621677731</v>
      </c>
      <c r="M42" s="68">
        <f t="shared" si="20"/>
        <v>0.98467075874923671</v>
      </c>
      <c r="N42" s="68">
        <f t="shared" si="20"/>
        <v>0.76319988898910718</v>
      </c>
      <c r="O42" s="68">
        <f t="shared" si="20"/>
        <v>0.54232969067498116</v>
      </c>
      <c r="P42" s="4"/>
      <c r="Q42" s="24"/>
    </row>
    <row r="43" spans="1:17" x14ac:dyDescent="0.25">
      <c r="A43" s="22"/>
      <c r="B43" s="23"/>
      <c r="C43" s="23"/>
      <c r="D43" s="48">
        <f t="shared" ref="D43:O43" si="21">D58</f>
        <v>1486425.6</v>
      </c>
      <c r="E43" s="4">
        <f t="shared" si="21"/>
        <v>1393156.7999999998</v>
      </c>
      <c r="F43" s="4">
        <f t="shared" si="21"/>
        <v>1130241.6000000001</v>
      </c>
      <c r="G43" s="4">
        <f t="shared" si="21"/>
        <v>980424</v>
      </c>
      <c r="H43" s="4">
        <f t="shared" si="21"/>
        <v>692539.2</v>
      </c>
      <c r="I43" s="4">
        <f t="shared" si="21"/>
        <v>592660.80000000005</v>
      </c>
      <c r="J43" s="4">
        <f t="shared" si="21"/>
        <v>517017.59999999998</v>
      </c>
      <c r="K43" s="4">
        <f t="shared" si="21"/>
        <v>552268.79999999993</v>
      </c>
      <c r="L43" s="4">
        <f t="shared" si="21"/>
        <v>657288</v>
      </c>
      <c r="M43" s="4">
        <f t="shared" si="21"/>
        <v>788011.20000000007</v>
      </c>
      <c r="N43" s="4">
        <f t="shared" si="21"/>
        <v>1199275.2</v>
      </c>
      <c r="O43" s="4">
        <f t="shared" si="21"/>
        <v>1422532.8</v>
      </c>
      <c r="P43" s="4"/>
      <c r="Q43" s="24"/>
    </row>
    <row r="44" spans="1:17" x14ac:dyDescent="0.25">
      <c r="A44" s="22"/>
      <c r="B44" s="23"/>
      <c r="C44" s="23"/>
      <c r="D44" s="48">
        <f t="shared" ref="D44:O44" si="22">D73</f>
        <v>732283.19999999984</v>
      </c>
      <c r="E44" s="4">
        <f t="shared" si="22"/>
        <v>686334.59999999986</v>
      </c>
      <c r="F44" s="4">
        <f t="shared" si="22"/>
        <v>556810.19999999995</v>
      </c>
      <c r="G44" s="4">
        <f t="shared" si="22"/>
        <v>410642.99999999988</v>
      </c>
      <c r="H44" s="4">
        <f t="shared" si="22"/>
        <v>377357.39999999997</v>
      </c>
      <c r="I44" s="4">
        <f t="shared" si="22"/>
        <v>255792.59999999998</v>
      </c>
      <c r="J44" s="4">
        <f t="shared" si="22"/>
        <v>218527.19999999995</v>
      </c>
      <c r="K44" s="4">
        <f t="shared" si="22"/>
        <v>235893.59999999995</v>
      </c>
      <c r="L44" s="4">
        <f t="shared" si="22"/>
        <v>396170.99999999988</v>
      </c>
      <c r="M44" s="4">
        <f t="shared" si="22"/>
        <v>388211.39999999991</v>
      </c>
      <c r="N44" s="4">
        <f t="shared" si="22"/>
        <v>590819.39999999979</v>
      </c>
      <c r="O44" s="4">
        <f t="shared" si="22"/>
        <v>700806.59999999986</v>
      </c>
      <c r="P44" s="4"/>
      <c r="Q44" s="24"/>
    </row>
    <row r="45" spans="1:17" x14ac:dyDescent="0.25">
      <c r="A45" s="22"/>
      <c r="B45" s="23"/>
      <c r="C45" s="23"/>
      <c r="D45" s="48">
        <f t="shared" ref="D45:O45" si="23">D93</f>
        <v>523800</v>
      </c>
      <c r="E45" s="4">
        <f t="shared" si="23"/>
        <v>523800</v>
      </c>
      <c r="F45" s="4">
        <f t="shared" si="23"/>
        <v>523800</v>
      </c>
      <c r="G45" s="4">
        <f t="shared" si="23"/>
        <v>523800</v>
      </c>
      <c r="H45" s="4">
        <f t="shared" si="23"/>
        <v>523800</v>
      </c>
      <c r="I45" s="4">
        <f t="shared" si="23"/>
        <v>523800</v>
      </c>
      <c r="J45" s="4">
        <f t="shared" si="23"/>
        <v>523800</v>
      </c>
      <c r="K45" s="4">
        <f t="shared" si="23"/>
        <v>523800</v>
      </c>
      <c r="L45" s="4">
        <f t="shared" si="23"/>
        <v>523800</v>
      </c>
      <c r="M45" s="4">
        <f t="shared" si="23"/>
        <v>523800</v>
      </c>
      <c r="N45" s="4">
        <f t="shared" si="23"/>
        <v>523800</v>
      </c>
      <c r="O45" s="4">
        <f t="shared" si="23"/>
        <v>523800</v>
      </c>
      <c r="P45" s="4"/>
      <c r="Q45" s="24"/>
    </row>
    <row r="46" spans="1:17" x14ac:dyDescent="0.25">
      <c r="A46" s="22"/>
      <c r="B46" s="23"/>
      <c r="C46" s="23"/>
      <c r="D46" s="48">
        <f t="shared" ref="D46:O46" si="24">D103*1000</f>
        <v>891323.99999999988</v>
      </c>
      <c r="E46" s="4">
        <f t="shared" si="24"/>
        <v>1227797.9999999998</v>
      </c>
      <c r="F46" s="4">
        <f t="shared" si="24"/>
        <v>912869.99999999988</v>
      </c>
      <c r="G46" s="4">
        <f t="shared" si="24"/>
        <v>1036800</v>
      </c>
      <c r="H46" s="4">
        <f t="shared" si="24"/>
        <v>530712</v>
      </c>
      <c r="I46" s="4">
        <f t="shared" si="24"/>
        <v>525636.00000000012</v>
      </c>
      <c r="J46" s="4">
        <f t="shared" si="24"/>
        <v>528876.00000000012</v>
      </c>
      <c r="K46" s="4">
        <f t="shared" si="24"/>
        <v>483083.99999999994</v>
      </c>
      <c r="L46" s="4">
        <f t="shared" si="24"/>
        <v>940680.00000000012</v>
      </c>
      <c r="M46" s="4">
        <f t="shared" si="24"/>
        <v>634392.00000000012</v>
      </c>
      <c r="N46" s="4">
        <f t="shared" si="24"/>
        <v>842400.00000000012</v>
      </c>
      <c r="O46" s="4">
        <f t="shared" si="24"/>
        <v>627750</v>
      </c>
      <c r="P46" s="4"/>
      <c r="Q46" s="24"/>
    </row>
    <row r="47" spans="1:17" x14ac:dyDescent="0.25">
      <c r="A47" s="22"/>
      <c r="B47" s="23"/>
      <c r="C47" s="23"/>
      <c r="D47" s="25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4"/>
    </row>
    <row r="48" spans="1:17" x14ac:dyDescent="0.25">
      <c r="A48" s="22"/>
      <c r="B48" s="23"/>
      <c r="C48" s="23"/>
      <c r="D48" s="25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4"/>
    </row>
    <row r="49" spans="1:17" x14ac:dyDescent="0.25">
      <c r="A49" s="22"/>
      <c r="B49" s="23"/>
      <c r="C49" s="58"/>
      <c r="D49" s="65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2"/>
      <c r="Q49" s="24"/>
    </row>
    <row r="50" spans="1:17" x14ac:dyDescent="0.25">
      <c r="A50" s="22"/>
      <c r="B50" s="23"/>
      <c r="C50" s="58"/>
      <c r="D50" s="67">
        <f>D51*D52/(D53+D54)</f>
        <v>197.04433497536945</v>
      </c>
      <c r="E50" s="68">
        <f t="shared" ref="E50:O50" si="25">E51*E52/(E53+E54)</f>
        <v>197.04433497536945</v>
      </c>
      <c r="F50" s="68">
        <f t="shared" si="25"/>
        <v>197.04433497536945</v>
      </c>
      <c r="G50" s="68">
        <f t="shared" si="25"/>
        <v>197.04433497536945</v>
      </c>
      <c r="H50" s="68">
        <f t="shared" si="25"/>
        <v>197.04433497536945</v>
      </c>
      <c r="I50" s="68">
        <f t="shared" si="25"/>
        <v>197.04433497536945</v>
      </c>
      <c r="J50" s="68">
        <f t="shared" si="25"/>
        <v>197.04433497536945</v>
      </c>
      <c r="K50" s="68">
        <f t="shared" si="25"/>
        <v>197.04433497536945</v>
      </c>
      <c r="L50" s="68">
        <f t="shared" si="25"/>
        <v>197.04433497536945</v>
      </c>
      <c r="M50" s="68">
        <f t="shared" si="25"/>
        <v>197.04433497536945</v>
      </c>
      <c r="N50" s="68">
        <f t="shared" si="25"/>
        <v>197.04433497536945</v>
      </c>
      <c r="O50" s="68">
        <f t="shared" si="25"/>
        <v>197.04433497536945</v>
      </c>
      <c r="P50" s="2"/>
      <c r="Q50" s="24"/>
    </row>
    <row r="51" spans="1:17" x14ac:dyDescent="0.25">
      <c r="A51" s="22"/>
      <c r="B51" s="23"/>
      <c r="C51" s="58"/>
      <c r="D51" s="25">
        <v>50</v>
      </c>
      <c r="E51" s="2">
        <v>50</v>
      </c>
      <c r="F51" s="2">
        <v>50</v>
      </c>
      <c r="G51" s="2">
        <v>50</v>
      </c>
      <c r="H51" s="2">
        <v>50</v>
      </c>
      <c r="I51" s="2">
        <v>50</v>
      </c>
      <c r="J51" s="2">
        <v>50</v>
      </c>
      <c r="K51" s="2">
        <v>50</v>
      </c>
      <c r="L51" s="2">
        <v>50</v>
      </c>
      <c r="M51" s="2">
        <v>50</v>
      </c>
      <c r="N51" s="2">
        <v>50</v>
      </c>
      <c r="O51" s="2">
        <v>50</v>
      </c>
      <c r="P51" s="2"/>
      <c r="Q51" s="24" t="s">
        <v>46</v>
      </c>
    </row>
    <row r="52" spans="1:17" x14ac:dyDescent="0.25">
      <c r="A52" s="22"/>
      <c r="B52" s="23"/>
      <c r="C52" s="58"/>
      <c r="D52" s="57">
        <v>600</v>
      </c>
      <c r="E52" s="90">
        <v>600</v>
      </c>
      <c r="F52" s="90">
        <v>600</v>
      </c>
      <c r="G52" s="90">
        <v>600</v>
      </c>
      <c r="H52" s="90">
        <v>600</v>
      </c>
      <c r="I52" s="90">
        <v>600</v>
      </c>
      <c r="J52" s="90">
        <v>600</v>
      </c>
      <c r="K52" s="90">
        <v>600</v>
      </c>
      <c r="L52" s="90">
        <v>600</v>
      </c>
      <c r="M52" s="90">
        <v>600</v>
      </c>
      <c r="N52" s="90">
        <v>600</v>
      </c>
      <c r="O52" s="90">
        <v>600</v>
      </c>
      <c r="P52" s="2"/>
      <c r="Q52" s="24" t="s">
        <v>46</v>
      </c>
    </row>
    <row r="53" spans="1:17" x14ac:dyDescent="0.25">
      <c r="A53" s="22"/>
      <c r="B53" s="23"/>
      <c r="C53" s="58"/>
      <c r="D53" s="57">
        <f>D65</f>
        <v>102</v>
      </c>
      <c r="E53" s="90">
        <f t="shared" ref="E53:O53" si="26">E65</f>
        <v>102</v>
      </c>
      <c r="F53" s="90">
        <f t="shared" si="26"/>
        <v>102</v>
      </c>
      <c r="G53" s="90">
        <f t="shared" si="26"/>
        <v>102</v>
      </c>
      <c r="H53" s="90">
        <f t="shared" si="26"/>
        <v>102</v>
      </c>
      <c r="I53" s="90">
        <f t="shared" si="26"/>
        <v>102</v>
      </c>
      <c r="J53" s="90">
        <f t="shared" si="26"/>
        <v>102</v>
      </c>
      <c r="K53" s="90">
        <f t="shared" si="26"/>
        <v>102</v>
      </c>
      <c r="L53" s="90">
        <f t="shared" si="26"/>
        <v>102</v>
      </c>
      <c r="M53" s="90">
        <f t="shared" si="26"/>
        <v>102</v>
      </c>
      <c r="N53" s="90">
        <f t="shared" si="26"/>
        <v>102</v>
      </c>
      <c r="O53" s="90">
        <f t="shared" si="26"/>
        <v>102</v>
      </c>
      <c r="P53" s="2"/>
      <c r="Q53" s="24"/>
    </row>
    <row r="54" spans="1:17" x14ac:dyDescent="0.25">
      <c r="A54" s="22"/>
      <c r="B54" s="23"/>
      <c r="C54" s="58"/>
      <c r="D54" s="57">
        <f>D80</f>
        <v>50.249999999999993</v>
      </c>
      <c r="E54" s="90">
        <f t="shared" ref="E54:O54" si="27">E80</f>
        <v>50.249999999999993</v>
      </c>
      <c r="F54" s="90">
        <f t="shared" si="27"/>
        <v>50.249999999999993</v>
      </c>
      <c r="G54" s="90">
        <f t="shared" si="27"/>
        <v>50.249999999999993</v>
      </c>
      <c r="H54" s="90">
        <f t="shared" si="27"/>
        <v>50.249999999999993</v>
      </c>
      <c r="I54" s="90">
        <f t="shared" si="27"/>
        <v>50.249999999999993</v>
      </c>
      <c r="J54" s="90">
        <f t="shared" si="27"/>
        <v>50.249999999999993</v>
      </c>
      <c r="K54" s="90">
        <f t="shared" si="27"/>
        <v>50.249999999999993</v>
      </c>
      <c r="L54" s="90">
        <f t="shared" si="27"/>
        <v>50.249999999999993</v>
      </c>
      <c r="M54" s="90">
        <f t="shared" si="27"/>
        <v>50.249999999999993</v>
      </c>
      <c r="N54" s="90">
        <f t="shared" si="27"/>
        <v>50.249999999999993</v>
      </c>
      <c r="O54" s="90">
        <f t="shared" si="27"/>
        <v>50.249999999999993</v>
      </c>
      <c r="P54" s="2"/>
      <c r="Q54" s="24"/>
    </row>
    <row r="55" spans="1:17" x14ac:dyDescent="0.25">
      <c r="A55" s="22"/>
      <c r="B55" s="23"/>
      <c r="C55" s="23"/>
      <c r="D55" s="25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4"/>
    </row>
    <row r="56" spans="1:17" x14ac:dyDescent="0.25">
      <c r="A56" s="22"/>
      <c r="B56" s="29"/>
      <c r="C56" s="29"/>
      <c r="D56" s="30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24" t="s">
        <v>29</v>
      </c>
    </row>
    <row r="57" spans="1:17" x14ac:dyDescent="0.25">
      <c r="A57" s="22"/>
      <c r="B57" s="29"/>
      <c r="C57" s="29"/>
      <c r="D57" s="30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24"/>
    </row>
    <row r="58" spans="1:17" x14ac:dyDescent="0.25">
      <c r="A58" s="22"/>
      <c r="B58" s="29"/>
      <c r="C58" s="29"/>
      <c r="D58" s="31">
        <f t="shared" ref="D58:O58" si="28">D59*(D60-D61)*D62</f>
        <v>1486425.6</v>
      </c>
      <c r="E58" s="6">
        <f t="shared" si="28"/>
        <v>1393156.7999999998</v>
      </c>
      <c r="F58" s="6">
        <f t="shared" si="28"/>
        <v>1130241.6000000001</v>
      </c>
      <c r="G58" s="6">
        <f t="shared" si="28"/>
        <v>980424</v>
      </c>
      <c r="H58" s="6">
        <f t="shared" si="28"/>
        <v>692539.2</v>
      </c>
      <c r="I58" s="6">
        <f t="shared" si="28"/>
        <v>592660.80000000005</v>
      </c>
      <c r="J58" s="6">
        <f t="shared" si="28"/>
        <v>517017.59999999998</v>
      </c>
      <c r="K58" s="6">
        <f t="shared" si="28"/>
        <v>552268.79999999993</v>
      </c>
      <c r="L58" s="6">
        <f t="shared" si="28"/>
        <v>657288</v>
      </c>
      <c r="M58" s="6">
        <f t="shared" si="28"/>
        <v>788011.20000000007</v>
      </c>
      <c r="N58" s="6">
        <f t="shared" si="28"/>
        <v>1199275.2</v>
      </c>
      <c r="O58" s="6">
        <f t="shared" si="28"/>
        <v>1422532.8</v>
      </c>
      <c r="P58" s="6">
        <f>SUM(D58:O58)</f>
        <v>11411841.6</v>
      </c>
      <c r="Q58" s="24"/>
    </row>
    <row r="59" spans="1:17" x14ac:dyDescent="0.25">
      <c r="A59" s="22"/>
      <c r="B59" s="29"/>
      <c r="C59" s="29"/>
      <c r="D59" s="32">
        <f t="shared" ref="D59:O59" si="29">D65</f>
        <v>102</v>
      </c>
      <c r="E59" s="7">
        <f t="shared" si="29"/>
        <v>102</v>
      </c>
      <c r="F59" s="7">
        <f t="shared" si="29"/>
        <v>102</v>
      </c>
      <c r="G59" s="7">
        <f t="shared" si="29"/>
        <v>102</v>
      </c>
      <c r="H59" s="7">
        <f t="shared" si="29"/>
        <v>102</v>
      </c>
      <c r="I59" s="7">
        <f t="shared" si="29"/>
        <v>102</v>
      </c>
      <c r="J59" s="7">
        <f t="shared" si="29"/>
        <v>102</v>
      </c>
      <c r="K59" s="7">
        <f t="shared" si="29"/>
        <v>102</v>
      </c>
      <c r="L59" s="7">
        <f t="shared" si="29"/>
        <v>102</v>
      </c>
      <c r="M59" s="7">
        <f t="shared" si="29"/>
        <v>102</v>
      </c>
      <c r="N59" s="7">
        <f t="shared" si="29"/>
        <v>102</v>
      </c>
      <c r="O59" s="7">
        <f t="shared" si="29"/>
        <v>102</v>
      </c>
      <c r="P59" s="7"/>
      <c r="Q59" s="24"/>
    </row>
    <row r="60" spans="1:17" x14ac:dyDescent="0.25">
      <c r="A60" s="22"/>
      <c r="B60" s="29"/>
      <c r="C60" s="29"/>
      <c r="D60" s="30">
        <v>21</v>
      </c>
      <c r="E60" s="5">
        <f t="shared" ref="E60:O60" si="30">D60</f>
        <v>21</v>
      </c>
      <c r="F60" s="5">
        <f t="shared" si="30"/>
        <v>21</v>
      </c>
      <c r="G60" s="5">
        <v>23</v>
      </c>
      <c r="H60" s="5">
        <v>24</v>
      </c>
      <c r="I60" s="5">
        <v>26</v>
      </c>
      <c r="J60" s="5">
        <f t="shared" si="30"/>
        <v>26</v>
      </c>
      <c r="K60" s="5">
        <f t="shared" si="30"/>
        <v>26</v>
      </c>
      <c r="L60" s="5">
        <v>23</v>
      </c>
      <c r="M60" s="5">
        <v>21</v>
      </c>
      <c r="N60" s="5">
        <v>21</v>
      </c>
      <c r="O60" s="5">
        <f t="shared" si="30"/>
        <v>21</v>
      </c>
      <c r="P60" s="5"/>
      <c r="Q60" s="24" t="s">
        <v>31</v>
      </c>
    </row>
    <row r="61" spans="1:17" x14ac:dyDescent="0.25">
      <c r="A61" s="22"/>
      <c r="B61" s="29"/>
      <c r="C61" s="29"/>
      <c r="D61" s="84">
        <v>0.76</v>
      </c>
      <c r="E61" s="85">
        <v>2.0299999999999998</v>
      </c>
      <c r="F61" s="85">
        <v>5.61</v>
      </c>
      <c r="G61" s="85">
        <v>9.65</v>
      </c>
      <c r="H61" s="85">
        <v>14.57</v>
      </c>
      <c r="I61" s="85">
        <v>17.93</v>
      </c>
      <c r="J61" s="85">
        <v>18.96</v>
      </c>
      <c r="K61" s="85">
        <v>18.48</v>
      </c>
      <c r="L61" s="85">
        <v>14.05</v>
      </c>
      <c r="M61" s="85">
        <v>10.27</v>
      </c>
      <c r="N61" s="85">
        <v>4.67</v>
      </c>
      <c r="O61" s="85">
        <v>1.63</v>
      </c>
      <c r="P61" s="5"/>
      <c r="Q61" s="24" t="s">
        <v>30</v>
      </c>
    </row>
    <row r="62" spans="1:17" x14ac:dyDescent="0.25">
      <c r="A62" s="22"/>
      <c r="B62" s="29"/>
      <c r="C62" s="29"/>
      <c r="D62" s="52">
        <f>24*30</f>
        <v>720</v>
      </c>
      <c r="E62" s="5">
        <f t="shared" ref="E62:O62" si="31">D62</f>
        <v>720</v>
      </c>
      <c r="F62" s="5">
        <f t="shared" si="31"/>
        <v>720</v>
      </c>
      <c r="G62" s="5">
        <f t="shared" si="31"/>
        <v>720</v>
      </c>
      <c r="H62" s="5">
        <f t="shared" si="31"/>
        <v>720</v>
      </c>
      <c r="I62" s="5">
        <f t="shared" si="31"/>
        <v>720</v>
      </c>
      <c r="J62" s="5">
        <f t="shared" si="31"/>
        <v>720</v>
      </c>
      <c r="K62" s="5">
        <f t="shared" si="31"/>
        <v>720</v>
      </c>
      <c r="L62" s="5">
        <f t="shared" si="31"/>
        <v>720</v>
      </c>
      <c r="M62" s="5">
        <f t="shared" si="31"/>
        <v>720</v>
      </c>
      <c r="N62" s="5">
        <f t="shared" si="31"/>
        <v>720</v>
      </c>
      <c r="O62" s="5">
        <f t="shared" si="31"/>
        <v>720</v>
      </c>
      <c r="P62" s="5"/>
      <c r="Q62" s="24"/>
    </row>
    <row r="63" spans="1:17" x14ac:dyDescent="0.25">
      <c r="A63" s="22"/>
      <c r="B63" s="29"/>
      <c r="C63" s="29"/>
      <c r="D63" s="30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24"/>
    </row>
    <row r="64" spans="1:17" x14ac:dyDescent="0.25">
      <c r="A64" s="22"/>
      <c r="B64" s="29"/>
      <c r="C64" s="29"/>
      <c r="D64" s="30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24"/>
    </row>
    <row r="65" spans="1:17" x14ac:dyDescent="0.25">
      <c r="A65" s="22"/>
      <c r="B65" s="29"/>
      <c r="C65" s="29"/>
      <c r="D65" s="32">
        <f t="shared" ref="D65:O65" si="32">D66*D68+D67*D69</f>
        <v>102</v>
      </c>
      <c r="E65" s="7">
        <f t="shared" si="32"/>
        <v>102</v>
      </c>
      <c r="F65" s="7">
        <f t="shared" si="32"/>
        <v>102</v>
      </c>
      <c r="G65" s="7">
        <f t="shared" si="32"/>
        <v>102</v>
      </c>
      <c r="H65" s="7">
        <f t="shared" si="32"/>
        <v>102</v>
      </c>
      <c r="I65" s="7">
        <f t="shared" si="32"/>
        <v>102</v>
      </c>
      <c r="J65" s="7">
        <f t="shared" si="32"/>
        <v>102</v>
      </c>
      <c r="K65" s="7">
        <f t="shared" si="32"/>
        <v>102</v>
      </c>
      <c r="L65" s="7">
        <f t="shared" si="32"/>
        <v>102</v>
      </c>
      <c r="M65" s="7">
        <f t="shared" si="32"/>
        <v>102</v>
      </c>
      <c r="N65" s="7">
        <f t="shared" si="32"/>
        <v>102</v>
      </c>
      <c r="O65" s="7">
        <f t="shared" si="32"/>
        <v>102</v>
      </c>
      <c r="P65" s="7"/>
      <c r="Q65" s="24"/>
    </row>
    <row r="66" spans="1:17" x14ac:dyDescent="0.25">
      <c r="A66" s="22"/>
      <c r="B66" s="29"/>
      <c r="C66" s="29"/>
      <c r="D66" s="32">
        <v>300</v>
      </c>
      <c r="E66" s="7">
        <f t="shared" ref="E66:O66" si="33">D66</f>
        <v>300</v>
      </c>
      <c r="F66" s="7">
        <f t="shared" si="33"/>
        <v>300</v>
      </c>
      <c r="G66" s="7">
        <f t="shared" si="33"/>
        <v>300</v>
      </c>
      <c r="H66" s="7">
        <f t="shared" si="33"/>
        <v>300</v>
      </c>
      <c r="I66" s="7">
        <f t="shared" si="33"/>
        <v>300</v>
      </c>
      <c r="J66" s="7">
        <f t="shared" si="33"/>
        <v>300</v>
      </c>
      <c r="K66" s="7">
        <f t="shared" si="33"/>
        <v>300</v>
      </c>
      <c r="L66" s="7">
        <f t="shared" si="33"/>
        <v>300</v>
      </c>
      <c r="M66" s="7">
        <f t="shared" si="33"/>
        <v>300</v>
      </c>
      <c r="N66" s="7">
        <f t="shared" si="33"/>
        <v>300</v>
      </c>
      <c r="O66" s="7">
        <f t="shared" si="33"/>
        <v>300</v>
      </c>
      <c r="P66" s="7"/>
      <c r="Q66" s="24" t="s">
        <v>0</v>
      </c>
    </row>
    <row r="67" spans="1:17" x14ac:dyDescent="0.25">
      <c r="A67" s="22"/>
      <c r="B67" s="29"/>
      <c r="C67" s="29"/>
      <c r="D67" s="32">
        <v>60</v>
      </c>
      <c r="E67" s="7">
        <f t="shared" ref="E67:O67" si="34">D67</f>
        <v>60</v>
      </c>
      <c r="F67" s="7">
        <f t="shared" si="34"/>
        <v>60</v>
      </c>
      <c r="G67" s="7">
        <f t="shared" si="34"/>
        <v>60</v>
      </c>
      <c r="H67" s="7">
        <f t="shared" si="34"/>
        <v>60</v>
      </c>
      <c r="I67" s="7">
        <f t="shared" si="34"/>
        <v>60</v>
      </c>
      <c r="J67" s="7">
        <f t="shared" si="34"/>
        <v>60</v>
      </c>
      <c r="K67" s="7">
        <f t="shared" si="34"/>
        <v>60</v>
      </c>
      <c r="L67" s="7">
        <f t="shared" si="34"/>
        <v>60</v>
      </c>
      <c r="M67" s="7">
        <f t="shared" si="34"/>
        <v>60</v>
      </c>
      <c r="N67" s="7">
        <f t="shared" si="34"/>
        <v>60</v>
      </c>
      <c r="O67" s="7">
        <f t="shared" si="34"/>
        <v>60</v>
      </c>
      <c r="P67" s="7"/>
      <c r="Q67" s="24"/>
    </row>
    <row r="68" spans="1:17" x14ac:dyDescent="0.25">
      <c r="A68" s="22"/>
      <c r="B68" s="29"/>
      <c r="C68" s="29"/>
      <c r="D68" s="71">
        <v>0.18</v>
      </c>
      <c r="E68" s="8">
        <f t="shared" ref="E68:O68" si="35">D68</f>
        <v>0.18</v>
      </c>
      <c r="F68" s="8">
        <f t="shared" si="35"/>
        <v>0.18</v>
      </c>
      <c r="G68" s="8">
        <f t="shared" si="35"/>
        <v>0.18</v>
      </c>
      <c r="H68" s="8">
        <f t="shared" si="35"/>
        <v>0.18</v>
      </c>
      <c r="I68" s="8">
        <f t="shared" si="35"/>
        <v>0.18</v>
      </c>
      <c r="J68" s="8">
        <f t="shared" si="35"/>
        <v>0.18</v>
      </c>
      <c r="K68" s="8">
        <f t="shared" si="35"/>
        <v>0.18</v>
      </c>
      <c r="L68" s="8">
        <f t="shared" si="35"/>
        <v>0.18</v>
      </c>
      <c r="M68" s="8">
        <f t="shared" si="35"/>
        <v>0.18</v>
      </c>
      <c r="N68" s="8">
        <f t="shared" si="35"/>
        <v>0.18</v>
      </c>
      <c r="O68" s="8">
        <f t="shared" si="35"/>
        <v>0.18</v>
      </c>
      <c r="P68" s="8"/>
      <c r="Q68" s="24" t="s">
        <v>18</v>
      </c>
    </row>
    <row r="69" spans="1:17" x14ac:dyDescent="0.25">
      <c r="A69" s="22"/>
      <c r="B69" s="29"/>
      <c r="C69" s="29"/>
      <c r="D69" s="30">
        <v>0.8</v>
      </c>
      <c r="E69" s="5">
        <f t="shared" ref="E69:O69" si="36">D69</f>
        <v>0.8</v>
      </c>
      <c r="F69" s="5">
        <f t="shared" si="36"/>
        <v>0.8</v>
      </c>
      <c r="G69" s="5">
        <f t="shared" si="36"/>
        <v>0.8</v>
      </c>
      <c r="H69" s="5">
        <f t="shared" si="36"/>
        <v>0.8</v>
      </c>
      <c r="I69" s="5">
        <f t="shared" si="36"/>
        <v>0.8</v>
      </c>
      <c r="J69" s="5">
        <f t="shared" si="36"/>
        <v>0.8</v>
      </c>
      <c r="K69" s="5">
        <f t="shared" si="36"/>
        <v>0.8</v>
      </c>
      <c r="L69" s="5">
        <f t="shared" si="36"/>
        <v>0.8</v>
      </c>
      <c r="M69" s="5">
        <f t="shared" si="36"/>
        <v>0.8</v>
      </c>
      <c r="N69" s="5">
        <f t="shared" si="36"/>
        <v>0.8</v>
      </c>
      <c r="O69" s="5">
        <f t="shared" si="36"/>
        <v>0.8</v>
      </c>
      <c r="P69" s="5"/>
      <c r="Q69" s="24"/>
    </row>
    <row r="70" spans="1:17" x14ac:dyDescent="0.25">
      <c r="A70" s="22"/>
      <c r="B70" s="29"/>
      <c r="C70" s="29"/>
      <c r="D70" s="30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24"/>
    </row>
    <row r="71" spans="1:17" x14ac:dyDescent="0.25">
      <c r="A71" s="22"/>
      <c r="B71" s="33"/>
      <c r="C71" s="33"/>
      <c r="D71" s="34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24"/>
    </row>
    <row r="72" spans="1:17" x14ac:dyDescent="0.25">
      <c r="A72" s="22"/>
      <c r="B72" s="33"/>
      <c r="C72" s="33"/>
      <c r="D72" s="34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24"/>
    </row>
    <row r="73" spans="1:17" x14ac:dyDescent="0.25">
      <c r="A73" s="22"/>
      <c r="B73" s="33"/>
      <c r="C73" s="33"/>
      <c r="D73" s="35">
        <f t="shared" ref="D73:O73" si="37">D74*(D75-D76)*D77</f>
        <v>732283.19999999984</v>
      </c>
      <c r="E73" s="10">
        <f t="shared" si="37"/>
        <v>686334.59999999986</v>
      </c>
      <c r="F73" s="10">
        <f t="shared" si="37"/>
        <v>556810.19999999995</v>
      </c>
      <c r="G73" s="10">
        <f t="shared" si="37"/>
        <v>410642.99999999988</v>
      </c>
      <c r="H73" s="10">
        <f t="shared" si="37"/>
        <v>377357.39999999997</v>
      </c>
      <c r="I73" s="10">
        <f t="shared" si="37"/>
        <v>255792.59999999998</v>
      </c>
      <c r="J73" s="10">
        <f t="shared" si="37"/>
        <v>218527.19999999995</v>
      </c>
      <c r="K73" s="10">
        <f t="shared" si="37"/>
        <v>235893.59999999995</v>
      </c>
      <c r="L73" s="10">
        <f t="shared" si="37"/>
        <v>396170.99999999988</v>
      </c>
      <c r="M73" s="10">
        <f t="shared" si="37"/>
        <v>388211.39999999991</v>
      </c>
      <c r="N73" s="10">
        <f t="shared" si="37"/>
        <v>590819.39999999979</v>
      </c>
      <c r="O73" s="10">
        <f t="shared" si="37"/>
        <v>700806.59999999986</v>
      </c>
      <c r="P73" s="10">
        <f>SUM(D73:O73)</f>
        <v>5549650.1999999983</v>
      </c>
      <c r="Q73" s="24"/>
    </row>
    <row r="74" spans="1:17" x14ac:dyDescent="0.25">
      <c r="A74" s="22"/>
      <c r="B74" s="33"/>
      <c r="C74" s="33"/>
      <c r="D74" s="36">
        <f t="shared" ref="D74:O74" si="38">D80</f>
        <v>50.249999999999993</v>
      </c>
      <c r="E74" s="11">
        <f t="shared" si="38"/>
        <v>50.249999999999993</v>
      </c>
      <c r="F74" s="11">
        <f t="shared" si="38"/>
        <v>50.249999999999993</v>
      </c>
      <c r="G74" s="11">
        <f t="shared" si="38"/>
        <v>50.249999999999993</v>
      </c>
      <c r="H74" s="11">
        <f t="shared" si="38"/>
        <v>50.249999999999993</v>
      </c>
      <c r="I74" s="11">
        <f t="shared" si="38"/>
        <v>50.249999999999993</v>
      </c>
      <c r="J74" s="11">
        <f t="shared" si="38"/>
        <v>50.249999999999993</v>
      </c>
      <c r="K74" s="11">
        <f t="shared" si="38"/>
        <v>50.249999999999993</v>
      </c>
      <c r="L74" s="11">
        <f t="shared" si="38"/>
        <v>50.249999999999993</v>
      </c>
      <c r="M74" s="11">
        <f t="shared" si="38"/>
        <v>50.249999999999993</v>
      </c>
      <c r="N74" s="11">
        <f t="shared" si="38"/>
        <v>50.249999999999993</v>
      </c>
      <c r="O74" s="11">
        <f t="shared" si="38"/>
        <v>50.249999999999993</v>
      </c>
      <c r="P74" s="11"/>
      <c r="Q74" s="24"/>
    </row>
    <row r="75" spans="1:17" x14ac:dyDescent="0.25">
      <c r="A75" s="22"/>
      <c r="B75" s="33"/>
      <c r="C75" s="33"/>
      <c r="D75" s="34">
        <f t="shared" ref="D75:E77" si="39">D60</f>
        <v>21</v>
      </c>
      <c r="E75" s="9">
        <f t="shared" si="39"/>
        <v>21</v>
      </c>
      <c r="F75" s="9">
        <f t="shared" ref="F75" si="40">F60</f>
        <v>21</v>
      </c>
      <c r="G75" s="9">
        <v>21</v>
      </c>
      <c r="H75" s="9">
        <v>25</v>
      </c>
      <c r="I75" s="9">
        <v>25</v>
      </c>
      <c r="J75" s="9">
        <v>25</v>
      </c>
      <c r="K75" s="9">
        <v>25</v>
      </c>
      <c r="L75" s="9">
        <v>25</v>
      </c>
      <c r="M75" s="9">
        <v>21</v>
      </c>
      <c r="N75" s="9">
        <f t="shared" ref="N75:O75" si="41">N60</f>
        <v>21</v>
      </c>
      <c r="O75" s="9">
        <f t="shared" si="41"/>
        <v>21</v>
      </c>
      <c r="P75" s="9"/>
      <c r="Q75" s="24" t="s">
        <v>32</v>
      </c>
    </row>
    <row r="76" spans="1:17" x14ac:dyDescent="0.25">
      <c r="A76" s="22"/>
      <c r="B76" s="33"/>
      <c r="C76" s="33"/>
      <c r="D76" s="34">
        <f t="shared" si="39"/>
        <v>0.76</v>
      </c>
      <c r="E76" s="9">
        <f t="shared" si="39"/>
        <v>2.0299999999999998</v>
      </c>
      <c r="F76" s="9">
        <f t="shared" ref="F76:G76" si="42">F61</f>
        <v>5.61</v>
      </c>
      <c r="G76" s="9">
        <f t="shared" si="42"/>
        <v>9.65</v>
      </c>
      <c r="H76" s="9">
        <f t="shared" ref="H76:O76" si="43">H61</f>
        <v>14.57</v>
      </c>
      <c r="I76" s="9">
        <f t="shared" si="43"/>
        <v>17.93</v>
      </c>
      <c r="J76" s="9">
        <f t="shared" si="43"/>
        <v>18.96</v>
      </c>
      <c r="K76" s="9">
        <f t="shared" si="43"/>
        <v>18.48</v>
      </c>
      <c r="L76" s="9">
        <f t="shared" si="43"/>
        <v>14.05</v>
      </c>
      <c r="M76" s="9">
        <f t="shared" si="43"/>
        <v>10.27</v>
      </c>
      <c r="N76" s="9">
        <f t="shared" si="43"/>
        <v>4.67</v>
      </c>
      <c r="O76" s="9">
        <f t="shared" si="43"/>
        <v>1.63</v>
      </c>
      <c r="P76" s="9"/>
      <c r="Q76" s="24" t="s">
        <v>33</v>
      </c>
    </row>
    <row r="77" spans="1:17" x14ac:dyDescent="0.25">
      <c r="A77" s="22"/>
      <c r="B77" s="33"/>
      <c r="C77" s="33"/>
      <c r="D77" s="34">
        <f t="shared" si="39"/>
        <v>720</v>
      </c>
      <c r="E77" s="9">
        <f t="shared" si="39"/>
        <v>720</v>
      </c>
      <c r="F77" s="9">
        <f t="shared" ref="F77:G77" si="44">F62</f>
        <v>720</v>
      </c>
      <c r="G77" s="9">
        <f t="shared" si="44"/>
        <v>720</v>
      </c>
      <c r="H77" s="9">
        <f t="shared" ref="H77:O77" si="45">H62</f>
        <v>720</v>
      </c>
      <c r="I77" s="9">
        <f t="shared" si="45"/>
        <v>720</v>
      </c>
      <c r="J77" s="9">
        <f t="shared" si="45"/>
        <v>720</v>
      </c>
      <c r="K77" s="9">
        <f t="shared" si="45"/>
        <v>720</v>
      </c>
      <c r="L77" s="9">
        <f t="shared" si="45"/>
        <v>720</v>
      </c>
      <c r="M77" s="9">
        <f t="shared" si="45"/>
        <v>720</v>
      </c>
      <c r="N77" s="9">
        <f t="shared" si="45"/>
        <v>720</v>
      </c>
      <c r="O77" s="9">
        <f t="shared" si="45"/>
        <v>720</v>
      </c>
      <c r="P77" s="9"/>
      <c r="Q77" s="24"/>
    </row>
    <row r="78" spans="1:17" x14ac:dyDescent="0.25">
      <c r="A78" s="22"/>
      <c r="B78" s="33"/>
      <c r="C78" s="33"/>
      <c r="D78" s="34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24"/>
    </row>
    <row r="79" spans="1:17" x14ac:dyDescent="0.25">
      <c r="A79" s="22"/>
      <c r="B79" s="33"/>
      <c r="C79" s="33"/>
      <c r="D79" s="34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24"/>
    </row>
    <row r="80" spans="1:17" x14ac:dyDescent="0.25">
      <c r="A80" s="22"/>
      <c r="B80" s="33"/>
      <c r="C80" s="33"/>
      <c r="D80" s="36">
        <f t="shared" ref="D80:O80" si="46">D81*D82*D83</f>
        <v>50.249999999999993</v>
      </c>
      <c r="E80" s="11">
        <f t="shared" si="46"/>
        <v>50.249999999999993</v>
      </c>
      <c r="F80" s="11">
        <f t="shared" si="46"/>
        <v>50.249999999999993</v>
      </c>
      <c r="G80" s="11">
        <f t="shared" si="46"/>
        <v>50.249999999999993</v>
      </c>
      <c r="H80" s="11">
        <f t="shared" si="46"/>
        <v>50.249999999999993</v>
      </c>
      <c r="I80" s="11">
        <f t="shared" si="46"/>
        <v>50.249999999999993</v>
      </c>
      <c r="J80" s="11">
        <f t="shared" si="46"/>
        <v>50.249999999999993</v>
      </c>
      <c r="K80" s="11">
        <f t="shared" si="46"/>
        <v>50.249999999999993</v>
      </c>
      <c r="L80" s="11">
        <f t="shared" si="46"/>
        <v>50.249999999999993</v>
      </c>
      <c r="M80" s="11">
        <f t="shared" si="46"/>
        <v>50.249999999999993</v>
      </c>
      <c r="N80" s="11">
        <f t="shared" si="46"/>
        <v>50.249999999999993</v>
      </c>
      <c r="O80" s="11">
        <f t="shared" si="46"/>
        <v>50.249999999999993</v>
      </c>
      <c r="P80" s="11"/>
      <c r="Q80" s="24"/>
    </row>
    <row r="81" spans="1:17" x14ac:dyDescent="0.25">
      <c r="A81" s="22"/>
      <c r="B81" s="33"/>
      <c r="C81" s="33"/>
      <c r="D81" s="37">
        <f t="shared" ref="D81:O81" si="47">D86/3600</f>
        <v>4.1666666666666664E-2</v>
      </c>
      <c r="E81" s="12">
        <f t="shared" si="47"/>
        <v>4.1666666666666664E-2</v>
      </c>
      <c r="F81" s="12">
        <f t="shared" si="47"/>
        <v>4.1666666666666664E-2</v>
      </c>
      <c r="G81" s="12">
        <f t="shared" si="47"/>
        <v>4.1666666666666664E-2</v>
      </c>
      <c r="H81" s="12">
        <f t="shared" si="47"/>
        <v>4.1666666666666664E-2</v>
      </c>
      <c r="I81" s="12">
        <f t="shared" si="47"/>
        <v>4.1666666666666664E-2</v>
      </c>
      <c r="J81" s="12">
        <f t="shared" si="47"/>
        <v>4.1666666666666664E-2</v>
      </c>
      <c r="K81" s="12">
        <f t="shared" si="47"/>
        <v>4.1666666666666664E-2</v>
      </c>
      <c r="L81" s="12">
        <f t="shared" si="47"/>
        <v>4.1666666666666664E-2</v>
      </c>
      <c r="M81" s="12">
        <f t="shared" si="47"/>
        <v>4.1666666666666664E-2</v>
      </c>
      <c r="N81" s="12">
        <f t="shared" si="47"/>
        <v>4.1666666666666664E-2</v>
      </c>
      <c r="O81" s="12">
        <f t="shared" si="47"/>
        <v>4.1666666666666664E-2</v>
      </c>
      <c r="P81" s="12"/>
      <c r="Q81" s="24"/>
    </row>
    <row r="82" spans="1:17" x14ac:dyDescent="0.25">
      <c r="A82" s="22"/>
      <c r="B82" s="33"/>
      <c r="C82" s="33"/>
      <c r="D82" s="34">
        <v>1.2</v>
      </c>
      <c r="E82" s="9">
        <f>D82</f>
        <v>1.2</v>
      </c>
      <c r="F82" s="9">
        <f t="shared" ref="F82:O82" si="48">E82</f>
        <v>1.2</v>
      </c>
      <c r="G82" s="9">
        <f t="shared" si="48"/>
        <v>1.2</v>
      </c>
      <c r="H82" s="9">
        <f t="shared" si="48"/>
        <v>1.2</v>
      </c>
      <c r="I82" s="9">
        <f t="shared" si="48"/>
        <v>1.2</v>
      </c>
      <c r="J82" s="9">
        <f t="shared" si="48"/>
        <v>1.2</v>
      </c>
      <c r="K82" s="9">
        <f t="shared" si="48"/>
        <v>1.2</v>
      </c>
      <c r="L82" s="9">
        <f t="shared" si="48"/>
        <v>1.2</v>
      </c>
      <c r="M82" s="9">
        <f t="shared" si="48"/>
        <v>1.2</v>
      </c>
      <c r="N82" s="9">
        <f t="shared" si="48"/>
        <v>1.2</v>
      </c>
      <c r="O82" s="9">
        <f t="shared" si="48"/>
        <v>1.2</v>
      </c>
      <c r="P82" s="9"/>
      <c r="Q82" s="24"/>
    </row>
    <row r="83" spans="1:17" x14ac:dyDescent="0.25">
      <c r="A83" s="22"/>
      <c r="B83" s="33"/>
      <c r="C83" s="33"/>
      <c r="D83" s="34">
        <v>1005</v>
      </c>
      <c r="E83" s="9">
        <f>D83</f>
        <v>1005</v>
      </c>
      <c r="F83" s="9">
        <f t="shared" ref="F83:O83" si="49">E83</f>
        <v>1005</v>
      </c>
      <c r="G83" s="9">
        <f t="shared" si="49"/>
        <v>1005</v>
      </c>
      <c r="H83" s="9">
        <f t="shared" si="49"/>
        <v>1005</v>
      </c>
      <c r="I83" s="9">
        <f t="shared" si="49"/>
        <v>1005</v>
      </c>
      <c r="J83" s="9">
        <f t="shared" si="49"/>
        <v>1005</v>
      </c>
      <c r="K83" s="9">
        <f t="shared" si="49"/>
        <v>1005</v>
      </c>
      <c r="L83" s="9">
        <f t="shared" si="49"/>
        <v>1005</v>
      </c>
      <c r="M83" s="9">
        <f t="shared" si="49"/>
        <v>1005</v>
      </c>
      <c r="N83" s="9">
        <f t="shared" si="49"/>
        <v>1005</v>
      </c>
      <c r="O83" s="9">
        <f t="shared" si="49"/>
        <v>1005</v>
      </c>
      <c r="P83" s="9"/>
      <c r="Q83" s="24"/>
    </row>
    <row r="84" spans="1:17" x14ac:dyDescent="0.25">
      <c r="A84" s="22"/>
      <c r="B84" s="33"/>
      <c r="C84" s="33"/>
      <c r="D84" s="34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24"/>
    </row>
    <row r="85" spans="1:17" x14ac:dyDescent="0.25">
      <c r="A85" s="22"/>
      <c r="B85" s="33"/>
      <c r="C85" s="33"/>
      <c r="D85" s="34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24"/>
    </row>
    <row r="86" spans="1:17" x14ac:dyDescent="0.25">
      <c r="A86" s="22"/>
      <c r="B86" s="33"/>
      <c r="C86" s="33"/>
      <c r="D86" s="34">
        <f t="shared" ref="D86:O86" si="50">D87*(1-D89)+D88</f>
        <v>150</v>
      </c>
      <c r="E86" s="9">
        <f t="shared" si="50"/>
        <v>150</v>
      </c>
      <c r="F86" s="9">
        <f t="shared" si="50"/>
        <v>150</v>
      </c>
      <c r="G86" s="9">
        <f t="shared" si="50"/>
        <v>150</v>
      </c>
      <c r="H86" s="9">
        <f t="shared" si="50"/>
        <v>150</v>
      </c>
      <c r="I86" s="9">
        <f t="shared" si="50"/>
        <v>150</v>
      </c>
      <c r="J86" s="9">
        <f t="shared" si="50"/>
        <v>150</v>
      </c>
      <c r="K86" s="9">
        <f t="shared" si="50"/>
        <v>150</v>
      </c>
      <c r="L86" s="9">
        <f t="shared" si="50"/>
        <v>150</v>
      </c>
      <c r="M86" s="9">
        <f t="shared" si="50"/>
        <v>150</v>
      </c>
      <c r="N86" s="9">
        <f t="shared" si="50"/>
        <v>150</v>
      </c>
      <c r="O86" s="9">
        <f t="shared" si="50"/>
        <v>150</v>
      </c>
      <c r="P86" s="9"/>
      <c r="Q86" s="24" t="s">
        <v>24</v>
      </c>
    </row>
    <row r="87" spans="1:17" x14ac:dyDescent="0.25">
      <c r="A87" s="22"/>
      <c r="B87" s="33"/>
      <c r="C87" s="33"/>
      <c r="D87" s="34">
        <f t="shared" ref="D87" si="51">0.6*200</f>
        <v>120</v>
      </c>
      <c r="E87" s="9">
        <f t="shared" ref="E87:O87" si="52">D87</f>
        <v>120</v>
      </c>
      <c r="F87" s="9">
        <f t="shared" si="52"/>
        <v>120</v>
      </c>
      <c r="G87" s="9">
        <f t="shared" si="52"/>
        <v>120</v>
      </c>
      <c r="H87" s="9">
        <f t="shared" si="52"/>
        <v>120</v>
      </c>
      <c r="I87" s="9">
        <f t="shared" si="52"/>
        <v>120</v>
      </c>
      <c r="J87" s="9">
        <f t="shared" si="52"/>
        <v>120</v>
      </c>
      <c r="K87" s="9">
        <f t="shared" si="52"/>
        <v>120</v>
      </c>
      <c r="L87" s="9">
        <f t="shared" si="52"/>
        <v>120</v>
      </c>
      <c r="M87" s="9">
        <f t="shared" si="52"/>
        <v>120</v>
      </c>
      <c r="N87" s="9">
        <f t="shared" si="52"/>
        <v>120</v>
      </c>
      <c r="O87" s="9">
        <f t="shared" si="52"/>
        <v>120</v>
      </c>
      <c r="P87" s="9"/>
      <c r="Q87" s="24" t="s">
        <v>14</v>
      </c>
    </row>
    <row r="88" spans="1:17" x14ac:dyDescent="0.25">
      <c r="A88" s="22"/>
      <c r="B88" s="33"/>
      <c r="C88" s="33"/>
      <c r="D88" s="34">
        <f t="shared" ref="D88" si="53">0.15*200</f>
        <v>30</v>
      </c>
      <c r="E88" s="9">
        <f>D88</f>
        <v>30</v>
      </c>
      <c r="F88" s="9">
        <f t="shared" ref="F88:O88" si="54">E88</f>
        <v>30</v>
      </c>
      <c r="G88" s="9">
        <f t="shared" si="54"/>
        <v>30</v>
      </c>
      <c r="H88" s="9">
        <f t="shared" si="54"/>
        <v>30</v>
      </c>
      <c r="I88" s="9">
        <f t="shared" si="54"/>
        <v>30</v>
      </c>
      <c r="J88" s="9">
        <f t="shared" si="54"/>
        <v>30</v>
      </c>
      <c r="K88" s="9">
        <f t="shared" si="54"/>
        <v>30</v>
      </c>
      <c r="L88" s="9">
        <f t="shared" si="54"/>
        <v>30</v>
      </c>
      <c r="M88" s="9">
        <f t="shared" si="54"/>
        <v>30</v>
      </c>
      <c r="N88" s="9">
        <f t="shared" si="54"/>
        <v>30</v>
      </c>
      <c r="O88" s="9">
        <f t="shared" si="54"/>
        <v>30</v>
      </c>
      <c r="P88" s="9"/>
      <c r="Q88" s="24" t="s">
        <v>14</v>
      </c>
    </row>
    <row r="89" spans="1:17" x14ac:dyDescent="0.25">
      <c r="A89" s="22"/>
      <c r="B89" s="33"/>
      <c r="C89" s="33"/>
      <c r="D89" s="34">
        <v>0</v>
      </c>
      <c r="E89" s="9">
        <f>D89</f>
        <v>0</v>
      </c>
      <c r="F89" s="9">
        <f t="shared" ref="F89:O89" si="55">E89</f>
        <v>0</v>
      </c>
      <c r="G89" s="9">
        <f t="shared" si="55"/>
        <v>0</v>
      </c>
      <c r="H89" s="9">
        <f t="shared" si="55"/>
        <v>0</v>
      </c>
      <c r="I89" s="9">
        <f t="shared" si="55"/>
        <v>0</v>
      </c>
      <c r="J89" s="9">
        <f t="shared" si="55"/>
        <v>0</v>
      </c>
      <c r="K89" s="9">
        <f t="shared" si="55"/>
        <v>0</v>
      </c>
      <c r="L89" s="9">
        <f t="shared" si="55"/>
        <v>0</v>
      </c>
      <c r="M89" s="9">
        <f t="shared" si="55"/>
        <v>0</v>
      </c>
      <c r="N89" s="9">
        <f t="shared" si="55"/>
        <v>0</v>
      </c>
      <c r="O89" s="9">
        <f t="shared" si="55"/>
        <v>0</v>
      </c>
      <c r="P89" s="9"/>
      <c r="Q89" s="24" t="s">
        <v>15</v>
      </c>
    </row>
    <row r="90" spans="1:17" x14ac:dyDescent="0.25">
      <c r="A90" s="22"/>
      <c r="B90" s="33"/>
      <c r="C90" s="33"/>
      <c r="D90" s="34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24"/>
    </row>
    <row r="91" spans="1:17" x14ac:dyDescent="0.25">
      <c r="A91" s="22"/>
      <c r="B91" s="38"/>
      <c r="C91" s="38"/>
      <c r="D91" s="39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24"/>
    </row>
    <row r="92" spans="1:17" x14ac:dyDescent="0.25">
      <c r="A92" s="22"/>
      <c r="B92" s="38"/>
      <c r="C92" s="38"/>
      <c r="D92" s="39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24"/>
    </row>
    <row r="93" spans="1:17" x14ac:dyDescent="0.25">
      <c r="A93" s="22"/>
      <c r="B93" s="38"/>
      <c r="C93" s="38"/>
      <c r="D93" s="40">
        <f t="shared" ref="D93:O93" si="56">D94*D97+D95*D98+D96*D99</f>
        <v>523800</v>
      </c>
      <c r="E93" s="14">
        <f t="shared" si="56"/>
        <v>523800</v>
      </c>
      <c r="F93" s="14">
        <f t="shared" si="56"/>
        <v>523800</v>
      </c>
      <c r="G93" s="14">
        <f t="shared" si="56"/>
        <v>523800</v>
      </c>
      <c r="H93" s="14">
        <f t="shared" si="56"/>
        <v>523800</v>
      </c>
      <c r="I93" s="14">
        <f t="shared" si="56"/>
        <v>523800</v>
      </c>
      <c r="J93" s="14">
        <f t="shared" si="56"/>
        <v>523800</v>
      </c>
      <c r="K93" s="14">
        <f t="shared" si="56"/>
        <v>523800</v>
      </c>
      <c r="L93" s="14">
        <f t="shared" si="56"/>
        <v>523800</v>
      </c>
      <c r="M93" s="14">
        <f t="shared" si="56"/>
        <v>523800</v>
      </c>
      <c r="N93" s="14">
        <f t="shared" si="56"/>
        <v>523800</v>
      </c>
      <c r="O93" s="14">
        <f t="shared" si="56"/>
        <v>523800</v>
      </c>
      <c r="P93" s="14">
        <f>SUM(D93:O93)</f>
        <v>6285600</v>
      </c>
      <c r="Q93" s="24"/>
    </row>
    <row r="94" spans="1:17" x14ac:dyDescent="0.25">
      <c r="A94" s="22"/>
      <c r="B94" s="38"/>
      <c r="C94" s="38"/>
      <c r="D94" s="39">
        <f t="shared" ref="D94" si="57">1.4*200</f>
        <v>280</v>
      </c>
      <c r="E94" s="13">
        <f>D94</f>
        <v>280</v>
      </c>
      <c r="F94" s="13">
        <f t="shared" ref="F94:O94" si="58">E94</f>
        <v>280</v>
      </c>
      <c r="G94" s="13">
        <f t="shared" si="58"/>
        <v>280</v>
      </c>
      <c r="H94" s="13">
        <f t="shared" si="58"/>
        <v>280</v>
      </c>
      <c r="I94" s="13">
        <f t="shared" si="58"/>
        <v>280</v>
      </c>
      <c r="J94" s="13">
        <f t="shared" si="58"/>
        <v>280</v>
      </c>
      <c r="K94" s="13">
        <f t="shared" si="58"/>
        <v>280</v>
      </c>
      <c r="L94" s="13">
        <f t="shared" si="58"/>
        <v>280</v>
      </c>
      <c r="M94" s="13">
        <f t="shared" si="58"/>
        <v>280</v>
      </c>
      <c r="N94" s="13">
        <f t="shared" si="58"/>
        <v>280</v>
      </c>
      <c r="O94" s="13">
        <f t="shared" si="58"/>
        <v>280</v>
      </c>
      <c r="P94" s="13"/>
      <c r="Q94" s="24" t="s">
        <v>16</v>
      </c>
    </row>
    <row r="95" spans="1:17" x14ac:dyDescent="0.25">
      <c r="A95" s="22"/>
      <c r="B95" s="38"/>
      <c r="C95" s="38"/>
      <c r="D95" s="39">
        <f t="shared" ref="D95" si="59">2.7*200</f>
        <v>540</v>
      </c>
      <c r="E95" s="13">
        <f t="shared" ref="E95:O99" si="60">D95</f>
        <v>540</v>
      </c>
      <c r="F95" s="13">
        <f t="shared" si="60"/>
        <v>540</v>
      </c>
      <c r="G95" s="13">
        <f t="shared" si="60"/>
        <v>540</v>
      </c>
      <c r="H95" s="13">
        <f t="shared" si="60"/>
        <v>540</v>
      </c>
      <c r="I95" s="13">
        <f t="shared" si="60"/>
        <v>540</v>
      </c>
      <c r="J95" s="13">
        <f t="shared" si="60"/>
        <v>540</v>
      </c>
      <c r="K95" s="13">
        <f t="shared" si="60"/>
        <v>540</v>
      </c>
      <c r="L95" s="13">
        <f t="shared" si="60"/>
        <v>540</v>
      </c>
      <c r="M95" s="13">
        <f t="shared" si="60"/>
        <v>540</v>
      </c>
      <c r="N95" s="13">
        <f t="shared" si="60"/>
        <v>540</v>
      </c>
      <c r="O95" s="13">
        <f t="shared" si="60"/>
        <v>540</v>
      </c>
      <c r="P95" s="13"/>
      <c r="Q95" s="24" t="s">
        <v>16</v>
      </c>
    </row>
    <row r="96" spans="1:17" x14ac:dyDescent="0.25">
      <c r="A96" s="22"/>
      <c r="B96" s="38"/>
      <c r="C96" s="38"/>
      <c r="D96" s="39">
        <f t="shared" ref="D96" si="61">8*200</f>
        <v>1600</v>
      </c>
      <c r="E96" s="13">
        <f t="shared" si="60"/>
        <v>1600</v>
      </c>
      <c r="F96" s="13">
        <f t="shared" si="60"/>
        <v>1600</v>
      </c>
      <c r="G96" s="13">
        <f t="shared" si="60"/>
        <v>1600</v>
      </c>
      <c r="H96" s="13">
        <f t="shared" si="60"/>
        <v>1600</v>
      </c>
      <c r="I96" s="13">
        <f t="shared" si="60"/>
        <v>1600</v>
      </c>
      <c r="J96" s="13">
        <f t="shared" si="60"/>
        <v>1600</v>
      </c>
      <c r="K96" s="13">
        <f t="shared" si="60"/>
        <v>1600</v>
      </c>
      <c r="L96" s="13">
        <f t="shared" si="60"/>
        <v>1600</v>
      </c>
      <c r="M96" s="13">
        <f t="shared" si="60"/>
        <v>1600</v>
      </c>
      <c r="N96" s="13">
        <f t="shared" si="60"/>
        <v>1600</v>
      </c>
      <c r="O96" s="13">
        <f t="shared" si="60"/>
        <v>1600</v>
      </c>
      <c r="P96" s="13"/>
      <c r="Q96" s="24" t="s">
        <v>16</v>
      </c>
    </row>
    <row r="97" spans="1:17" x14ac:dyDescent="0.25">
      <c r="A97" s="22"/>
      <c r="B97" s="38"/>
      <c r="C97" s="38"/>
      <c r="D97" s="72">
        <f t="shared" ref="D97" si="62">14*30</f>
        <v>420</v>
      </c>
      <c r="E97" s="13">
        <f t="shared" si="60"/>
        <v>420</v>
      </c>
      <c r="F97" s="13">
        <f t="shared" si="60"/>
        <v>420</v>
      </c>
      <c r="G97" s="13">
        <f t="shared" si="60"/>
        <v>420</v>
      </c>
      <c r="H97" s="13">
        <f t="shared" si="60"/>
        <v>420</v>
      </c>
      <c r="I97" s="13">
        <f t="shared" si="60"/>
        <v>420</v>
      </c>
      <c r="J97" s="13">
        <f t="shared" si="60"/>
        <v>420</v>
      </c>
      <c r="K97" s="13">
        <f t="shared" si="60"/>
        <v>420</v>
      </c>
      <c r="L97" s="13">
        <f t="shared" si="60"/>
        <v>420</v>
      </c>
      <c r="M97" s="13">
        <f t="shared" si="60"/>
        <v>420</v>
      </c>
      <c r="N97" s="13">
        <f t="shared" si="60"/>
        <v>420</v>
      </c>
      <c r="O97" s="13">
        <f t="shared" si="60"/>
        <v>420</v>
      </c>
      <c r="P97" s="13"/>
      <c r="Q97" s="24" t="s">
        <v>17</v>
      </c>
    </row>
    <row r="98" spans="1:17" x14ac:dyDescent="0.25">
      <c r="A98" s="22"/>
      <c r="B98" s="38"/>
      <c r="C98" s="38"/>
      <c r="D98" s="72">
        <f t="shared" ref="D98" si="63">7*30</f>
        <v>210</v>
      </c>
      <c r="E98" s="13">
        <f t="shared" si="60"/>
        <v>210</v>
      </c>
      <c r="F98" s="13">
        <f t="shared" si="60"/>
        <v>210</v>
      </c>
      <c r="G98" s="13">
        <f t="shared" si="60"/>
        <v>210</v>
      </c>
      <c r="H98" s="13">
        <f t="shared" si="60"/>
        <v>210</v>
      </c>
      <c r="I98" s="13">
        <f t="shared" si="60"/>
        <v>210</v>
      </c>
      <c r="J98" s="13">
        <f t="shared" si="60"/>
        <v>210</v>
      </c>
      <c r="K98" s="13">
        <f t="shared" si="60"/>
        <v>210</v>
      </c>
      <c r="L98" s="13">
        <f t="shared" si="60"/>
        <v>210</v>
      </c>
      <c r="M98" s="13">
        <f t="shared" si="60"/>
        <v>210</v>
      </c>
      <c r="N98" s="13">
        <f t="shared" si="60"/>
        <v>210</v>
      </c>
      <c r="O98" s="13">
        <f t="shared" si="60"/>
        <v>210</v>
      </c>
      <c r="P98" s="13"/>
      <c r="Q98" s="24" t="s">
        <v>17</v>
      </c>
    </row>
    <row r="99" spans="1:17" x14ac:dyDescent="0.25">
      <c r="A99" s="22"/>
      <c r="B99" s="38"/>
      <c r="C99" s="38"/>
      <c r="D99" s="72">
        <f t="shared" ref="D99" si="64">6.1*30</f>
        <v>183</v>
      </c>
      <c r="E99" s="13">
        <f t="shared" si="60"/>
        <v>183</v>
      </c>
      <c r="F99" s="13">
        <f t="shared" si="60"/>
        <v>183</v>
      </c>
      <c r="G99" s="13">
        <f t="shared" si="60"/>
        <v>183</v>
      </c>
      <c r="H99" s="13">
        <f t="shared" si="60"/>
        <v>183</v>
      </c>
      <c r="I99" s="13">
        <f t="shared" si="60"/>
        <v>183</v>
      </c>
      <c r="J99" s="13">
        <f t="shared" si="60"/>
        <v>183</v>
      </c>
      <c r="K99" s="13">
        <f t="shared" si="60"/>
        <v>183</v>
      </c>
      <c r="L99" s="13">
        <f t="shared" si="60"/>
        <v>183</v>
      </c>
      <c r="M99" s="13">
        <f t="shared" si="60"/>
        <v>183</v>
      </c>
      <c r="N99" s="13">
        <f t="shared" si="60"/>
        <v>183</v>
      </c>
      <c r="O99" s="13">
        <f t="shared" si="60"/>
        <v>183</v>
      </c>
      <c r="P99" s="13"/>
      <c r="Q99" s="24" t="s">
        <v>17</v>
      </c>
    </row>
    <row r="100" spans="1:17" x14ac:dyDescent="0.25">
      <c r="A100" s="22"/>
      <c r="B100" s="38"/>
      <c r="C100" s="38"/>
      <c r="D100" s="39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24"/>
    </row>
    <row r="101" spans="1:17" x14ac:dyDescent="0.25">
      <c r="A101" s="22"/>
      <c r="B101" s="41"/>
      <c r="C101" s="41"/>
      <c r="D101" s="42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24"/>
    </row>
    <row r="102" spans="1:17" x14ac:dyDescent="0.25">
      <c r="A102" s="22"/>
      <c r="B102" s="41"/>
      <c r="C102" s="41"/>
      <c r="D102" s="42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24"/>
    </row>
    <row r="103" spans="1:17" x14ac:dyDescent="0.25">
      <c r="A103" s="22"/>
      <c r="B103" s="41"/>
      <c r="C103" s="41"/>
      <c r="D103" s="81">
        <f>D104*D105*D106*D107*D108</f>
        <v>891.32399999999984</v>
      </c>
      <c r="E103" s="81">
        <f t="shared" ref="E103:O103" si="65">E104*E105*E106*E107*E108</f>
        <v>1227.7979999999998</v>
      </c>
      <c r="F103" s="16">
        <f t="shared" si="65"/>
        <v>912.86999999999989</v>
      </c>
      <c r="G103" s="16">
        <f t="shared" si="65"/>
        <v>1036.8</v>
      </c>
      <c r="H103" s="16">
        <f t="shared" si="65"/>
        <v>530.71199999999999</v>
      </c>
      <c r="I103" s="16">
        <f t="shared" si="65"/>
        <v>525.63600000000008</v>
      </c>
      <c r="J103" s="16">
        <f t="shared" si="65"/>
        <v>528.87600000000009</v>
      </c>
      <c r="K103" s="16">
        <f t="shared" si="65"/>
        <v>483.08399999999995</v>
      </c>
      <c r="L103" s="16">
        <f t="shared" si="65"/>
        <v>940.68000000000006</v>
      </c>
      <c r="M103" s="16">
        <f t="shared" si="65"/>
        <v>634.39200000000017</v>
      </c>
      <c r="N103" s="16">
        <f t="shared" si="65"/>
        <v>842.40000000000009</v>
      </c>
      <c r="O103" s="16">
        <f t="shared" si="65"/>
        <v>627.75</v>
      </c>
      <c r="P103" s="16">
        <f>SUM(D103:O103)</f>
        <v>9182.3220000000001</v>
      </c>
      <c r="Q103" s="24"/>
    </row>
    <row r="104" spans="1:17" x14ac:dyDescent="0.25">
      <c r="A104" s="22"/>
      <c r="B104" s="41"/>
      <c r="C104" s="41"/>
      <c r="D104" s="74">
        <v>39.299999999999997</v>
      </c>
      <c r="E104" s="55">
        <v>58.3</v>
      </c>
      <c r="F104" s="55">
        <v>98</v>
      </c>
      <c r="G104" s="55">
        <v>128</v>
      </c>
      <c r="H104" s="55">
        <v>156</v>
      </c>
      <c r="I104" s="55">
        <v>157</v>
      </c>
      <c r="J104" s="55">
        <v>166</v>
      </c>
      <c r="K104" s="55">
        <v>142</v>
      </c>
      <c r="L104" s="55">
        <v>104</v>
      </c>
      <c r="M104" s="55">
        <v>71.2</v>
      </c>
      <c r="N104" s="55">
        <v>41.6</v>
      </c>
      <c r="O104" s="55">
        <v>31</v>
      </c>
      <c r="P104" s="17"/>
      <c r="Q104" s="24" t="s">
        <v>41</v>
      </c>
    </row>
    <row r="105" spans="1:17" x14ac:dyDescent="0.25">
      <c r="A105" s="22"/>
      <c r="B105" s="41"/>
      <c r="C105" s="41"/>
      <c r="D105" s="75">
        <v>0.84</v>
      </c>
      <c r="E105" s="15">
        <v>0.78</v>
      </c>
      <c r="F105" s="15">
        <v>0.69</v>
      </c>
      <c r="G105" s="15">
        <v>0.6</v>
      </c>
      <c r="H105" s="15">
        <v>0.63</v>
      </c>
      <c r="I105" s="15">
        <v>0.62</v>
      </c>
      <c r="J105" s="15">
        <v>0.59</v>
      </c>
      <c r="K105" s="15">
        <v>0.63</v>
      </c>
      <c r="L105" s="15">
        <v>0.67</v>
      </c>
      <c r="M105" s="15">
        <v>0.66</v>
      </c>
      <c r="N105" s="15">
        <v>0.75</v>
      </c>
      <c r="O105" s="15">
        <v>0.75</v>
      </c>
      <c r="P105" s="15"/>
      <c r="Q105" s="24" t="s">
        <v>25</v>
      </c>
    </row>
    <row r="106" spans="1:17" x14ac:dyDescent="0.25">
      <c r="A106" s="22"/>
      <c r="B106" s="41"/>
      <c r="C106" s="41"/>
      <c r="D106" s="73">
        <f t="shared" ref="D106" si="66">D67</f>
        <v>60</v>
      </c>
      <c r="E106" s="17">
        <f t="shared" ref="E106:O106" si="67">E67</f>
        <v>60</v>
      </c>
      <c r="F106" s="17">
        <f t="shared" si="67"/>
        <v>60</v>
      </c>
      <c r="G106" s="17">
        <f t="shared" si="67"/>
        <v>60</v>
      </c>
      <c r="H106" s="17">
        <f t="shared" si="67"/>
        <v>60</v>
      </c>
      <c r="I106" s="17">
        <f t="shared" si="67"/>
        <v>60</v>
      </c>
      <c r="J106" s="17">
        <f t="shared" si="67"/>
        <v>60</v>
      </c>
      <c r="K106" s="17">
        <f t="shared" si="67"/>
        <v>60</v>
      </c>
      <c r="L106" s="17">
        <f t="shared" si="67"/>
        <v>60</v>
      </c>
      <c r="M106" s="17">
        <f t="shared" si="67"/>
        <v>60</v>
      </c>
      <c r="N106" s="17">
        <f t="shared" si="67"/>
        <v>60</v>
      </c>
      <c r="O106" s="17">
        <f t="shared" si="67"/>
        <v>60</v>
      </c>
      <c r="P106" s="15"/>
      <c r="Q106" s="24" t="s">
        <v>27</v>
      </c>
    </row>
    <row r="107" spans="1:17" x14ac:dyDescent="0.25">
      <c r="A107" s="22"/>
      <c r="B107" s="41"/>
      <c r="C107" s="41"/>
      <c r="D107" s="74">
        <v>0.45</v>
      </c>
      <c r="E107" s="55">
        <v>0.45</v>
      </c>
      <c r="F107" s="55">
        <v>0.45</v>
      </c>
      <c r="G107" s="55">
        <v>0.45</v>
      </c>
      <c r="H107" s="55">
        <v>0.45</v>
      </c>
      <c r="I107" s="55">
        <v>0.45</v>
      </c>
      <c r="J107" s="55">
        <v>0.45</v>
      </c>
      <c r="K107" s="55">
        <v>0.45</v>
      </c>
      <c r="L107" s="55">
        <v>0.45</v>
      </c>
      <c r="M107" s="55">
        <v>0.45</v>
      </c>
      <c r="N107" s="55">
        <v>0.45</v>
      </c>
      <c r="O107" s="55">
        <v>0.45</v>
      </c>
      <c r="P107" s="17"/>
      <c r="Q107" s="24" t="s">
        <v>34</v>
      </c>
    </row>
    <row r="108" spans="1:17" x14ac:dyDescent="0.25">
      <c r="A108" s="22"/>
      <c r="B108" s="41"/>
      <c r="C108" s="41"/>
      <c r="D108" s="75">
        <v>1</v>
      </c>
      <c r="E108" s="75">
        <v>1</v>
      </c>
      <c r="F108" s="75">
        <v>0.5</v>
      </c>
      <c r="G108" s="75">
        <v>0.5</v>
      </c>
      <c r="H108" s="75">
        <v>0.2</v>
      </c>
      <c r="I108" s="75">
        <v>0.2</v>
      </c>
      <c r="J108" s="75">
        <v>0.2</v>
      </c>
      <c r="K108" s="75">
        <v>0.2</v>
      </c>
      <c r="L108" s="75">
        <v>0.5</v>
      </c>
      <c r="M108" s="75">
        <v>0.5</v>
      </c>
      <c r="N108" s="75">
        <v>1</v>
      </c>
      <c r="O108" s="75">
        <v>1</v>
      </c>
      <c r="P108" s="15"/>
      <c r="Q108" s="24" t="s">
        <v>28</v>
      </c>
    </row>
    <row r="109" spans="1:17" x14ac:dyDescent="0.25">
      <c r="A109" s="22"/>
      <c r="B109" s="41"/>
      <c r="C109" s="41"/>
      <c r="D109" s="42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24"/>
    </row>
    <row r="110" spans="1:17" x14ac:dyDescent="0.25">
      <c r="A110" s="22"/>
      <c r="B110" s="41"/>
      <c r="C110" s="41"/>
      <c r="D110" s="42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24"/>
    </row>
    <row r="111" spans="1:17" ht="15.75" thickBot="1" x14ac:dyDescent="0.3">
      <c r="A111" s="43"/>
      <c r="B111" s="44"/>
      <c r="C111" s="44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6"/>
    </row>
    <row r="115" spans="3:16" x14ac:dyDescent="0.25">
      <c r="C115" s="47"/>
      <c r="D115"/>
      <c r="E115"/>
      <c r="F115"/>
      <c r="G115"/>
      <c r="H115"/>
      <c r="I115"/>
      <c r="J115"/>
      <c r="K115"/>
      <c r="L115"/>
      <c r="M115"/>
      <c r="N115"/>
      <c r="O115"/>
      <c r="P115"/>
    </row>
    <row r="116" spans="3:16" x14ac:dyDescent="0.25">
      <c r="C116" s="47"/>
      <c r="D116"/>
      <c r="E116"/>
      <c r="F116"/>
      <c r="G116"/>
      <c r="H116"/>
      <c r="I116"/>
      <c r="J116"/>
      <c r="K116"/>
      <c r="L116"/>
      <c r="M116"/>
      <c r="N116"/>
      <c r="O116"/>
      <c r="P116"/>
    </row>
  </sheetData>
  <mergeCells count="1">
    <mergeCell ref="B1:C1"/>
  </mergeCells>
  <pageMargins left="0.7" right="0.7" top="0.75" bottom="0.75" header="0.3" footer="0.3"/>
  <pageSetup scale="38" orientation="landscape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Normal="100" workbookViewId="0">
      <selection activeCell="B1" sqref="B1:C1"/>
    </sheetView>
  </sheetViews>
  <sheetFormatPr defaultRowHeight="15" x14ac:dyDescent="0.25"/>
  <cols>
    <col min="1" max="1" width="4.85546875" customWidth="1"/>
    <col min="2" max="2" width="3.85546875" customWidth="1"/>
    <col min="3" max="3" width="96" customWidth="1"/>
    <col min="4" max="4" width="12.42578125" style="1" customWidth="1"/>
    <col min="5" max="5" width="12.42578125" style="1" bestFit="1" customWidth="1"/>
    <col min="6" max="6" width="4.7109375" customWidth="1"/>
    <col min="7" max="7" width="76.5703125" customWidth="1"/>
    <col min="8" max="8" width="24.85546875" bestFit="1" customWidth="1"/>
    <col min="15" max="15" width="12.42578125" customWidth="1"/>
  </cols>
  <sheetData>
    <row r="1" spans="1:8" ht="40.5" customHeight="1" x14ac:dyDescent="0.5">
      <c r="A1" s="18"/>
      <c r="B1" s="59" t="s">
        <v>23</v>
      </c>
      <c r="C1" s="59"/>
      <c r="D1" s="20"/>
      <c r="E1" s="20"/>
      <c r="F1" s="19"/>
      <c r="G1" s="83"/>
    </row>
    <row r="2" spans="1:8" s="78" customFormat="1" ht="15.75" customHeight="1" x14ac:dyDescent="0.25">
      <c r="A2" s="22"/>
      <c r="B2" s="77"/>
      <c r="C2" s="77"/>
      <c r="D2" s="82"/>
      <c r="E2" s="82"/>
      <c r="F2" s="77"/>
      <c r="G2" s="24"/>
    </row>
    <row r="3" spans="1:8" x14ac:dyDescent="0.25">
      <c r="A3" s="22"/>
      <c r="B3" s="23"/>
      <c r="C3" s="23"/>
      <c r="D3" s="61" t="s">
        <v>19</v>
      </c>
      <c r="E3" s="60" t="s">
        <v>20</v>
      </c>
      <c r="F3" s="23"/>
      <c r="G3" s="24"/>
    </row>
    <row r="4" spans="1:8" x14ac:dyDescent="0.25">
      <c r="A4" s="22"/>
      <c r="B4" s="23"/>
      <c r="C4" s="23"/>
      <c r="D4" s="26"/>
      <c r="E4" s="3"/>
      <c r="F4" s="23"/>
      <c r="G4" s="27"/>
    </row>
    <row r="5" spans="1:8" x14ac:dyDescent="0.25">
      <c r="A5" s="22"/>
      <c r="B5" s="23"/>
      <c r="C5" s="23"/>
      <c r="D5" s="26">
        <f>D6*D7*D8*(D9-D10)</f>
        <v>752400000</v>
      </c>
      <c r="E5" s="3">
        <f>E6*E7*E8*(E9-E10)</f>
        <v>9154200000</v>
      </c>
      <c r="F5" s="23"/>
      <c r="G5" s="27"/>
      <c r="H5" s="56"/>
    </row>
    <row r="6" spans="1:8" x14ac:dyDescent="0.25">
      <c r="A6" s="22"/>
      <c r="B6" s="23"/>
      <c r="C6" s="23"/>
      <c r="D6" s="64">
        <f>D13</f>
        <v>3600</v>
      </c>
      <c r="E6" s="54">
        <f>E13</f>
        <v>43800</v>
      </c>
      <c r="F6" s="23"/>
      <c r="G6" s="24"/>
    </row>
    <row r="7" spans="1:8" x14ac:dyDescent="0.25">
      <c r="A7" s="22"/>
      <c r="B7" s="23"/>
      <c r="C7" s="23"/>
      <c r="D7" s="53">
        <v>1</v>
      </c>
      <c r="E7" s="54">
        <v>1</v>
      </c>
      <c r="F7" s="23"/>
      <c r="G7" s="24" t="s">
        <v>22</v>
      </c>
    </row>
    <row r="8" spans="1:8" x14ac:dyDescent="0.25">
      <c r="A8" s="22"/>
      <c r="B8" s="23"/>
      <c r="C8" s="23"/>
      <c r="D8" s="53">
        <v>4180</v>
      </c>
      <c r="E8" s="54">
        <v>4180</v>
      </c>
      <c r="F8" s="23"/>
      <c r="G8" s="24"/>
    </row>
    <row r="9" spans="1:8" x14ac:dyDescent="0.25">
      <c r="A9" s="22"/>
      <c r="B9" s="23"/>
      <c r="C9" s="23"/>
      <c r="D9" s="53">
        <v>60</v>
      </c>
      <c r="E9" s="54">
        <v>60</v>
      </c>
      <c r="F9" s="23"/>
      <c r="G9" s="24"/>
    </row>
    <row r="10" spans="1:8" x14ac:dyDescent="0.25">
      <c r="A10" s="22"/>
      <c r="B10" s="23"/>
      <c r="C10" s="23"/>
      <c r="D10" s="53">
        <v>10</v>
      </c>
      <c r="E10" s="54">
        <v>10</v>
      </c>
      <c r="F10" s="23"/>
      <c r="G10" s="24"/>
    </row>
    <row r="11" spans="1:8" x14ac:dyDescent="0.25">
      <c r="A11" s="22"/>
      <c r="B11" s="23"/>
      <c r="C11" s="23"/>
      <c r="D11" s="25"/>
      <c r="E11" s="2"/>
      <c r="F11" s="23"/>
      <c r="G11" s="24"/>
    </row>
    <row r="12" spans="1:8" x14ac:dyDescent="0.25">
      <c r="A12" s="22"/>
      <c r="B12" s="23"/>
      <c r="C12" s="23"/>
      <c r="D12" s="25"/>
      <c r="E12" s="2"/>
      <c r="F12" s="23"/>
      <c r="G12" s="24"/>
    </row>
    <row r="13" spans="1:8" x14ac:dyDescent="0.25">
      <c r="A13" s="22"/>
      <c r="B13" s="23"/>
      <c r="C13" s="23"/>
      <c r="D13" s="63">
        <f>D14*D15*D16</f>
        <v>3600</v>
      </c>
      <c r="E13" s="63">
        <f>E14*E15*E16</f>
        <v>43800</v>
      </c>
      <c r="F13" s="23"/>
      <c r="G13" s="24"/>
    </row>
    <row r="14" spans="1:8" x14ac:dyDescent="0.25">
      <c r="A14" s="22"/>
      <c r="B14" s="23"/>
      <c r="C14" s="23"/>
      <c r="D14" s="62">
        <v>30</v>
      </c>
      <c r="E14" s="62">
        <v>30</v>
      </c>
      <c r="F14" s="23"/>
      <c r="G14" s="24" t="s">
        <v>21</v>
      </c>
    </row>
    <row r="15" spans="1:8" x14ac:dyDescent="0.25">
      <c r="A15" s="22"/>
      <c r="B15" s="23"/>
      <c r="C15" s="23"/>
      <c r="D15" s="25">
        <v>4</v>
      </c>
      <c r="E15" s="2">
        <v>4</v>
      </c>
      <c r="F15" s="23"/>
      <c r="G15" s="24"/>
    </row>
    <row r="16" spans="1:8" x14ac:dyDescent="0.25">
      <c r="A16" s="22"/>
      <c r="B16" s="23"/>
      <c r="C16" s="23"/>
      <c r="D16" s="25">
        <v>30</v>
      </c>
      <c r="E16" s="2">
        <v>365</v>
      </c>
      <c r="F16" s="23"/>
      <c r="G16" s="24"/>
    </row>
    <row r="17" spans="1:7" x14ac:dyDescent="0.25">
      <c r="A17" s="22"/>
      <c r="B17" s="23"/>
      <c r="C17" s="23"/>
      <c r="D17" s="25"/>
      <c r="E17" s="2"/>
      <c r="F17" s="23"/>
      <c r="G17" s="24"/>
    </row>
    <row r="18" spans="1:7" ht="15.75" thickBot="1" x14ac:dyDescent="0.3">
      <c r="A18" s="43"/>
      <c r="B18" s="44"/>
      <c r="C18" s="44"/>
      <c r="D18" s="45"/>
      <c r="E18" s="45"/>
      <c r="F18" s="44"/>
      <c r="G18" s="46"/>
    </row>
    <row r="22" spans="1:7" x14ac:dyDescent="0.25">
      <c r="C22" s="47"/>
      <c r="D22"/>
      <c r="E22"/>
    </row>
    <row r="23" spans="1:7" x14ac:dyDescent="0.25">
      <c r="C23" s="47"/>
      <c r="D23"/>
      <c r="E23"/>
    </row>
  </sheetData>
  <mergeCells count="1">
    <mergeCell ref="B1:C1"/>
  </mergeCells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16"/>
  <sheetViews>
    <sheetView zoomScale="115" zoomScaleNormal="115" workbookViewId="0">
      <pane ySplit="2" topLeftCell="A3" activePane="bottomLeft" state="frozen"/>
      <selection pane="bottomLeft" activeCell="B1" sqref="B1:C1"/>
    </sheetView>
  </sheetViews>
  <sheetFormatPr defaultRowHeight="15" x14ac:dyDescent="0.25"/>
  <cols>
    <col min="1" max="1" width="4.85546875" customWidth="1"/>
    <col min="2" max="2" width="3.85546875" customWidth="1"/>
    <col min="3" max="3" width="96" customWidth="1"/>
    <col min="4" max="4" width="11.5703125" style="1" bestFit="1" customWidth="1"/>
    <col min="5" max="5" width="12.42578125" style="1" bestFit="1" customWidth="1"/>
    <col min="6" max="6" width="62.7109375" bestFit="1" customWidth="1"/>
    <col min="7" max="7" width="24.85546875" bestFit="1" customWidth="1"/>
    <col min="14" max="14" width="12.42578125" customWidth="1"/>
  </cols>
  <sheetData>
    <row r="1" spans="1:7" ht="40.5" customHeight="1" x14ac:dyDescent="0.5">
      <c r="A1" s="18"/>
      <c r="B1" s="59" t="s">
        <v>35</v>
      </c>
      <c r="C1" s="59"/>
      <c r="D1" s="20"/>
      <c r="E1" s="20"/>
      <c r="F1" s="21"/>
    </row>
    <row r="2" spans="1:7" s="78" customFormat="1" ht="15.75" customHeight="1" x14ac:dyDescent="0.25">
      <c r="A2" s="22"/>
      <c r="B2" s="77"/>
      <c r="C2" s="77"/>
      <c r="D2" s="79" t="s">
        <v>36</v>
      </c>
      <c r="E2" s="80" t="s">
        <v>37</v>
      </c>
      <c r="F2" s="24"/>
    </row>
    <row r="3" spans="1:7" x14ac:dyDescent="0.25">
      <c r="A3" s="22"/>
      <c r="B3" s="23"/>
      <c r="C3" s="23"/>
      <c r="D3" s="76"/>
      <c r="E3" s="2"/>
      <c r="F3" s="24"/>
    </row>
    <row r="4" spans="1:7" x14ac:dyDescent="0.25">
      <c r="A4" s="22"/>
      <c r="B4" s="23"/>
      <c r="C4" s="23"/>
      <c r="D4" s="25"/>
      <c r="E4" s="2"/>
      <c r="F4" s="87" t="s">
        <v>42</v>
      </c>
    </row>
    <row r="5" spans="1:7" x14ac:dyDescent="0.25">
      <c r="A5" s="22"/>
      <c r="B5" s="23"/>
      <c r="C5" s="23"/>
      <c r="D5" s="26">
        <f t="shared" ref="D5:E5" si="0">IF((D6+D7-D8*(D9+D10))&lt;0,0,D6+D7-D8*(D9+D10))</f>
        <v>3958.5</v>
      </c>
      <c r="E5" s="3"/>
      <c r="F5" s="88">
        <f>D5/1000</f>
        <v>3.9584999999999999</v>
      </c>
      <c r="G5" s="86"/>
    </row>
    <row r="6" spans="1:7" x14ac:dyDescent="0.25">
      <c r="A6" s="22"/>
      <c r="B6" s="23"/>
      <c r="C6" s="23"/>
      <c r="D6" s="28">
        <f t="shared" ref="D6:E6" si="1">D58</f>
        <v>2652</v>
      </c>
      <c r="E6" s="4"/>
      <c r="F6" s="89" t="s">
        <v>38</v>
      </c>
    </row>
    <row r="7" spans="1:7" x14ac:dyDescent="0.25">
      <c r="A7" s="22"/>
      <c r="B7" s="23"/>
      <c r="C7" s="23"/>
      <c r="D7" s="28">
        <f t="shared" ref="D7:E7" si="2">D73</f>
        <v>1306.4999999999998</v>
      </c>
      <c r="E7" s="4"/>
      <c r="F7" s="89"/>
    </row>
    <row r="8" spans="1:7" x14ac:dyDescent="0.25">
      <c r="A8" s="22"/>
      <c r="B8" s="23"/>
      <c r="C8" s="23"/>
      <c r="D8" s="49">
        <v>0</v>
      </c>
      <c r="E8" s="50"/>
      <c r="F8" s="89"/>
    </row>
    <row r="9" spans="1:7" x14ac:dyDescent="0.25">
      <c r="A9" s="22"/>
      <c r="B9" s="23"/>
      <c r="C9" s="23"/>
      <c r="D9" s="65">
        <v>0</v>
      </c>
      <c r="E9" s="4"/>
      <c r="F9" s="89"/>
    </row>
    <row r="10" spans="1:7" x14ac:dyDescent="0.25">
      <c r="A10" s="22"/>
      <c r="B10" s="23"/>
      <c r="C10" s="23"/>
      <c r="D10" s="65">
        <v>0</v>
      </c>
      <c r="E10" s="4"/>
      <c r="F10" s="89"/>
    </row>
    <row r="11" spans="1:7" x14ac:dyDescent="0.25">
      <c r="A11" s="22"/>
      <c r="B11" s="23"/>
      <c r="C11" s="23"/>
      <c r="D11" s="25"/>
      <c r="E11" s="2"/>
      <c r="F11" s="24"/>
    </row>
    <row r="12" spans="1:7" x14ac:dyDescent="0.25">
      <c r="A12" s="22"/>
      <c r="B12" s="23"/>
      <c r="C12" s="23"/>
      <c r="D12" s="69"/>
      <c r="E12" s="69"/>
      <c r="F12" s="24"/>
    </row>
    <row r="13" spans="1:7" x14ac:dyDescent="0.25">
      <c r="A13" s="22"/>
      <c r="B13" s="23"/>
      <c r="C13" s="23"/>
      <c r="D13" s="48"/>
      <c r="E13" s="48"/>
      <c r="F13" s="24"/>
    </row>
    <row r="14" spans="1:7" x14ac:dyDescent="0.25">
      <c r="A14" s="22"/>
      <c r="B14" s="23"/>
      <c r="C14" s="23"/>
      <c r="D14" s="48"/>
      <c r="E14" s="48"/>
      <c r="F14" s="24"/>
    </row>
    <row r="15" spans="1:7" x14ac:dyDescent="0.25">
      <c r="A15" s="22"/>
      <c r="B15" s="23"/>
      <c r="C15" s="70"/>
      <c r="D15" s="48"/>
      <c r="E15" s="48"/>
      <c r="F15" s="24"/>
    </row>
    <row r="16" spans="1:7" x14ac:dyDescent="0.25">
      <c r="A16" s="22"/>
      <c r="B16" s="23"/>
      <c r="C16" s="23"/>
      <c r="D16" s="48"/>
      <c r="E16" s="48"/>
      <c r="F16" s="24"/>
    </row>
    <row r="17" spans="1:7" x14ac:dyDescent="0.25">
      <c r="A17" s="22"/>
      <c r="B17" s="23"/>
      <c r="C17" s="23"/>
      <c r="D17" s="51"/>
      <c r="E17" s="51"/>
      <c r="F17" s="24"/>
    </row>
    <row r="18" spans="1:7" x14ac:dyDescent="0.25">
      <c r="A18" s="22"/>
      <c r="B18" s="23"/>
      <c r="C18" s="23"/>
      <c r="D18" s="65"/>
      <c r="E18" s="65"/>
      <c r="F18" s="24"/>
    </row>
    <row r="19" spans="1:7" x14ac:dyDescent="0.25">
      <c r="A19" s="22"/>
      <c r="B19" s="23"/>
      <c r="C19" s="23"/>
      <c r="D19" s="65"/>
      <c r="E19" s="65"/>
      <c r="F19" s="24"/>
    </row>
    <row r="20" spans="1:7" x14ac:dyDescent="0.25">
      <c r="A20" s="22"/>
      <c r="B20" s="23"/>
      <c r="C20" s="23"/>
      <c r="D20" s="49"/>
      <c r="E20" s="50"/>
      <c r="F20" s="24"/>
    </row>
    <row r="21" spans="1:7" x14ac:dyDescent="0.25">
      <c r="A21" s="22"/>
      <c r="B21" s="23"/>
      <c r="C21" s="23"/>
      <c r="D21" s="28"/>
      <c r="E21" s="4"/>
      <c r="F21" s="24"/>
    </row>
    <row r="22" spans="1:7" x14ac:dyDescent="0.25">
      <c r="A22" s="22"/>
      <c r="B22" s="23"/>
      <c r="C22" s="23"/>
      <c r="D22" s="25"/>
      <c r="E22" s="2"/>
      <c r="F22" s="87" t="s">
        <v>43</v>
      </c>
    </row>
    <row r="23" spans="1:7" x14ac:dyDescent="0.25">
      <c r="A23" s="22"/>
      <c r="B23" s="23"/>
      <c r="C23" s="23"/>
      <c r="D23" s="26"/>
      <c r="E23" s="3">
        <f t="shared" ref="E23" si="3">IF(E27+E28-E26*(E24+E25)&lt;0,0,E27+E28-E26*(E24+E25))</f>
        <v>5159.75</v>
      </c>
      <c r="F23" s="88">
        <f>E23/1000</f>
        <v>5.1597499999999998</v>
      </c>
      <c r="G23" s="86"/>
    </row>
    <row r="24" spans="1:7" x14ac:dyDescent="0.25">
      <c r="A24" s="22"/>
      <c r="B24" s="23"/>
      <c r="C24" s="23"/>
      <c r="D24" s="28"/>
      <c r="E24" s="4">
        <f t="shared" ref="E24" si="4">E58</f>
        <v>-714</v>
      </c>
      <c r="F24" s="89"/>
    </row>
    <row r="25" spans="1:7" x14ac:dyDescent="0.25">
      <c r="A25" s="22"/>
      <c r="B25" s="23"/>
      <c r="C25" s="23"/>
      <c r="D25" s="28"/>
      <c r="E25" s="4">
        <f t="shared" ref="E25" si="5">E73</f>
        <v>-351.74999999999994</v>
      </c>
      <c r="F25" s="89"/>
    </row>
    <row r="26" spans="1:7" x14ac:dyDescent="0.25">
      <c r="A26" s="22"/>
      <c r="B26" s="23"/>
      <c r="C26" s="23"/>
      <c r="D26" s="49"/>
      <c r="E26" s="50">
        <f t="shared" ref="E26" si="6">E35</f>
        <v>1</v>
      </c>
      <c r="F26" s="89"/>
    </row>
    <row r="27" spans="1:7" x14ac:dyDescent="0.25">
      <c r="A27" s="22"/>
      <c r="B27" s="23"/>
      <c r="C27" s="23"/>
      <c r="D27" s="28"/>
      <c r="E27" s="4">
        <f t="shared" ref="E27" si="7">E93</f>
        <v>2420</v>
      </c>
      <c r="F27" s="89"/>
    </row>
    <row r="28" spans="1:7" x14ac:dyDescent="0.25">
      <c r="A28" s="22"/>
      <c r="B28" s="23"/>
      <c r="C28" s="23"/>
      <c r="D28" s="28"/>
      <c r="E28" s="4">
        <f t="shared" ref="E28" si="8">E103*1000</f>
        <v>1674.0000000000005</v>
      </c>
      <c r="F28" s="89"/>
    </row>
    <row r="29" spans="1:7" x14ac:dyDescent="0.25">
      <c r="A29" s="22"/>
      <c r="B29" s="23"/>
      <c r="C29" s="23"/>
      <c r="D29" s="25"/>
      <c r="E29" s="2"/>
      <c r="F29" s="24"/>
    </row>
    <row r="30" spans="1:7" x14ac:dyDescent="0.25">
      <c r="A30" s="22"/>
      <c r="B30" s="23"/>
      <c r="C30" s="23"/>
      <c r="D30" s="69"/>
      <c r="E30" s="69"/>
      <c r="F30" s="24"/>
    </row>
    <row r="31" spans="1:7" x14ac:dyDescent="0.25">
      <c r="A31" s="22"/>
      <c r="B31" s="23"/>
      <c r="C31" s="23"/>
      <c r="D31" s="48"/>
      <c r="E31" s="48"/>
      <c r="F31" s="24"/>
    </row>
    <row r="32" spans="1:7" x14ac:dyDescent="0.25">
      <c r="A32" s="22"/>
      <c r="B32" s="23"/>
      <c r="C32" s="23"/>
      <c r="D32" s="48"/>
      <c r="E32" s="48"/>
      <c r="F32" s="24"/>
    </row>
    <row r="33" spans="1:6" x14ac:dyDescent="0.25">
      <c r="A33" s="22"/>
      <c r="B33" s="23"/>
      <c r="C33" s="70"/>
      <c r="D33" s="48"/>
      <c r="E33" s="48"/>
      <c r="F33" s="24"/>
    </row>
    <row r="34" spans="1:6" x14ac:dyDescent="0.25">
      <c r="A34" s="22"/>
      <c r="B34" s="23"/>
      <c r="C34" s="23"/>
      <c r="D34" s="48"/>
      <c r="E34" s="48"/>
      <c r="F34" s="24"/>
    </row>
    <row r="35" spans="1:6" x14ac:dyDescent="0.25">
      <c r="A35" s="22"/>
      <c r="B35" s="23"/>
      <c r="C35" s="23"/>
      <c r="D35" s="51"/>
      <c r="E35" s="51">
        <f t="shared" ref="E35" si="9">IF(E36&lt;0,1,(1-E36^-(1+E37/15))/(1-E36^-(1+E37/15+1)))</f>
        <v>1</v>
      </c>
      <c r="F35" s="24"/>
    </row>
    <row r="36" spans="1:6" x14ac:dyDescent="0.25">
      <c r="A36" s="22"/>
      <c r="B36" s="23"/>
      <c r="C36" s="23"/>
      <c r="D36" s="65"/>
      <c r="E36" s="65">
        <f t="shared" ref="E36" si="10">E42</f>
        <v>-3.8414262256626794</v>
      </c>
      <c r="F36" s="24"/>
    </row>
    <row r="37" spans="1:6" x14ac:dyDescent="0.25">
      <c r="A37" s="22"/>
      <c r="B37" s="23"/>
      <c r="C37" s="23"/>
      <c r="D37" s="65"/>
      <c r="E37" s="65">
        <f t="shared" ref="E37" si="11">E50</f>
        <v>197.04433497536945</v>
      </c>
      <c r="F37" s="24"/>
    </row>
    <row r="38" spans="1:6" x14ac:dyDescent="0.25">
      <c r="A38" s="22"/>
      <c r="B38" s="23"/>
      <c r="C38" s="23"/>
      <c r="D38" s="48"/>
      <c r="E38" s="48"/>
      <c r="F38" s="24"/>
    </row>
    <row r="39" spans="1:6" x14ac:dyDescent="0.25">
      <c r="A39" s="22"/>
      <c r="B39" s="23"/>
      <c r="C39" s="23"/>
      <c r="D39" s="28"/>
      <c r="E39" s="4"/>
      <c r="F39" s="24"/>
    </row>
    <row r="40" spans="1:6" x14ac:dyDescent="0.25">
      <c r="A40" s="22"/>
      <c r="B40" s="23"/>
      <c r="C40" s="23"/>
      <c r="D40" s="28"/>
      <c r="E40" s="4"/>
      <c r="F40" s="24"/>
    </row>
    <row r="41" spans="1:6" x14ac:dyDescent="0.25">
      <c r="A41" s="22"/>
      <c r="B41" s="23"/>
      <c r="C41" s="23"/>
      <c r="D41" s="25"/>
      <c r="E41" s="2"/>
      <c r="F41" s="24"/>
    </row>
    <row r="42" spans="1:6" x14ac:dyDescent="0.25">
      <c r="A42" s="22"/>
      <c r="B42" s="23"/>
      <c r="C42" s="23"/>
      <c r="D42" s="51"/>
      <c r="E42" s="68">
        <f t="shared" ref="D42:E42" si="12">(E45+E46)/(E43+E44)</f>
        <v>-3.8414262256626794</v>
      </c>
      <c r="F42" s="24"/>
    </row>
    <row r="43" spans="1:6" x14ac:dyDescent="0.25">
      <c r="A43" s="22"/>
      <c r="B43" s="23"/>
      <c r="C43" s="23"/>
      <c r="D43" s="48"/>
      <c r="E43" s="4">
        <f t="shared" ref="D43:E43" si="13">E58</f>
        <v>-714</v>
      </c>
      <c r="F43" s="24"/>
    </row>
    <row r="44" spans="1:6" x14ac:dyDescent="0.25">
      <c r="A44" s="22"/>
      <c r="B44" s="23"/>
      <c r="C44" s="23"/>
      <c r="D44" s="48"/>
      <c r="E44" s="4">
        <f t="shared" ref="D44:E44" si="14">E73</f>
        <v>-351.74999999999994</v>
      </c>
      <c r="F44" s="24"/>
    </row>
    <row r="45" spans="1:6" x14ac:dyDescent="0.25">
      <c r="A45" s="22"/>
      <c r="B45" s="23"/>
      <c r="C45" s="23"/>
      <c r="D45" s="48"/>
      <c r="E45" s="4">
        <f t="shared" ref="D45:E45" si="15">E93</f>
        <v>2420</v>
      </c>
      <c r="F45" s="24"/>
    </row>
    <row r="46" spans="1:6" x14ac:dyDescent="0.25">
      <c r="A46" s="22"/>
      <c r="B46" s="23"/>
      <c r="C46" s="23"/>
      <c r="D46" s="48"/>
      <c r="E46" s="4">
        <f t="shared" ref="D46:E46" si="16">E103*1000</f>
        <v>1674.0000000000005</v>
      </c>
      <c r="F46" s="24"/>
    </row>
    <row r="47" spans="1:6" x14ac:dyDescent="0.25">
      <c r="A47" s="22"/>
      <c r="B47" s="23"/>
      <c r="C47" s="23"/>
      <c r="D47" s="25"/>
      <c r="E47" s="2"/>
      <c r="F47" s="24"/>
    </row>
    <row r="48" spans="1:6" x14ac:dyDescent="0.25">
      <c r="A48" s="22"/>
      <c r="B48" s="23"/>
      <c r="C48" s="23"/>
      <c r="D48" s="25"/>
      <c r="E48" s="2"/>
      <c r="F48" s="24"/>
    </row>
    <row r="49" spans="1:6" x14ac:dyDescent="0.25">
      <c r="A49" s="22"/>
      <c r="B49" s="23"/>
      <c r="C49" s="58"/>
      <c r="D49" s="65"/>
      <c r="E49" s="50"/>
      <c r="F49" s="24"/>
    </row>
    <row r="50" spans="1:6" x14ac:dyDescent="0.25">
      <c r="A50" s="22"/>
      <c r="B50" s="23"/>
      <c r="C50" s="58"/>
      <c r="D50" s="67"/>
      <c r="E50" s="68">
        <f>E51*E52/(E53+E54)</f>
        <v>197.04433497536945</v>
      </c>
      <c r="F50" s="24"/>
    </row>
    <row r="51" spans="1:6" x14ac:dyDescent="0.25">
      <c r="A51" s="22"/>
      <c r="B51" s="23"/>
      <c r="C51" s="58"/>
      <c r="D51" s="62"/>
      <c r="E51" s="25">
        <v>50</v>
      </c>
      <c r="F51" s="24"/>
    </row>
    <row r="52" spans="1:6" x14ac:dyDescent="0.25">
      <c r="A52" s="22"/>
      <c r="B52" s="23"/>
      <c r="C52" s="58"/>
      <c r="D52" s="66"/>
      <c r="E52" s="57">
        <v>600</v>
      </c>
      <c r="F52" s="24"/>
    </row>
    <row r="53" spans="1:6" x14ac:dyDescent="0.25">
      <c r="A53" s="22"/>
      <c r="B53" s="23"/>
      <c r="C53" s="58"/>
      <c r="D53" s="66"/>
      <c r="E53" s="57">
        <f>E65</f>
        <v>102</v>
      </c>
      <c r="F53" s="24"/>
    </row>
    <row r="54" spans="1:6" x14ac:dyDescent="0.25">
      <c r="A54" s="22"/>
      <c r="B54" s="23"/>
      <c r="C54" s="58"/>
      <c r="D54" s="57"/>
      <c r="E54" s="90">
        <f>E80</f>
        <v>50.249999999999993</v>
      </c>
      <c r="F54" s="24"/>
    </row>
    <row r="55" spans="1:6" x14ac:dyDescent="0.25">
      <c r="A55" s="22"/>
      <c r="B55" s="23"/>
      <c r="C55" s="23"/>
      <c r="D55" s="25"/>
      <c r="E55" s="2"/>
      <c r="F55" s="24"/>
    </row>
    <row r="56" spans="1:6" x14ac:dyDescent="0.25">
      <c r="A56" s="22"/>
      <c r="B56" s="29"/>
      <c r="C56" s="29"/>
      <c r="D56" s="30"/>
      <c r="E56" s="5"/>
      <c r="F56" s="24" t="s">
        <v>29</v>
      </c>
    </row>
    <row r="57" spans="1:6" x14ac:dyDescent="0.25">
      <c r="A57" s="22"/>
      <c r="B57" s="29"/>
      <c r="C57" s="29"/>
      <c r="D57" s="30"/>
      <c r="E57" s="5"/>
      <c r="F57" s="24"/>
    </row>
    <row r="58" spans="1:6" x14ac:dyDescent="0.25">
      <c r="A58" s="22"/>
      <c r="B58" s="29"/>
      <c r="C58" s="29"/>
      <c r="D58" s="31">
        <f t="shared" ref="D58:E58" si="17">D59*(D60-D61)*D62</f>
        <v>2652</v>
      </c>
      <c r="E58" s="6">
        <f t="shared" si="17"/>
        <v>-714</v>
      </c>
      <c r="F58" s="24" t="s">
        <v>39</v>
      </c>
    </row>
    <row r="59" spans="1:6" x14ac:dyDescent="0.25">
      <c r="A59" s="22"/>
      <c r="B59" s="29"/>
      <c r="C59" s="29"/>
      <c r="D59" s="32">
        <f t="shared" ref="D59:E59" si="18">D65</f>
        <v>102</v>
      </c>
      <c r="E59" s="7">
        <f t="shared" si="18"/>
        <v>102</v>
      </c>
      <c r="F59" s="24"/>
    </row>
    <row r="60" spans="1:6" x14ac:dyDescent="0.25">
      <c r="A60" s="22"/>
      <c r="B60" s="29"/>
      <c r="C60" s="29"/>
      <c r="D60" s="30">
        <v>21</v>
      </c>
      <c r="E60" s="5">
        <v>25</v>
      </c>
      <c r="F60" s="24" t="s">
        <v>31</v>
      </c>
    </row>
    <row r="61" spans="1:6" x14ac:dyDescent="0.25">
      <c r="A61" s="22"/>
      <c r="B61" s="29"/>
      <c r="C61" s="29"/>
      <c r="D61" s="32">
        <v>-5</v>
      </c>
      <c r="E61" s="7">
        <v>32</v>
      </c>
      <c r="F61" s="24" t="s">
        <v>30</v>
      </c>
    </row>
    <row r="62" spans="1:6" x14ac:dyDescent="0.25">
      <c r="A62" s="22"/>
      <c r="B62" s="29"/>
      <c r="C62" s="29"/>
      <c r="D62" s="52">
        <v>1</v>
      </c>
      <c r="E62" s="5">
        <f t="shared" ref="E62" si="19">D62</f>
        <v>1</v>
      </c>
      <c r="F62" s="24" t="s">
        <v>44</v>
      </c>
    </row>
    <row r="63" spans="1:6" x14ac:dyDescent="0.25">
      <c r="A63" s="22"/>
      <c r="B63" s="29"/>
      <c r="C63" s="29"/>
      <c r="D63" s="30"/>
      <c r="E63" s="5"/>
      <c r="F63" s="24"/>
    </row>
    <row r="64" spans="1:6" x14ac:dyDescent="0.25">
      <c r="A64" s="22"/>
      <c r="B64" s="29"/>
      <c r="C64" s="29"/>
      <c r="D64" s="30"/>
      <c r="E64" s="5"/>
      <c r="F64" s="24"/>
    </row>
    <row r="65" spans="1:6" x14ac:dyDescent="0.25">
      <c r="A65" s="22"/>
      <c r="B65" s="29"/>
      <c r="C65" s="29"/>
      <c r="D65" s="32">
        <f t="shared" ref="D65:E65" si="20">D66*D68+D67*D69</f>
        <v>102</v>
      </c>
      <c r="E65" s="7">
        <f t="shared" si="20"/>
        <v>102</v>
      </c>
      <c r="F65" s="24"/>
    </row>
    <row r="66" spans="1:6" x14ac:dyDescent="0.25">
      <c r="A66" s="22"/>
      <c r="B66" s="29"/>
      <c r="C66" s="29"/>
      <c r="D66" s="32">
        <v>300</v>
      </c>
      <c r="E66" s="7">
        <f t="shared" ref="E66:E69" si="21">D66</f>
        <v>300</v>
      </c>
      <c r="F66" s="24" t="s">
        <v>0</v>
      </c>
    </row>
    <row r="67" spans="1:6" x14ac:dyDescent="0.25">
      <c r="A67" s="22"/>
      <c r="B67" s="29"/>
      <c r="C67" s="29"/>
      <c r="D67" s="32">
        <v>60</v>
      </c>
      <c r="E67" s="7">
        <f t="shared" si="21"/>
        <v>60</v>
      </c>
      <c r="F67" s="24"/>
    </row>
    <row r="68" spans="1:6" x14ac:dyDescent="0.25">
      <c r="A68" s="22"/>
      <c r="B68" s="29"/>
      <c r="C68" s="29"/>
      <c r="D68" s="71">
        <v>0.18</v>
      </c>
      <c r="E68" s="8">
        <f t="shared" si="21"/>
        <v>0.18</v>
      </c>
      <c r="F68" s="24" t="s">
        <v>18</v>
      </c>
    </row>
    <row r="69" spans="1:6" x14ac:dyDescent="0.25">
      <c r="A69" s="22"/>
      <c r="B69" s="29"/>
      <c r="C69" s="29"/>
      <c r="D69" s="30">
        <v>0.8</v>
      </c>
      <c r="E69" s="5">
        <f t="shared" si="21"/>
        <v>0.8</v>
      </c>
      <c r="F69" s="24"/>
    </row>
    <row r="70" spans="1:6" x14ac:dyDescent="0.25">
      <c r="A70" s="22"/>
      <c r="B70" s="29"/>
      <c r="C70" s="29"/>
      <c r="D70" s="30"/>
      <c r="E70" s="5"/>
      <c r="F70" s="24"/>
    </row>
    <row r="71" spans="1:6" x14ac:dyDescent="0.25">
      <c r="A71" s="22"/>
      <c r="B71" s="33"/>
      <c r="C71" s="33"/>
      <c r="D71" s="34"/>
      <c r="E71" s="9"/>
      <c r="F71" s="24"/>
    </row>
    <row r="72" spans="1:6" x14ac:dyDescent="0.25">
      <c r="A72" s="22"/>
      <c r="B72" s="33"/>
      <c r="C72" s="33"/>
      <c r="D72" s="34"/>
      <c r="E72" s="9"/>
      <c r="F72" s="24"/>
    </row>
    <row r="73" spans="1:6" x14ac:dyDescent="0.25">
      <c r="A73" s="22"/>
      <c r="B73" s="33"/>
      <c r="C73" s="33"/>
      <c r="D73" s="35">
        <f t="shared" ref="D73:E73" si="22">D74*(D75-D76)*D77</f>
        <v>1306.4999999999998</v>
      </c>
      <c r="E73" s="10">
        <f t="shared" si="22"/>
        <v>-351.74999999999994</v>
      </c>
      <c r="F73" s="24" t="s">
        <v>39</v>
      </c>
    </row>
    <row r="74" spans="1:6" x14ac:dyDescent="0.25">
      <c r="A74" s="22"/>
      <c r="B74" s="33"/>
      <c r="C74" s="33"/>
      <c r="D74" s="36">
        <f t="shared" ref="D74:E74" si="23">D80</f>
        <v>50.249999999999993</v>
      </c>
      <c r="E74" s="11">
        <f t="shared" si="23"/>
        <v>50.249999999999993</v>
      </c>
      <c r="F74" s="24"/>
    </row>
    <row r="75" spans="1:6" x14ac:dyDescent="0.25">
      <c r="A75" s="22"/>
      <c r="B75" s="33"/>
      <c r="C75" s="33"/>
      <c r="D75" s="34">
        <f t="shared" ref="D75:E76" si="24">D60</f>
        <v>21</v>
      </c>
      <c r="E75" s="9">
        <f t="shared" si="24"/>
        <v>25</v>
      </c>
      <c r="F75" s="24" t="s">
        <v>32</v>
      </c>
    </row>
    <row r="76" spans="1:6" x14ac:dyDescent="0.25">
      <c r="A76" s="22"/>
      <c r="B76" s="33"/>
      <c r="C76" s="33"/>
      <c r="D76" s="34">
        <f t="shared" si="24"/>
        <v>-5</v>
      </c>
      <c r="E76" s="9">
        <f t="shared" si="24"/>
        <v>32</v>
      </c>
      <c r="F76" s="24" t="s">
        <v>33</v>
      </c>
    </row>
    <row r="77" spans="1:6" x14ac:dyDescent="0.25">
      <c r="A77" s="22"/>
      <c r="B77" s="33"/>
      <c r="C77" s="33"/>
      <c r="D77" s="34">
        <v>1</v>
      </c>
      <c r="E77" s="9">
        <v>1</v>
      </c>
      <c r="F77" s="24" t="s">
        <v>44</v>
      </c>
    </row>
    <row r="78" spans="1:6" x14ac:dyDescent="0.25">
      <c r="A78" s="22"/>
      <c r="B78" s="33"/>
      <c r="C78" s="33"/>
      <c r="D78" s="34"/>
      <c r="E78" s="9"/>
      <c r="F78" s="24"/>
    </row>
    <row r="79" spans="1:6" x14ac:dyDescent="0.25">
      <c r="A79" s="22"/>
      <c r="B79" s="33"/>
      <c r="C79" s="33"/>
      <c r="D79" s="34"/>
      <c r="E79" s="9"/>
      <c r="F79" s="24"/>
    </row>
    <row r="80" spans="1:6" x14ac:dyDescent="0.25">
      <c r="A80" s="22"/>
      <c r="B80" s="33"/>
      <c r="C80" s="33"/>
      <c r="D80" s="36">
        <f t="shared" ref="D80:E80" si="25">D81*D82*D83</f>
        <v>50.249999999999993</v>
      </c>
      <c r="E80" s="11">
        <f t="shared" si="25"/>
        <v>50.249999999999993</v>
      </c>
      <c r="F80" s="24"/>
    </row>
    <row r="81" spans="1:6" x14ac:dyDescent="0.25">
      <c r="A81" s="22"/>
      <c r="B81" s="33"/>
      <c r="C81" s="33"/>
      <c r="D81" s="37">
        <f t="shared" ref="D81:E81" si="26">D86/3600</f>
        <v>4.1666666666666664E-2</v>
      </c>
      <c r="E81" s="12">
        <f t="shared" si="26"/>
        <v>4.1666666666666664E-2</v>
      </c>
      <c r="F81" s="24"/>
    </row>
    <row r="82" spans="1:6" x14ac:dyDescent="0.25">
      <c r="A82" s="22"/>
      <c r="B82" s="33"/>
      <c r="C82" s="33"/>
      <c r="D82" s="34">
        <v>1.2</v>
      </c>
      <c r="E82" s="9">
        <f>D82</f>
        <v>1.2</v>
      </c>
      <c r="F82" s="24"/>
    </row>
    <row r="83" spans="1:6" x14ac:dyDescent="0.25">
      <c r="A83" s="22"/>
      <c r="B83" s="33"/>
      <c r="C83" s="33"/>
      <c r="D83" s="34">
        <v>1005</v>
      </c>
      <c r="E83" s="9">
        <f>D83</f>
        <v>1005</v>
      </c>
      <c r="F83" s="24"/>
    </row>
    <row r="84" spans="1:6" x14ac:dyDescent="0.25">
      <c r="A84" s="22"/>
      <c r="B84" s="33"/>
      <c r="C84" s="33"/>
      <c r="D84" s="34"/>
      <c r="E84" s="9"/>
      <c r="F84" s="24"/>
    </row>
    <row r="85" spans="1:6" x14ac:dyDescent="0.25">
      <c r="A85" s="22"/>
      <c r="B85" s="33"/>
      <c r="C85" s="33"/>
      <c r="D85" s="34"/>
      <c r="E85" s="9"/>
      <c r="F85" s="24"/>
    </row>
    <row r="86" spans="1:6" x14ac:dyDescent="0.25">
      <c r="A86" s="22"/>
      <c r="B86" s="33"/>
      <c r="C86" s="33"/>
      <c r="D86" s="34">
        <f t="shared" ref="D86:E86" si="27">D87*(1-D89)+D88</f>
        <v>150</v>
      </c>
      <c r="E86" s="9">
        <f t="shared" si="27"/>
        <v>150</v>
      </c>
      <c r="F86" s="24" t="s">
        <v>24</v>
      </c>
    </row>
    <row r="87" spans="1:6" x14ac:dyDescent="0.25">
      <c r="A87" s="22"/>
      <c r="B87" s="33"/>
      <c r="C87" s="33"/>
      <c r="D87" s="34">
        <f t="shared" ref="D87" si="28">0.6*200</f>
        <v>120</v>
      </c>
      <c r="E87" s="9">
        <f t="shared" ref="E87" si="29">D87</f>
        <v>120</v>
      </c>
      <c r="F87" s="24" t="s">
        <v>14</v>
      </c>
    </row>
    <row r="88" spans="1:6" x14ac:dyDescent="0.25">
      <c r="A88" s="22"/>
      <c r="B88" s="33"/>
      <c r="C88" s="33"/>
      <c r="D88" s="34">
        <f t="shared" ref="D88" si="30">0.15*200</f>
        <v>30</v>
      </c>
      <c r="E88" s="9">
        <f>D88</f>
        <v>30</v>
      </c>
      <c r="F88" s="24" t="s">
        <v>14</v>
      </c>
    </row>
    <row r="89" spans="1:6" x14ac:dyDescent="0.25">
      <c r="A89" s="22"/>
      <c r="B89" s="33"/>
      <c r="C89" s="33"/>
      <c r="D89" s="34">
        <v>0</v>
      </c>
      <c r="E89" s="9">
        <f>D89</f>
        <v>0</v>
      </c>
      <c r="F89" s="24" t="s">
        <v>15</v>
      </c>
    </row>
    <row r="90" spans="1:6" x14ac:dyDescent="0.25">
      <c r="A90" s="22"/>
      <c r="B90" s="33"/>
      <c r="C90" s="33"/>
      <c r="D90" s="34"/>
      <c r="E90" s="9"/>
      <c r="F90" s="24"/>
    </row>
    <row r="91" spans="1:6" x14ac:dyDescent="0.25">
      <c r="A91" s="22"/>
      <c r="B91" s="38"/>
      <c r="C91" s="38"/>
      <c r="D91" s="39"/>
      <c r="E91" s="13"/>
      <c r="F91" s="24"/>
    </row>
    <row r="92" spans="1:6" x14ac:dyDescent="0.25">
      <c r="A92" s="22"/>
      <c r="B92" s="38"/>
      <c r="C92" s="38"/>
      <c r="D92" s="39"/>
      <c r="E92" s="13"/>
      <c r="F92" s="24"/>
    </row>
    <row r="93" spans="1:6" x14ac:dyDescent="0.25">
      <c r="A93" s="22"/>
      <c r="B93" s="38"/>
      <c r="C93" s="38"/>
      <c r="D93" s="40"/>
      <c r="E93" s="14">
        <f t="shared" ref="E93" si="31">E94*E97+E95*E98+E96*E99</f>
        <v>2420</v>
      </c>
      <c r="F93" s="24" t="s">
        <v>39</v>
      </c>
    </row>
    <row r="94" spans="1:6" x14ac:dyDescent="0.25">
      <c r="A94" s="22"/>
      <c r="B94" s="38"/>
      <c r="C94" s="38"/>
      <c r="D94" s="39"/>
      <c r="E94" s="13">
        <f t="shared" ref="E94" si="32">1.4*200</f>
        <v>280</v>
      </c>
      <c r="F94" s="24" t="s">
        <v>16</v>
      </c>
    </row>
    <row r="95" spans="1:6" x14ac:dyDescent="0.25">
      <c r="A95" s="22"/>
      <c r="B95" s="38"/>
      <c r="C95" s="38"/>
      <c r="D95" s="39"/>
      <c r="E95" s="13">
        <f t="shared" ref="E95" si="33">2.7*200</f>
        <v>540</v>
      </c>
      <c r="F95" s="24" t="s">
        <v>16</v>
      </c>
    </row>
    <row r="96" spans="1:6" x14ac:dyDescent="0.25">
      <c r="A96" s="22"/>
      <c r="B96" s="38"/>
      <c r="C96" s="38"/>
      <c r="D96" s="39"/>
      <c r="E96" s="13">
        <f t="shared" ref="E96" si="34">8*200</f>
        <v>1600</v>
      </c>
      <c r="F96" s="24" t="s">
        <v>16</v>
      </c>
    </row>
    <row r="97" spans="1:6" x14ac:dyDescent="0.25">
      <c r="A97" s="22"/>
      <c r="B97" s="38"/>
      <c r="C97" s="38"/>
      <c r="D97" s="72"/>
      <c r="E97" s="72">
        <v>1</v>
      </c>
      <c r="F97" s="24" t="s">
        <v>17</v>
      </c>
    </row>
    <row r="98" spans="1:6" x14ac:dyDescent="0.25">
      <c r="A98" s="22"/>
      <c r="B98" s="38"/>
      <c r="C98" s="38"/>
      <c r="D98" s="72"/>
      <c r="E98" s="72">
        <v>1</v>
      </c>
      <c r="F98" s="24" t="s">
        <v>17</v>
      </c>
    </row>
    <row r="99" spans="1:6" x14ac:dyDescent="0.25">
      <c r="A99" s="22"/>
      <c r="B99" s="38"/>
      <c r="C99" s="38"/>
      <c r="D99" s="72"/>
      <c r="E99" s="72">
        <v>1</v>
      </c>
      <c r="F99" s="24" t="s">
        <v>17</v>
      </c>
    </row>
    <row r="100" spans="1:6" x14ac:dyDescent="0.25">
      <c r="A100" s="22"/>
      <c r="B100" s="38"/>
      <c r="C100" s="38"/>
      <c r="D100" s="39"/>
      <c r="E100" s="13"/>
      <c r="F100" s="24"/>
    </row>
    <row r="101" spans="1:6" x14ac:dyDescent="0.25">
      <c r="A101" s="22"/>
      <c r="B101" s="41"/>
      <c r="C101" s="41"/>
      <c r="D101" s="42"/>
      <c r="E101" s="15"/>
      <c r="F101" s="24"/>
    </row>
    <row r="102" spans="1:6" x14ac:dyDescent="0.25">
      <c r="A102" s="22"/>
      <c r="B102" s="41"/>
      <c r="C102" s="41"/>
      <c r="D102" s="42"/>
      <c r="E102" s="15"/>
      <c r="F102" s="24"/>
    </row>
    <row r="103" spans="1:6" x14ac:dyDescent="0.25">
      <c r="A103" s="22"/>
      <c r="B103" s="41"/>
      <c r="C103" s="41"/>
      <c r="D103" s="81"/>
      <c r="E103" s="81">
        <f t="shared" ref="E103" si="35">E104*E105*E106*E107*E108</f>
        <v>1.6740000000000004</v>
      </c>
      <c r="F103" s="24" t="s">
        <v>40</v>
      </c>
    </row>
    <row r="104" spans="1:6" x14ac:dyDescent="0.25">
      <c r="A104" s="22"/>
      <c r="B104" s="41"/>
      <c r="C104" s="41"/>
      <c r="D104" s="74"/>
      <c r="E104" s="55">
        <v>1</v>
      </c>
      <c r="F104" s="24" t="s">
        <v>45</v>
      </c>
    </row>
    <row r="105" spans="1:6" x14ac:dyDescent="0.25">
      <c r="A105" s="22"/>
      <c r="B105" s="41"/>
      <c r="C105" s="41"/>
      <c r="D105" s="75"/>
      <c r="E105" s="15">
        <v>0.62</v>
      </c>
      <c r="F105" s="24" t="s">
        <v>25</v>
      </c>
    </row>
    <row r="106" spans="1:6" x14ac:dyDescent="0.25">
      <c r="A106" s="22"/>
      <c r="B106" s="41"/>
      <c r="C106" s="41"/>
      <c r="D106" s="73"/>
      <c r="E106" s="17">
        <f t="shared" ref="D106:E106" si="36">E67</f>
        <v>60</v>
      </c>
      <c r="F106" s="24" t="s">
        <v>27</v>
      </c>
    </row>
    <row r="107" spans="1:6" x14ac:dyDescent="0.25">
      <c r="A107" s="22"/>
      <c r="B107" s="41"/>
      <c r="C107" s="41"/>
      <c r="D107" s="74"/>
      <c r="E107" s="55">
        <v>0.45</v>
      </c>
      <c r="F107" s="24" t="s">
        <v>34</v>
      </c>
    </row>
    <row r="108" spans="1:6" x14ac:dyDescent="0.25">
      <c r="A108" s="22"/>
      <c r="B108" s="41"/>
      <c r="C108" s="41"/>
      <c r="D108" s="75"/>
      <c r="E108" s="75">
        <v>0.1</v>
      </c>
      <c r="F108" s="24" t="s">
        <v>28</v>
      </c>
    </row>
    <row r="109" spans="1:6" x14ac:dyDescent="0.25">
      <c r="A109" s="22"/>
      <c r="B109" s="41"/>
      <c r="C109" s="41"/>
      <c r="D109" s="42"/>
      <c r="E109" s="15"/>
      <c r="F109" s="24"/>
    </row>
    <row r="110" spans="1:6" x14ac:dyDescent="0.25">
      <c r="A110" s="22"/>
      <c r="B110" s="41"/>
      <c r="C110" s="41"/>
      <c r="D110" s="42"/>
      <c r="E110" s="15"/>
      <c r="F110" s="24"/>
    </row>
    <row r="111" spans="1:6" ht="15.75" thickBot="1" x14ac:dyDescent="0.3">
      <c r="A111" s="43"/>
      <c r="B111" s="44"/>
      <c r="C111" s="44"/>
      <c r="D111" s="45"/>
      <c r="E111" s="45"/>
      <c r="F111" s="46"/>
    </row>
    <row r="115" spans="3:5" x14ac:dyDescent="0.25">
      <c r="C115" s="47"/>
      <c r="D115"/>
      <c r="E115"/>
    </row>
    <row r="116" spans="3:5" x14ac:dyDescent="0.25">
      <c r="C116" s="47"/>
      <c r="D116"/>
      <c r="E116"/>
    </row>
  </sheetData>
  <mergeCells count="3">
    <mergeCell ref="B1:C1"/>
    <mergeCell ref="F6:F10"/>
    <mergeCell ref="F24:F28"/>
  </mergeCells>
  <pageMargins left="0.7" right="0.7" top="0.75" bottom="0.75" header="0.3" footer="0.3"/>
  <pageSetup scale="38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Heizwärme-Kältebedarf</vt:lpstr>
      <vt:lpstr>Warmwasserwärmebedarf </vt:lpstr>
      <vt:lpstr>Heiz-Kühlleistung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hillias</dc:creator>
  <cp:lastModifiedBy>hillias</cp:lastModifiedBy>
  <cp:lastPrinted>2019-01-28T09:33:19Z</cp:lastPrinted>
  <dcterms:created xsi:type="dcterms:W3CDTF">2018-10-15T10:49:06Z</dcterms:created>
  <dcterms:modified xsi:type="dcterms:W3CDTF">2020-09-30T11:03:58Z</dcterms:modified>
</cp:coreProperties>
</file>