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W_Simulation\PycharmProjects\sia_380-1-full_version\data\"/>
    </mc:Choice>
  </mc:AlternateContent>
  <bookViews>
    <workbookView xWindow="0" yWindow="465" windowWidth="28800" windowHeight="175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" i="1" l="1"/>
  <c r="L90" i="1"/>
  <c r="H90" i="1"/>
  <c r="H89" i="1"/>
  <c r="L89" i="1"/>
  <c r="G98" i="1"/>
  <c r="N97" i="1"/>
  <c r="G97" i="1"/>
  <c r="L33" i="1" l="1"/>
  <c r="G74" i="1" l="1"/>
  <c r="L74" i="1"/>
  <c r="H74" i="1"/>
  <c r="H95" i="1"/>
  <c r="G35" i="1"/>
  <c r="G34" i="1"/>
  <c r="H33" i="1"/>
  <c r="G33" i="1"/>
  <c r="L95" i="1" l="1"/>
  <c r="H94" i="1"/>
  <c r="H93" i="1"/>
  <c r="H92" i="1"/>
  <c r="H91" i="1"/>
  <c r="H88" i="1"/>
  <c r="H87" i="1"/>
  <c r="H86" i="1"/>
  <c r="H35" i="1" s="1"/>
  <c r="H84" i="1"/>
  <c r="H83" i="1"/>
  <c r="H81" i="1"/>
  <c r="H80" i="1"/>
  <c r="H78" i="1"/>
  <c r="H77" i="1"/>
  <c r="H34" i="1" s="1"/>
  <c r="L77" i="1"/>
  <c r="L34" i="1" s="1"/>
  <c r="L94" i="1"/>
  <c r="L93" i="1"/>
  <c r="L92" i="1"/>
  <c r="L91" i="1"/>
  <c r="L88" i="1"/>
  <c r="L87" i="1"/>
  <c r="L86" i="1"/>
  <c r="L35" i="1" s="1"/>
  <c r="L84" i="1"/>
  <c r="L83" i="1"/>
  <c r="L81" i="1"/>
  <c r="L80" i="1"/>
  <c r="L78" i="1"/>
  <c r="G50" i="1" l="1"/>
  <c r="E50" i="1"/>
  <c r="L50" i="1"/>
  <c r="H50" i="1"/>
  <c r="L73" i="1" l="1"/>
  <c r="H73" i="1"/>
  <c r="G72" i="1" l="1"/>
  <c r="L71" i="1"/>
  <c r="H71" i="1"/>
  <c r="H70" i="1"/>
  <c r="L70" i="1"/>
  <c r="L47" i="1"/>
  <c r="H47" i="1"/>
  <c r="G47" i="1"/>
  <c r="G58" i="1"/>
  <c r="H58" i="1"/>
  <c r="L58" i="1"/>
  <c r="H72" i="1" l="1"/>
  <c r="L72" i="1"/>
  <c r="E47" i="1"/>
  <c r="E31" i="1"/>
  <c r="N58" i="1"/>
  <c r="E58" i="1"/>
  <c r="L31" i="1"/>
  <c r="H31" i="1"/>
  <c r="G31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H64" i="1"/>
  <c r="L64" i="1"/>
  <c r="I64" i="1"/>
  <c r="I63" i="1"/>
  <c r="L63" i="1"/>
  <c r="H63" i="1"/>
</calcChain>
</file>

<file path=xl/sharedStrings.xml><?xml version="1.0" encoding="utf-8"?>
<sst xmlns="http://schemas.openxmlformats.org/spreadsheetml/2006/main" count="573" uniqueCount="246">
  <si>
    <t>Abk</t>
  </si>
  <si>
    <t>U-value</t>
  </si>
  <si>
    <t>W33</t>
  </si>
  <si>
    <t>Betonwand, Wärmedämmung mit Lattenrost, Verkleidung</t>
  </si>
  <si>
    <t>Insulation thickness [m]</t>
  </si>
  <si>
    <t>Insulation Type</t>
  </si>
  <si>
    <t>Main material</t>
  </si>
  <si>
    <t>concrete</t>
  </si>
  <si>
    <t>GWP[kgCO2eq/m2]</t>
  </si>
  <si>
    <t>Steinwolle</t>
  </si>
  <si>
    <t>Link</t>
  </si>
  <si>
    <t>http://www.bauteilkatalog.ch/ch/de/202.asp?id=3152740&amp;typ=369313&amp;ngid=2&amp;navid=1&amp;mode=a&amp;Doku=0&amp;iPrint=0&amp;iPDF=0&amp;iXML=0&amp;iChLambda=0&amp;lng=DE&amp;ubt=0&amp;noNPK=&amp;qTr=0&amp;sBT=B2+Wand+gegen+unbeheizte+R%C3%A4ume&amp;sUW=0.2375933798035&amp;sWZ=0&amp;sDS=0.18&amp;BGId=&amp;fx=0&amp;fxl=0&amp;cmbBG=UBP_2006&amp;cmbBezugsmenge=&amp;item1=73333359&amp;lambda1=2.3&amp;ESId1=&amp;bt1=0&amp;Menge1=1&amp;eh1=5&amp;Faktor1=1&amp;Lebensdauer1=60&amp;schicht1=73333359&amp;item2=369313&amp;ESId2=&amp;bt2=0&amp;Menge2=1&amp;eh2=5&amp;Faktor2=1&amp;Lebensdauer2=30&amp;schicht2=369313&amp;sdicke2=0.18&amp;lambda2=0.04&amp;item3=34747343&amp;lambda3=0.13&amp;ESId3=&amp;bt3=0&amp;Menge3=1&amp;eh3=5&amp;Faktor3=1&amp;Lebensdauer3=30&amp;item4=37028770&amp;lambda4=0.25&amp;ESId4=&amp;bt4=0&amp;Menge4=1&amp;eh4=5&amp;Faktor4=1&amp;Lebensdauer4=30&amp;item5=106223103&amp;schichten=5</t>
  </si>
  <si>
    <t>Holzblockwand, Aussenwärmedämmung, Verkleidung</t>
  </si>
  <si>
    <t>W47</t>
  </si>
  <si>
    <t>http://www.bauteilkatalog.ch/ch/de/202.asp?id=69314999&amp;typ=48249105&amp;ngid=2&amp;navid=1&amp;mode=a&amp;Doku=0&amp;iPrint=0&amp;iPDF=0&amp;iXML=0&amp;iChLambda=0&amp;lng=DE&amp;ubt=0&amp;noNPK=&amp;qTr=0&amp;sBT=B1+Wand+gegen+Aussenklima&amp;sUW=0.177522873139556&amp;sWZ=0.03&amp;sDS=0.18&amp;BGId=&amp;fx=0&amp;fxl=0&amp;cmbBG=UBP_2006&amp;cmbBezugsmenge=&amp;item1=4815940&amp;lambda1=0.13&amp;ESId1=&amp;bt1=0&amp;Menge1=1&amp;eh1=5&amp;Faktor1=1&amp;Lebensdauer1=60&amp;item2=2269503&amp;lambda2=0&amp;ESId2=&amp;bt2=0&amp;Menge2=1&amp;eh2=5&amp;Faktor2=1&amp;Lebensdauer2=40&amp;item3=48249105&amp;ESId3=&amp;bt3=0&amp;Menge3=1&amp;eh3=5&amp;Faktor3=1&amp;Lebensdauer3=40&amp;schicht3=48249105&amp;sdicke3=0.18&amp;lambda3=0.04&amp;item4=3545027&amp;lambda4=0&amp;ESId4=&amp;bt4=0&amp;Menge4=2&amp;eh4=54&amp;Faktor4=1&amp;Lebensdauer4=40&amp;item5=43066472&amp;lambda5=0.13&amp;ESId5=&amp;bt5=0&amp;Menge5=1.5&amp;eh5=4&amp;Faktor5=1&amp;Lebensdauer5=40&amp;item6=146700467&amp;lambda6=0.13&amp;ESId6=&amp;bt6=0&amp;Menge6=1&amp;eh6=5&amp;Faktor6=1&amp;Lebensdauer6=40&amp;item7=107527024&amp;item8=129448545&amp;lambda8=0&amp;ESId8=&amp;bt8=0&amp;Menge8=1&amp;eh8=5&amp;Faktor8=1&amp;Lebensdauer8=40&amp;WBZMemo8=vgl.%2Fv.+WB-6.2-U2+%28axb%3D0.5%29&amp;sdicke8=0.03&amp;schichten=8</t>
  </si>
  <si>
    <t>Glaswolle</t>
  </si>
  <si>
    <t>wood</t>
  </si>
  <si>
    <t>Zellulosedämmplatten</t>
  </si>
  <si>
    <t>Sichtbetonwand, Aussenwärmedämmung verputzt</t>
  </si>
  <si>
    <t>W04</t>
  </si>
  <si>
    <t>http://www.bauteilkatalog.ch/ch/de/202.asp?id=67454258&amp;typ=101607271&amp;ngid=2&amp;navid=1&amp;mode=a&amp;Doku=0&amp;iPrint=0&amp;iPDF=0&amp;iXML=0&amp;iChLambda=0&amp;lng=DE&amp;ubt=0&amp;noNPK=&amp;qTr=0&amp;sBT=B1+Wand+gegen+Aussenklima&amp;sUW=0.210794029029777&amp;sWZ=0&amp;sDS=0.18&amp;BGId=&amp;fx=0&amp;fxl=0&amp;cmbBG=UBP_2006&amp;cmbBezugsmenge=&amp;item1=43026243&amp;lambda1=2.3&amp;ESId1=&amp;bt1=0&amp;Menge1=1&amp;eh1=5&amp;Faktor1=1&amp;Lebensdauer1=60&amp;schicht1=43026243&amp;item2=1514220&amp;lambda2=0.8&amp;ESId2=&amp;bt2=0&amp;Menge2=1&amp;eh2=5&amp;Faktor2=1&amp;Lebensdauer2=30&amp;item3=101607271&amp;ESId3=&amp;bt3=0&amp;Menge3=1&amp;eh3=5&amp;Faktor3=1&amp;Lebensdauer3=30&amp;schicht3=101607271&amp;sdicke3=0.18&amp;lambda3=0.04&amp;item4=-843633&amp;lambda4=0.8&amp;ESId4=&amp;bt4=0&amp;Menge4=1&amp;eh4=5&amp;Faktor4=1&amp;Lebensdauer4=30&amp;item5=79173007&amp;lambda5=1&amp;ESId5=&amp;bt5=0&amp;Menge5=1&amp;eh5=5&amp;Faktor5=1&amp;Lebensdauer5=30&amp;item6=112656&amp;schichten=6</t>
  </si>
  <si>
    <t>Polystyrol</t>
  </si>
  <si>
    <t>Sichtbacksteinmauerwerk, Aussenwärmedämmung verputzt</t>
  </si>
  <si>
    <t>http://www.bauteilkatalog.ch/ch/de/202.asp?id=33726706&amp;navid=1&amp;ngid=2&amp;typ=1413628&amp;lng=DE</t>
  </si>
  <si>
    <t>W02</t>
  </si>
  <si>
    <t>brick</t>
  </si>
  <si>
    <t>http://www.bauteilkatalog.ch/ch/de/202.asp?id=69314999&amp;typ=48249105&amp;ngid=2&amp;navid=1&amp;mode=a&amp;Doku=0&amp;iPrint=0&amp;iPDF=0&amp;iXML=0&amp;iChLambda=0&amp;lng=DE&amp;ubt=0&amp;noNPK=&amp;qTr=0&amp;sBT=B1+Wand+gegen+Aussenklima&amp;sUW=0.135444884350983&amp;sWZ=0.03&amp;sDS=0.25&amp;BGId=&amp;fx=0&amp;fxl=0&amp;cmbBG=GWP_100a&amp;cmbBezugsmenge=&amp;item1=4815940&amp;lambda1=0.13&amp;ESId1=&amp;bt1=0&amp;Menge1=1&amp;eh1=5&amp;Faktor1=1&amp;Lebensdauer1=60&amp;item2=2269503&amp;lambda2=0&amp;ESId2=&amp;bt2=0&amp;Menge2=1&amp;eh2=5&amp;Faktor2=1&amp;Lebensdauer2=40&amp;item3=48249105&amp;ESId3=&amp;bt3=0&amp;Menge3=1&amp;eh3=5&amp;Faktor3=1&amp;Lebensdauer3=40&amp;schicht3=48249105&amp;sdicke3=0.25&amp;lambda3=0.04&amp;item4=3545027&amp;lambda4=0&amp;ESId4=&amp;bt4=0&amp;Menge4=2&amp;eh4=54&amp;Faktor4=1&amp;Lebensdauer4=40&amp;item5=43066472&amp;lambda5=0.13&amp;ESId5=&amp;bt5=0&amp;Menge5=1.5&amp;eh5=4&amp;Faktor5=1&amp;Lebensdauer5=40&amp;item6=146700467&amp;lambda6=0.13&amp;ESId6=&amp;bt6=0&amp;Menge6=1&amp;eh6=5&amp;Faktor6=1&amp;Lebensdauer6=40&amp;item7=107527024&amp;item8=129448545&amp;lambda8=0&amp;ESId8=&amp;bt8=0&amp;Menge8=1&amp;eh8=5&amp;Faktor8=1&amp;Lebensdauer8=40&amp;WBZMemo8=vgl.%2Fv.+WB-6.2-U2+%28axb%3D0.5%29&amp;sdicke8=0.03&amp;schichten=8</t>
  </si>
  <si>
    <t>http://www.bauteilkatalog.ch/ch/de/202.asp?id=69314999&amp;typ=48249105&amp;ngid=2&amp;navid=1&amp;mode=a&amp;Doku=0&amp;iPrint=0&amp;iPDF=0&amp;iXML=0&amp;iChLambda=1&amp;lng=DE&amp;ubt=0&amp;noNPK=&amp;qTr=0&amp;sBT=B1+Wand+gegen+Aussenklima&amp;sUW=0.135444884350983&amp;sWZ=0.03&amp;sDS=0.25&amp;BGId=&amp;fx=0&amp;fxl=0&amp;cmbBG=energy_fnwa&amp;cmbBezugsmenge=&amp;item1=4815940&amp;lambda1=0.13&amp;ESId1=&amp;bt1=0&amp;Menge1=1&amp;eh1=5&amp;Faktor1=1&amp;Lebensdauer1=60&amp;item2=2269503&amp;lambda2=0&amp;ESId2=&amp;bt2=0&amp;Menge2=1&amp;eh2=5&amp;Faktor2=1&amp;Lebensdauer2=40&amp;item3=48249105&amp;ESId3=&amp;bt3=0&amp;Menge3=1&amp;eh3=5&amp;Faktor3=1&amp;Lebensdauer3=40&amp;schicht3=3726289&amp;sdicke3=0.25&amp;lambda3=0.04&amp;item4=3545027&amp;lambda4=0&amp;ESId4=&amp;bt4=0&amp;Menge4=2&amp;eh4=54&amp;Faktor4=1&amp;Lebensdauer4=40&amp;item5=43066472&amp;lambda5=0.13&amp;ESId5=&amp;bt5=0&amp;Menge5=1.5&amp;eh5=4&amp;Faktor5=1&amp;Lebensdauer5=40&amp;item6=146700467&amp;lambda6=0.13&amp;ESId6=&amp;bt6=0&amp;Menge6=1&amp;eh6=5&amp;Faktor6=1&amp;Lebensdauer6=40&amp;item7=107527024&amp;item8=129448545&amp;lambda8=0&amp;ESId8=&amp;bt8=0&amp;Menge8=1&amp;eh8=5&amp;Faktor8=1&amp;Lebensdauer8=40&amp;WBZMemo8=vgl.%2Fv.+WB-6.2-U2+%28axb%3D0.5%29&amp;sdicke8=0.03&amp;schichten=8</t>
  </si>
  <si>
    <t>http://www.bauteilkatalog.ch/ch/de/202.asp?id=69314999&amp;typ=3726289&amp;ngid=2&amp;navid=1&amp;mode=a&amp;Doku=0&amp;iPrint=0&amp;iPDF=0&amp;iXML=0&amp;iChLambda=1&amp;lng=DE&amp;ubt=0&amp;noNPK=&amp;qTr=0&amp;sBT=B1+Wand+gegen+Aussenklima&amp;sUW=0.135444884350983&amp;sWZ=0.03&amp;sDS=0.25&amp;BGId=&amp;fx=0&amp;fxl=0&amp;cmbBG=energy_fnwa&amp;cmbBezugsmenge=&amp;item1=4815940&amp;lambda1=0.13&amp;ESId1=&amp;bt1=0&amp;Menge1=1&amp;eh1=5&amp;Faktor1=1&amp;Lebensdauer1=60&amp;item2=2269503&amp;lambda2=0&amp;ESId2=&amp;bt2=0&amp;Menge2=1&amp;eh2=5&amp;Faktor2=1&amp;Lebensdauer2=40&amp;item3=3726289&amp;ESId3=&amp;bt3=0&amp;Menge3=1&amp;eh3=5&amp;Faktor3=1&amp;Lebensdauer3=40&amp;schicht3=112215635&amp;sdicke3=0.25&amp;lambda3=0.04&amp;item4=3545027&amp;lambda4=0&amp;ESId4=&amp;bt4=0&amp;Menge4=2&amp;eh4=54&amp;Faktor4=1&amp;Lebensdauer4=40&amp;item5=43066472&amp;lambda5=0.13&amp;ESId5=&amp;bt5=0&amp;Menge5=1.5&amp;eh5=4&amp;Faktor5=1&amp;Lebensdauer5=40&amp;item6=146700467&amp;lambda6=0.13&amp;ESId6=&amp;bt6=0&amp;Menge6=1&amp;eh6=5&amp;Faktor6=1&amp;Lebensdauer6=40&amp;item7=107527024&amp;item8=129448545&amp;lambda8=0&amp;ESId8=&amp;bt8=0&amp;Menge8=1&amp;eh8=5&amp;Faktor8=1&amp;Lebensdauer8=40&amp;WBZMemo8=vgl.%2Fv.+WB-6.2-U2+%28axb%3D0.5%29&amp;sdicke8=0.03&amp;schichten=8</t>
  </si>
  <si>
    <t>http://www.bauteilkatalog.ch/ch/de/202.asp?id=67454258&amp;typ=101607271&amp;ngid=2&amp;navid=1&amp;mode=a&amp;Doku=0&amp;iPrint=0&amp;iPDF=0&amp;iXML=0&amp;iChLambda=0&amp;lng=DE&amp;ubt=0&amp;noNPK=&amp;qTr=0&amp;sBT=B1+Wand+gegen+Aussenklima&amp;sUW=0.153989070123489&amp;sWZ=0&amp;sDS=0.25&amp;BGId=&amp;fx=0&amp;fxl=0&amp;cmbBG=UBP_2006&amp;cmbBezugsmenge=&amp;item1=43026243&amp;lambda1=2.3&amp;ESId1=&amp;bt1=0&amp;Menge1=1&amp;eh1=5&amp;Faktor1=1&amp;Lebensdauer1=60&amp;schicht1=43026243&amp;item2=1514220&amp;lambda2=0.8&amp;ESId2=&amp;bt2=0&amp;Menge2=1&amp;eh2=5&amp;Faktor2=1&amp;Lebensdauer2=30&amp;item3=101607271&amp;ESId3=&amp;bt3=0&amp;Menge3=1&amp;eh3=5&amp;Faktor3=1&amp;Lebensdauer3=30&amp;schicht3=101607271&amp;sdicke3=0.25&amp;lambda3=0.04&amp;item4=-843633&amp;lambda4=0.8&amp;ESId4=&amp;bt4=0&amp;Menge4=1&amp;eh4=5&amp;Faktor4=1&amp;Lebensdauer4=30&amp;item5=79173007&amp;lambda5=1&amp;ESId5=&amp;bt5=0&amp;Menge5=1&amp;eh5=5&amp;Faktor5=1&amp;Lebensdauer5=30&amp;item6=112656&amp;schichten=6</t>
  </si>
  <si>
    <t>http://www.bauteilkatalog.ch/ch/de/202.asp?id=67454258&amp;typ=101607271&amp;ngid=2&amp;navid=1&amp;mode=a&amp;Doku=0&amp;iPrint=0&amp;iPDF=0&amp;iXML=0&amp;iChLambda=0&amp;lng=DE&amp;ubt=0&amp;noNPK=&amp;qTr=0&amp;sBT=B1+Wand+gegen+Aussenklima&amp;sUW=0.153989070123489&amp;sWZ=0&amp;sDS=0.25&amp;BGId=&amp;fx=0&amp;fxl=0&amp;cmbBG=GWP_100a&amp;cmbBezugsmenge=&amp;item1=43026243&amp;lambda1=2.3&amp;ESId1=&amp;bt1=0&amp;Menge1=1&amp;eh1=5&amp;Faktor1=1&amp;Lebensdauer1=60&amp;schicht1=43026243&amp;item2=1514220&amp;lambda2=0.8&amp;ESId2=&amp;bt2=0&amp;Menge2=1&amp;eh2=5&amp;Faktor2=1&amp;Lebensdauer2=30&amp;item3=101607271&amp;ESId3=&amp;bt3=0&amp;Menge3=1&amp;eh3=5&amp;Faktor3=1&amp;Lebensdauer3=30&amp;schicht3=101607271&amp;sdicke3=0.25&amp;lambda3=0.04&amp;item4=-843633&amp;lambda4=0.8&amp;ESId4=&amp;bt4=0&amp;Menge4=1&amp;eh4=5&amp;Faktor4=1&amp;Lebensdauer4=30&amp;item5=79173007&amp;lambda5=1&amp;ESId5=&amp;bt5=0&amp;Menge5=1&amp;eh5=5&amp;Faktor5=1&amp;Lebensdauer5=30&amp;item6=112656&amp;schichten=6</t>
  </si>
  <si>
    <t>http://www.bauteilkatalog.ch/ch/de/202.asp?id=33726706&amp;typ=95132444&amp;ngid=2&amp;navid=1&amp;mode=a&amp;Doku=0&amp;iPrint=0&amp;iPDF=0&amp;iXML=0&amp;iChLambda=0&amp;lng=DE&amp;ubt=0&amp;noNPK=&amp;qTr=0&amp;sBT=B1+Wand+gegen+Aussenklima&amp;sUW=0.148746640523205&amp;sWZ=0&amp;sDS=0.25&amp;BGId=&amp;fx=0&amp;fxl=0&amp;cmbBG=UBP_2006&amp;cmbBezugsmenge=&amp;item1=138410053&amp;lambda1=0.44&amp;ESId1=&amp;bt1=0&amp;Menge1=1&amp;eh1=5&amp;Faktor1=1&amp;Lebensdauer1=60&amp;schicht1=138410053&amp;item2=-131366796&amp;lambda2=1&amp;ESId2=&amp;bt2=0&amp;Menge2=1&amp;eh2=5&amp;Faktor2=1&amp;Lebensdauer2=30&amp;item3=40704894&amp;lambda3=0.8&amp;ESId3=&amp;bt3=0&amp;Menge3=1&amp;eh3=5&amp;Faktor3=1&amp;Lebensdauer3=30&amp;item4=95132444&amp;ESId4=&amp;bt4=0&amp;Menge4=1&amp;eh4=5&amp;Faktor4=1&amp;Lebensdauer4=30&amp;schicht4=95132444&amp;sdicke4=0.25&amp;lambda4=0.04&amp;item5=80903491&amp;lambda5=0.8&amp;ESId5=&amp;bt5=0&amp;Menge5=1&amp;eh5=5&amp;Faktor5=1&amp;Lebensdauer5=30&amp;item6=69757902&amp;lambda6=1&amp;ESId6=&amp;bt6=0&amp;Menge6=1&amp;eh6=5&amp;Faktor6=1&amp;Lebensdauer6=30&amp;item7=43681336&amp;schichten=7</t>
  </si>
  <si>
    <t>Thermal capacitance [kJ/m2K]</t>
  </si>
  <si>
    <t>Name</t>
  </si>
  <si>
    <t>Category</t>
  </si>
  <si>
    <t>wall</t>
  </si>
  <si>
    <t>window</t>
  </si>
  <si>
    <t>F01</t>
  </si>
  <si>
    <t>3 fach Verglasung</t>
  </si>
  <si>
    <t>Holzflügelfenster 3-fach ESG</t>
  </si>
  <si>
    <t>0.6 ug</t>
  </si>
  <si>
    <t>https://treeze.ch/fileadmin/user_upload/calculators/637-Fensterrechner.htm</t>
  </si>
  <si>
    <t>Non renewable Primary Energy [MJ/m2]</t>
  </si>
  <si>
    <t>Aluminiumflügelfenster 2-fach ESG</t>
  </si>
  <si>
    <t>1.1 ug</t>
  </si>
  <si>
    <t>aluminum, glass</t>
  </si>
  <si>
    <t>wood, glass</t>
  </si>
  <si>
    <t>2 fach Verglasung</t>
  </si>
  <si>
    <t>F02</t>
  </si>
  <si>
    <t>Grundaufbau</t>
  </si>
  <si>
    <t xml:space="preserve">wall </t>
  </si>
  <si>
    <t>SIA standard, Stahlbeton, Mineralwolle, verputzt</t>
  </si>
  <si>
    <t>SIA ziel, Stahlbeton, Mineralwolle, verputzt</t>
  </si>
  <si>
    <t>WSIA1</t>
  </si>
  <si>
    <t>WSIA2</t>
  </si>
  <si>
    <t>hive</t>
  </si>
  <si>
    <t>wie Name sagt</t>
  </si>
  <si>
    <t>lifetime</t>
  </si>
  <si>
    <t>wall generell 60 angenommen</t>
  </si>
  <si>
    <t>Stahlbeton, EPS</t>
  </si>
  <si>
    <t>UBA_EnEV_wall_stb</t>
  </si>
  <si>
    <t>UBA_KfW_55_wall_stb</t>
  </si>
  <si>
    <t>UBA_KFW_40_wall_stb</t>
  </si>
  <si>
    <t>EPS</t>
  </si>
  <si>
    <t>UBAKUS nur Produktion</t>
  </si>
  <si>
    <t>UBA_1</t>
  </si>
  <si>
    <t>UBA_2</t>
  </si>
  <si>
    <t>UBA_3</t>
  </si>
  <si>
    <t>roof</t>
  </si>
  <si>
    <t>UBA_EnEV_roof_stb</t>
  </si>
  <si>
    <t>UBA_KfW_55_roof_stb</t>
  </si>
  <si>
    <t>UBA_KfW_40_roof_stb</t>
  </si>
  <si>
    <t>UBA_4</t>
  </si>
  <si>
    <t>UBA_5</t>
  </si>
  <si>
    <t>UBA_6</t>
  </si>
  <si>
    <t>UBA_EnEV_window</t>
  </si>
  <si>
    <t>UBA_KfW_55_window</t>
  </si>
  <si>
    <t>UBA_KfW_40_window</t>
  </si>
  <si>
    <t>Kunststoff, 2-fach Verglasung</t>
  </si>
  <si>
    <t>Kunststoff, 3-fach Verglasung</t>
  </si>
  <si>
    <t>plastic</t>
  </si>
  <si>
    <t>treeze Fensterrechner (1.6x1.6m), nur Herstellung, 0.18m Dicke</t>
  </si>
  <si>
    <t>3 fach Verglasung, ESG/ESG</t>
  </si>
  <si>
    <t>3 fach Verglasung ESG/ESG/ESG</t>
  </si>
  <si>
    <t>treeze Fensterrechner (1.6x1.6m), nur Herstellung,  Dicke</t>
  </si>
  <si>
    <t>treeze Fensterrechner (1.6x1.6m), nur Herstellung,</t>
  </si>
  <si>
    <t>UBA_7</t>
  </si>
  <si>
    <t>UBA_8</t>
  </si>
  <si>
    <t>UBA_9</t>
  </si>
  <si>
    <t>UBA_EnEV_wall_wood</t>
  </si>
  <si>
    <t>UBA_KfW_55_wall_wood</t>
  </si>
  <si>
    <t>Holzständer, Zellulose</t>
  </si>
  <si>
    <t>UBA_10</t>
  </si>
  <si>
    <t>UBA_11</t>
  </si>
  <si>
    <t>Zellulose</t>
  </si>
  <si>
    <t>UBA_12</t>
  </si>
  <si>
    <t>floor</t>
  </si>
  <si>
    <t>Stahlbeton</t>
  </si>
  <si>
    <t>-</t>
  </si>
  <si>
    <t>UBA_EnEV_roof_wood</t>
  </si>
  <si>
    <t>UBA_KfW_55_roof_wood</t>
  </si>
  <si>
    <t>UBA_KfW_40_roof_wood</t>
  </si>
  <si>
    <t>Holz MW SW</t>
  </si>
  <si>
    <t>UBA_16</t>
  </si>
  <si>
    <t>UBA_17</t>
  </si>
  <si>
    <t>UBA_18</t>
  </si>
  <si>
    <t>UBA_13</t>
  </si>
  <si>
    <t>UBA_14</t>
  </si>
  <si>
    <t>mineral wool</t>
  </si>
  <si>
    <t>UBA_all_stb</t>
  </si>
  <si>
    <t>UBA_all_wood</t>
  </si>
  <si>
    <t>Holz</t>
  </si>
  <si>
    <t>UBAKUS BSP Einschubdecke</t>
  </si>
  <si>
    <t>UBAKUS 20cm Beton pur</t>
  </si>
  <si>
    <t>UBA_KFW_40_wall_wood</t>
  </si>
  <si>
    <t>Concrete_XPS_Bitumen</t>
  </si>
  <si>
    <t>see name</t>
  </si>
  <si>
    <t>Gypsum_Brick_EPS_LimePlaster</t>
  </si>
  <si>
    <t>XPS</t>
  </si>
  <si>
    <t>brickwork</t>
  </si>
  <si>
    <t>MFH 11, John (2012) https://www.research-collection.ethz.ch/handle/20.500.11850/64977</t>
  </si>
  <si>
    <t>W_MinPEco_1</t>
  </si>
  <si>
    <t>W_MinPEco_2</t>
  </si>
  <si>
    <t>Wall_BC1</t>
  </si>
  <si>
    <t>W_BC1</t>
  </si>
  <si>
    <t>MFH 11, John (2012) https://www.research-collection.ethz.ch/handle/20.500.11850/64978</t>
  </si>
  <si>
    <t>Parquet_Anhydrite_XPS_EPS_Concrete_GlassFoam</t>
  </si>
  <si>
    <t>Concrete_GlassFoam</t>
  </si>
  <si>
    <t>F_MinPEco_1</t>
  </si>
  <si>
    <t>F_MinPEco_2</t>
  </si>
  <si>
    <t>F_BC1</t>
  </si>
  <si>
    <t>Floor_BC1</t>
  </si>
  <si>
    <t>Roof_BC1</t>
  </si>
  <si>
    <t>R_BC1</t>
  </si>
  <si>
    <t>mix between R_MinPEco1 and R_MinPEco2</t>
  </si>
  <si>
    <t>Concrete_PE_PU_Bitumen_Sand_Concrete</t>
  </si>
  <si>
    <t>Concrete_PE_PU_Bitumen_Gravel</t>
  </si>
  <si>
    <t>mix between W_MinPEco1 and W_MinPEco2</t>
  </si>
  <si>
    <t>mix between F_MinPEco1 and W_MinPEco2</t>
  </si>
  <si>
    <t>R_MinPEco_1</t>
  </si>
  <si>
    <t>R_MinPEco_2</t>
  </si>
  <si>
    <t>PU</t>
  </si>
  <si>
    <t>foam glass</t>
  </si>
  <si>
    <t>concrete, brickwork</t>
  </si>
  <si>
    <t>EPS, XPS</t>
  </si>
  <si>
    <t>Wi_3_Wood_Alu</t>
  </si>
  <si>
    <t>Holz/alu, 3-fach Verglasung</t>
  </si>
  <si>
    <t>Wi_3_WA</t>
  </si>
  <si>
    <t>wood, alu, glass</t>
  </si>
  <si>
    <t>https://treeze.ch/fileadmin/user_upload/calculators/Fensterrechner_DE/Fensterrechner.htm</t>
  </si>
  <si>
    <t>Wi_2_Wood_Alu</t>
  </si>
  <si>
    <t>Holz/alu, 2-fach Verglasung</t>
  </si>
  <si>
    <t>Wi_2_WA</t>
  </si>
  <si>
    <t>Window_BC1</t>
  </si>
  <si>
    <t>mix between Wi_3_Wood_Alu and Wi_2_Wood_Alu</t>
  </si>
  <si>
    <t>Wi_BC1</t>
  </si>
  <si>
    <t>UBP[/m2]</t>
  </si>
  <si>
    <t>W_BC2</t>
  </si>
  <si>
    <t>Wi_BC2</t>
  </si>
  <si>
    <t>F_BC2</t>
  </si>
  <si>
    <t>R_BC2</t>
  </si>
  <si>
    <t>Window_BC2</t>
  </si>
  <si>
    <t>Floor_BC2</t>
  </si>
  <si>
    <t>Roof_BC2</t>
  </si>
  <si>
    <t>Gypsum_Concrete_Bitumen_PUR_Bitumen_Rubber_Stones</t>
  </si>
  <si>
    <t>Gypsum_Concrete_Bitumen_PUR_PE_Timber_PVA_PE_Steel</t>
  </si>
  <si>
    <t>R_SIA380_1</t>
  </si>
  <si>
    <t>R_SIA380_2</t>
  </si>
  <si>
    <t>mix between R_SIA380_1 and R_SIA380_2</t>
  </si>
  <si>
    <t>PUR PIR</t>
  </si>
  <si>
    <t>MFH 4, John (2012) https://www.research-collection.ethz.ch/handle/20.500.11850/64978</t>
  </si>
  <si>
    <t>Wall_BC2</t>
  </si>
  <si>
    <t>Ceiling_BC2</t>
  </si>
  <si>
    <t>ceiling</t>
  </si>
  <si>
    <t>C_BC2</t>
  </si>
  <si>
    <t>Cement_Concrete_PE_Concrete</t>
  </si>
  <si>
    <t>GraniteFloor_Cement_PE_EPS_Concrete_Gypsum</t>
  </si>
  <si>
    <t>Zellulosedämmplatte</t>
  </si>
  <si>
    <t>Schaumglas</t>
  </si>
  <si>
    <t>Renovation</t>
  </si>
  <si>
    <t>Ren_18_glasswool</t>
  </si>
  <si>
    <t>Ren_13_stonewool</t>
  </si>
  <si>
    <t>Ren_18_stonewool</t>
  </si>
  <si>
    <t>Ren_13_EPS</t>
  </si>
  <si>
    <t>Ren_18_EPS</t>
  </si>
  <si>
    <t>Ren_13_XPS</t>
  </si>
  <si>
    <t>Ren_18_XPS</t>
  </si>
  <si>
    <t>Ren_8_PU</t>
  </si>
  <si>
    <t>Ren_13_PU</t>
  </si>
  <si>
    <t>Ren_13_foamglass</t>
  </si>
  <si>
    <t>Ren_18_foamglass</t>
  </si>
  <si>
    <t>Ren_13_cellulose</t>
  </si>
  <si>
    <t>Ren_18_cellulose</t>
  </si>
  <si>
    <t>Wi_3_Ren</t>
  </si>
  <si>
    <t>3 fach Verglasung mit Entsorgung altes Fenster</t>
  </si>
  <si>
    <t>3fach Verglasung HolzAlu plus Entsorgung altes Fenster (2fach, Holz, Entsorgung), Fensterrechner treeze</t>
  </si>
  <si>
    <t>Dummy</t>
  </si>
  <si>
    <t>Ren_13_glasswool</t>
  </si>
  <si>
    <t>Insulation 11-15cm Glass Wool</t>
  </si>
  <si>
    <t>Insulation 16-20cm Glass Wool</t>
  </si>
  <si>
    <t>Insulation 11-15cm Stone Wool</t>
  </si>
  <si>
    <t>Insulation 16-20cm Stone Wool</t>
  </si>
  <si>
    <t>Insulation 11-15cm EPS</t>
  </si>
  <si>
    <t>Insulation 16-20cm EPS</t>
  </si>
  <si>
    <t>Insulation 11-15cm XPS</t>
  </si>
  <si>
    <t>Insulation 16-20cm XPS</t>
  </si>
  <si>
    <t>Insulation 6-10cm PU</t>
  </si>
  <si>
    <t>Insulation 11-15cm PU</t>
  </si>
  <si>
    <t>Insulation 11-15cm Foam Glass</t>
  </si>
  <si>
    <t>Insulation 16-20cm Foam Glass</t>
  </si>
  <si>
    <t>Insulation 11-15cm Cellulose</t>
  </si>
  <si>
    <t>Insulation 16-20cm Cellulose</t>
  </si>
  <si>
    <t xml:space="preserve">Window </t>
  </si>
  <si>
    <t>Ren_8_glasswool</t>
  </si>
  <si>
    <t>Insulation 6-10cm Glass Wool</t>
  </si>
  <si>
    <t>Ren_8_stonewool</t>
  </si>
  <si>
    <t>Insulation 8-10cm Stone Wool</t>
  </si>
  <si>
    <t>Ren_8_EPS</t>
  </si>
  <si>
    <t>Insulation 6-10cm EPS</t>
  </si>
  <si>
    <t>Ren_8_XPS</t>
  </si>
  <si>
    <t>Insulation 6-10cm XPS</t>
  </si>
  <si>
    <t>Roof_SIA380_1</t>
  </si>
  <si>
    <t>Roof_SIA380_2</t>
  </si>
  <si>
    <t>Wall_Aufstockung_D</t>
  </si>
  <si>
    <t>5/6 old wall, 1/6 Aufstockung new wall</t>
  </si>
  <si>
    <t>Renovated_Wall_Aufstockung_D_glasswool</t>
  </si>
  <si>
    <t>Renovated_Wall_Aufstockung_D_XPS</t>
  </si>
  <si>
    <t>5/6 old wall renovated glasswool, 1/6 Aufstockung new wall</t>
  </si>
  <si>
    <t>5/6 old wall renovated XPS, 1/6 Aufstockung new wall</t>
  </si>
  <si>
    <t>glasswool</t>
  </si>
  <si>
    <t>Window_Aufstockung_D</t>
  </si>
  <si>
    <t>5/6 old windows, 1/6 new windows</t>
  </si>
  <si>
    <t>W_Auf_D</t>
  </si>
  <si>
    <t>Ren_W_Auf_D_glasswool</t>
  </si>
  <si>
    <t>Ren_W_Auf_D_XPS</t>
  </si>
  <si>
    <t>Wi_Auf_D</t>
  </si>
  <si>
    <t>Cost[CHF/m2]</t>
  </si>
  <si>
    <t>Ren_8</t>
  </si>
  <si>
    <t>Ren_13</t>
  </si>
  <si>
    <t>Ren_18</t>
  </si>
  <si>
    <t>8-10cm Insulation</t>
  </si>
  <si>
    <t>11-15cm Insulation</t>
  </si>
  <si>
    <t>16-20cm Insulation</t>
  </si>
  <si>
    <t>averaged (mineral wool, EPS, XPS, PU/PIR)</t>
  </si>
  <si>
    <t>Ren_18_PU</t>
  </si>
  <si>
    <t>average Values from T. Gürber and D. Sigrist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</si>
</sst>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1" fillId="0" borderId="0" xfId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2" fontId="3" fillId="0" borderId="0" xfId="0" applyNumberFormat="1" applyFont="1"/>
    <xf numFmtId="1" fontId="0" fillId="0" borderId="0" xfId="0" applyNumberFormat="1" applyFill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Embodied Energy and Environmental Impact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Non renewable Primary Energy [MJ/m2]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Sheet1!$J$2:$J$17</c:f>
              <c:numCache>
                <c:formatCode>General</c:formatCode>
                <c:ptCount val="16"/>
                <c:pt idx="0">
                  <c:v>351.5</c:v>
                </c:pt>
                <c:pt idx="1">
                  <c:v>358.5</c:v>
                </c:pt>
                <c:pt idx="2">
                  <c:v>88</c:v>
                </c:pt>
                <c:pt idx="3">
                  <c:v>92</c:v>
                </c:pt>
                <c:pt idx="4">
                  <c:v>84</c:v>
                </c:pt>
                <c:pt idx="5">
                  <c:v>86</c:v>
                </c:pt>
                <c:pt idx="6">
                  <c:v>95.5</c:v>
                </c:pt>
                <c:pt idx="7">
                  <c:v>102</c:v>
                </c:pt>
                <c:pt idx="8">
                  <c:v>348.5</c:v>
                </c:pt>
                <c:pt idx="9">
                  <c:v>354</c:v>
                </c:pt>
                <c:pt idx="10">
                  <c:v>348.5</c:v>
                </c:pt>
                <c:pt idx="11">
                  <c:v>354</c:v>
                </c:pt>
                <c:pt idx="12">
                  <c:v>27.5</c:v>
                </c:pt>
                <c:pt idx="13">
                  <c:v>30.5</c:v>
                </c:pt>
                <c:pt idx="14">
                  <c:v>27</c:v>
                </c:pt>
                <c:pt idx="15">
                  <c:v>29</c:v>
                </c:pt>
              </c:numCache>
            </c:numRef>
          </c:xVal>
          <c:yVal>
            <c:numRef>
              <c:f>Sheet1!$I$2:$I$17</c:f>
              <c:numCache>
                <c:formatCode>General</c:formatCode>
                <c:ptCount val="16"/>
                <c:pt idx="0">
                  <c:v>15.55</c:v>
                </c:pt>
                <c:pt idx="1">
                  <c:v>17.68</c:v>
                </c:pt>
                <c:pt idx="2">
                  <c:v>9.27</c:v>
                </c:pt>
                <c:pt idx="3">
                  <c:v>10.87</c:v>
                </c:pt>
                <c:pt idx="4">
                  <c:v>11.34</c:v>
                </c:pt>
                <c:pt idx="5">
                  <c:v>13.75</c:v>
                </c:pt>
                <c:pt idx="6">
                  <c:v>7.5</c:v>
                </c:pt>
                <c:pt idx="7">
                  <c:v>8.41</c:v>
                </c:pt>
                <c:pt idx="8">
                  <c:v>25.46</c:v>
                </c:pt>
                <c:pt idx="9">
                  <c:v>29.01</c:v>
                </c:pt>
                <c:pt idx="10">
                  <c:v>25.82</c:v>
                </c:pt>
                <c:pt idx="11">
                  <c:v>29.5</c:v>
                </c:pt>
                <c:pt idx="12">
                  <c:v>25.39</c:v>
                </c:pt>
                <c:pt idx="13">
                  <c:v>28.94</c:v>
                </c:pt>
                <c:pt idx="14">
                  <c:v>25.75</c:v>
                </c:pt>
                <c:pt idx="15">
                  <c:v>29.43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16-43F9-A6DD-2F06D307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2328"/>
        <c:axId val="484269216"/>
      </c:scatterChart>
      <c:scatterChart>
        <c:scatterStyle val="lineMarker"/>
        <c:varyColors val="0"/>
        <c:ser>
          <c:idx val="2"/>
          <c:order val="1"/>
          <c:tx>
            <c:strRef>
              <c:f>Sheet1!$L$1</c:f>
              <c:strCache>
                <c:ptCount val="1"/>
                <c:pt idx="0">
                  <c:v>UBP[/m2]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Sheet1!$J$2:$J$17</c:f>
              <c:numCache>
                <c:formatCode>General</c:formatCode>
                <c:ptCount val="16"/>
                <c:pt idx="0">
                  <c:v>351.5</c:v>
                </c:pt>
                <c:pt idx="1">
                  <c:v>358.5</c:v>
                </c:pt>
                <c:pt idx="2">
                  <c:v>88</c:v>
                </c:pt>
                <c:pt idx="3">
                  <c:v>92</c:v>
                </c:pt>
                <c:pt idx="4">
                  <c:v>84</c:v>
                </c:pt>
                <c:pt idx="5">
                  <c:v>86</c:v>
                </c:pt>
                <c:pt idx="6">
                  <c:v>95.5</c:v>
                </c:pt>
                <c:pt idx="7">
                  <c:v>102</c:v>
                </c:pt>
                <c:pt idx="8">
                  <c:v>348.5</c:v>
                </c:pt>
                <c:pt idx="9">
                  <c:v>354</c:v>
                </c:pt>
                <c:pt idx="10">
                  <c:v>348.5</c:v>
                </c:pt>
                <c:pt idx="11">
                  <c:v>354</c:v>
                </c:pt>
                <c:pt idx="12">
                  <c:v>27.5</c:v>
                </c:pt>
                <c:pt idx="13">
                  <c:v>30.5</c:v>
                </c:pt>
                <c:pt idx="14">
                  <c:v>27</c:v>
                </c:pt>
                <c:pt idx="15">
                  <c:v>29</c:v>
                </c:pt>
              </c:numCache>
            </c:numRef>
          </c:xVal>
          <c:yVal>
            <c:numRef>
              <c:f>Sheet1!$L$2:$L$17</c:f>
              <c:numCache>
                <c:formatCode>General</c:formatCode>
                <c:ptCount val="16"/>
                <c:pt idx="0">
                  <c:v>1824.51</c:v>
                </c:pt>
                <c:pt idx="1">
                  <c:v>1975.36</c:v>
                </c:pt>
                <c:pt idx="2">
                  <c:v>1400.32</c:v>
                </c:pt>
                <c:pt idx="3">
                  <c:v>1513.46</c:v>
                </c:pt>
                <c:pt idx="4">
                  <c:v>1341.63</c:v>
                </c:pt>
                <c:pt idx="5">
                  <c:v>1431.94</c:v>
                </c:pt>
                <c:pt idx="6">
                  <c:v>1509.86</c:v>
                </c:pt>
                <c:pt idx="7">
                  <c:v>1665.59</c:v>
                </c:pt>
                <c:pt idx="8">
                  <c:v>2378.91</c:v>
                </c:pt>
                <c:pt idx="9">
                  <c:v>2631</c:v>
                </c:pt>
                <c:pt idx="10">
                  <c:v>2200.0300000000002</c:v>
                </c:pt>
                <c:pt idx="11">
                  <c:v>2382.56</c:v>
                </c:pt>
                <c:pt idx="12">
                  <c:v>1818.98</c:v>
                </c:pt>
                <c:pt idx="13">
                  <c:v>2071.08</c:v>
                </c:pt>
                <c:pt idx="14">
                  <c:v>1818.98</c:v>
                </c:pt>
                <c:pt idx="15">
                  <c:v>1822.64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16-43F9-A6DD-2F06D307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21672"/>
        <c:axId val="481822000"/>
      </c:scatterChart>
      <c:valAx>
        <c:axId val="48426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Thermal Capacitance [kJ/m2]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69216"/>
        <c:crosses val="autoZero"/>
        <c:crossBetween val="midCat"/>
      </c:valAx>
      <c:valAx>
        <c:axId val="4842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Embodied Energy [MJ/m2]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62328"/>
        <c:crosses val="autoZero"/>
        <c:crossBetween val="midCat"/>
      </c:valAx>
      <c:valAx>
        <c:axId val="481822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UBP (2013)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821672"/>
        <c:crosses val="max"/>
        <c:crossBetween val="midCat"/>
      </c:valAx>
      <c:valAx>
        <c:axId val="481821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182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GWP and Thermal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GWP[kgCO2eq/m2]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Sheet1!$J$2:$J$17</c:f>
              <c:numCache>
                <c:formatCode>General</c:formatCode>
                <c:ptCount val="16"/>
                <c:pt idx="0">
                  <c:v>351.5</c:v>
                </c:pt>
                <c:pt idx="1">
                  <c:v>358.5</c:v>
                </c:pt>
                <c:pt idx="2">
                  <c:v>88</c:v>
                </c:pt>
                <c:pt idx="3">
                  <c:v>92</c:v>
                </c:pt>
                <c:pt idx="4">
                  <c:v>84</c:v>
                </c:pt>
                <c:pt idx="5">
                  <c:v>86</c:v>
                </c:pt>
                <c:pt idx="6">
                  <c:v>95.5</c:v>
                </c:pt>
                <c:pt idx="7">
                  <c:v>102</c:v>
                </c:pt>
                <c:pt idx="8">
                  <c:v>348.5</c:v>
                </c:pt>
                <c:pt idx="9">
                  <c:v>354</c:v>
                </c:pt>
                <c:pt idx="10">
                  <c:v>348.5</c:v>
                </c:pt>
                <c:pt idx="11">
                  <c:v>354</c:v>
                </c:pt>
                <c:pt idx="12">
                  <c:v>27.5</c:v>
                </c:pt>
                <c:pt idx="13">
                  <c:v>30.5</c:v>
                </c:pt>
                <c:pt idx="14">
                  <c:v>27</c:v>
                </c:pt>
                <c:pt idx="15">
                  <c:v>29</c:v>
                </c:pt>
              </c:numCache>
            </c:numRef>
          </c:xVal>
          <c:yVal>
            <c:numRef>
              <c:f>Sheet1!$H$2:$H$17</c:f>
              <c:numCache>
                <c:formatCode>0</c:formatCode>
                <c:ptCount val="16"/>
                <c:pt idx="0">
                  <c:v>1.4</c:v>
                </c:pt>
                <c:pt idx="1">
                  <c:v>1.54</c:v>
                </c:pt>
                <c:pt idx="2">
                  <c:v>0.5</c:v>
                </c:pt>
                <c:pt idx="3">
                  <c:v>0.61</c:v>
                </c:pt>
                <c:pt idx="4">
                  <c:v>0.42</c:v>
                </c:pt>
                <c:pt idx="5">
                  <c:v>0.5</c:v>
                </c:pt>
                <c:pt idx="6">
                  <c:v>0.34</c:v>
                </c:pt>
                <c:pt idx="7">
                  <c:v>0.39</c:v>
                </c:pt>
                <c:pt idx="8">
                  <c:v>2.0299999999999998</c:v>
                </c:pt>
                <c:pt idx="9">
                  <c:v>2.27</c:v>
                </c:pt>
                <c:pt idx="10">
                  <c:v>2.0699999999999998</c:v>
                </c:pt>
                <c:pt idx="11">
                  <c:v>2.33</c:v>
                </c:pt>
                <c:pt idx="12">
                  <c:v>2</c:v>
                </c:pt>
                <c:pt idx="13">
                  <c:v>2.2400000000000002</c:v>
                </c:pt>
                <c:pt idx="14">
                  <c:v>2.04</c:v>
                </c:pt>
                <c:pt idx="15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3-4616-8584-81BC296A9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2328"/>
        <c:axId val="484269216"/>
      </c:scatterChart>
      <c:scatterChart>
        <c:scatterStyle val="lineMarker"/>
        <c:varyColors val="0"/>
        <c:ser>
          <c:idx val="3"/>
          <c:order val="1"/>
          <c:tx>
            <c:strRef>
              <c:f>Sheet1!$G$1</c:f>
              <c:strCache>
                <c:ptCount val="1"/>
                <c:pt idx="0">
                  <c:v>U-value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Sheet1!$J$2:$J$17</c:f>
              <c:numCache>
                <c:formatCode>General</c:formatCode>
                <c:ptCount val="16"/>
                <c:pt idx="0">
                  <c:v>351.5</c:v>
                </c:pt>
                <c:pt idx="1">
                  <c:v>358.5</c:v>
                </c:pt>
                <c:pt idx="2">
                  <c:v>88</c:v>
                </c:pt>
                <c:pt idx="3">
                  <c:v>92</c:v>
                </c:pt>
                <c:pt idx="4">
                  <c:v>84</c:v>
                </c:pt>
                <c:pt idx="5">
                  <c:v>86</c:v>
                </c:pt>
                <c:pt idx="6">
                  <c:v>95.5</c:v>
                </c:pt>
                <c:pt idx="7">
                  <c:v>102</c:v>
                </c:pt>
                <c:pt idx="8">
                  <c:v>348.5</c:v>
                </c:pt>
                <c:pt idx="9">
                  <c:v>354</c:v>
                </c:pt>
                <c:pt idx="10">
                  <c:v>348.5</c:v>
                </c:pt>
                <c:pt idx="11">
                  <c:v>354</c:v>
                </c:pt>
                <c:pt idx="12">
                  <c:v>27.5</c:v>
                </c:pt>
                <c:pt idx="13">
                  <c:v>30.5</c:v>
                </c:pt>
                <c:pt idx="14">
                  <c:v>27</c:v>
                </c:pt>
                <c:pt idx="15">
                  <c:v>29</c:v>
                </c:pt>
              </c:numCache>
            </c:numRef>
          </c:xVal>
          <c:yVal>
            <c:numRef>
              <c:f>Sheet1!$G$2:$G$17</c:f>
              <c:numCache>
                <c:formatCode>General</c:formatCode>
                <c:ptCount val="16"/>
                <c:pt idx="0">
                  <c:v>0.24</c:v>
                </c:pt>
                <c:pt idx="1">
                  <c:v>0.18</c:v>
                </c:pt>
                <c:pt idx="2">
                  <c:v>0.21</c:v>
                </c:pt>
                <c:pt idx="3">
                  <c:v>0.17</c:v>
                </c:pt>
                <c:pt idx="4">
                  <c:v>0.21</c:v>
                </c:pt>
                <c:pt idx="5">
                  <c:v>0.17</c:v>
                </c:pt>
                <c:pt idx="6">
                  <c:v>0.21</c:v>
                </c:pt>
                <c:pt idx="7">
                  <c:v>0.17</c:v>
                </c:pt>
                <c:pt idx="8">
                  <c:v>0.21</c:v>
                </c:pt>
                <c:pt idx="9">
                  <c:v>0.15</c:v>
                </c:pt>
                <c:pt idx="10">
                  <c:v>0.2</c:v>
                </c:pt>
                <c:pt idx="11">
                  <c:v>0.15</c:v>
                </c:pt>
                <c:pt idx="12">
                  <c:v>0.2</c:v>
                </c:pt>
                <c:pt idx="13">
                  <c:v>0.15</c:v>
                </c:pt>
                <c:pt idx="14">
                  <c:v>0.19</c:v>
                </c:pt>
                <c:pt idx="15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63-4616-8584-81BC296A9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47576"/>
        <c:axId val="503947248"/>
      </c:scatterChart>
      <c:valAx>
        <c:axId val="48426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Thermal Capacitance [kJ/m2]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69216"/>
        <c:crosses val="autoZero"/>
        <c:crossBetween val="midCat"/>
      </c:valAx>
      <c:valAx>
        <c:axId val="4842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GWP</a:t>
                </a:r>
                <a:r>
                  <a:rPr lang="de-CH" baseline="0"/>
                  <a:t> [kgCO2eq/m2]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62328"/>
        <c:crosses val="autoZero"/>
        <c:crossBetween val="midCat"/>
      </c:valAx>
      <c:valAx>
        <c:axId val="5039472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U-value [W/m2K]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947576"/>
        <c:crosses val="max"/>
        <c:crossBetween val="midCat"/>
      </c:valAx>
      <c:valAx>
        <c:axId val="503947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394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2452370</xdr:colOff>
      <xdr:row>105</xdr:row>
      <xdr:rowOff>69850</xdr:rowOff>
    </xdr:from>
    <xdr:to>
      <xdr:col>6</xdr:col>
      <xdr:colOff>608330</xdr:colOff>
      <xdr:row>120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105</xdr:row>
      <xdr:rowOff>76200</xdr:rowOff>
    </xdr:from>
    <xdr:to>
      <xdr:col>11</xdr:col>
      <xdr:colOff>303530</xdr:colOff>
      <xdr:row>120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reeze.ch/fileadmin/user_upload/calculators/Fensterrechner_DE/Fensterrechner.htm" TargetMode="External"/><Relationship Id="rId2" Type="http://schemas.openxmlformats.org/officeDocument/2006/relationships/hyperlink" Target="https://treeze.ch/fileadmin/user_upload/calculators/Fensterrechner_DE/Fensterrechner.htm" TargetMode="External"/><Relationship Id="rId1" Type="http://schemas.openxmlformats.org/officeDocument/2006/relationships/hyperlink" Target="https://treeze.ch/fileadmin/user_upload/calculators/637-Fensterrechner.ht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treeze.ch/fileadmin/user_upload/calculators/Fensterrechner_DE/Fensterrechner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topLeftCell="D1" workbookViewId="0">
      <pane ySplit="1" topLeftCell="A74" activePane="bottomLeft" state="frozen"/>
      <selection pane="bottomLeft" activeCell="P99" sqref="P99"/>
    </sheetView>
  </sheetViews>
  <sheetFormatPr defaultColWidth="8.85546875" defaultRowHeight="15" x14ac:dyDescent="0.25"/>
  <cols>
    <col min="1" max="1" width="11.28515625" customWidth="1"/>
    <col min="2" max="2" width="79.85546875" customWidth="1"/>
    <col min="3" max="3" width="50.85546875" customWidth="1"/>
    <col min="4" max="4" width="14.7109375" customWidth="1"/>
    <col min="5" max="5" width="21.42578125" customWidth="1"/>
    <col min="6" max="6" width="38.7109375" customWidth="1"/>
    <col min="7" max="7" width="13.85546875" customWidth="1"/>
    <col min="8" max="8" width="18" customWidth="1"/>
    <col min="9" max="9" width="9" customWidth="1"/>
    <col min="10" max="10" width="11.5703125" customWidth="1"/>
    <col min="11" max="11" width="15.140625" customWidth="1"/>
    <col min="12" max="14" width="14" customWidth="1"/>
  </cols>
  <sheetData>
    <row r="1" spans="1:15" x14ac:dyDescent="0.25">
      <c r="A1" t="s">
        <v>34</v>
      </c>
      <c r="B1" t="s">
        <v>33</v>
      </c>
      <c r="C1" t="s">
        <v>49</v>
      </c>
      <c r="D1" t="s">
        <v>0</v>
      </c>
      <c r="E1" t="s">
        <v>4</v>
      </c>
      <c r="F1" t="s">
        <v>5</v>
      </c>
      <c r="G1" t="s">
        <v>1</v>
      </c>
      <c r="H1" t="s">
        <v>8</v>
      </c>
      <c r="I1" t="s">
        <v>42</v>
      </c>
      <c r="J1" t="s">
        <v>32</v>
      </c>
      <c r="K1" t="s">
        <v>6</v>
      </c>
      <c r="L1" t="s">
        <v>156</v>
      </c>
      <c r="M1" t="s">
        <v>236</v>
      </c>
      <c r="N1" t="s">
        <v>57</v>
      </c>
      <c r="O1" t="s">
        <v>10</v>
      </c>
    </row>
    <row r="2" spans="1:15" x14ac:dyDescent="0.25">
      <c r="A2" t="s">
        <v>35</v>
      </c>
      <c r="B2" t="str">
        <f>CONCATENATE(C2," ",F2," ",E2,"m insulation thickness")</f>
        <v>Betonwand, Wärmedämmung mit Lattenrost, Verkleidung Steinwolle 0.18m insulation thickness</v>
      </c>
      <c r="C2" t="s">
        <v>3</v>
      </c>
      <c r="D2" t="s">
        <v>2</v>
      </c>
      <c r="E2">
        <v>0.18</v>
      </c>
      <c r="F2" t="s">
        <v>9</v>
      </c>
      <c r="G2">
        <v>0.24</v>
      </c>
      <c r="H2" s="6">
        <v>1.4</v>
      </c>
      <c r="I2">
        <v>15.55</v>
      </c>
      <c r="J2">
        <v>351.5</v>
      </c>
      <c r="K2" t="s">
        <v>7</v>
      </c>
      <c r="L2">
        <v>1824.51</v>
      </c>
      <c r="N2">
        <v>60</v>
      </c>
      <c r="O2" t="s">
        <v>11</v>
      </c>
    </row>
    <row r="3" spans="1:15" x14ac:dyDescent="0.25">
      <c r="A3" t="s">
        <v>35</v>
      </c>
      <c r="B3" t="str">
        <f t="shared" ref="B3:B17" si="0">CONCATENATE(C3," ",F3," ",E3,"m insulation thickness")</f>
        <v>Betonwand, Wärmedämmung mit Lattenrost, Verkleidung Steinwolle 0.25m insulation thickness</v>
      </c>
      <c r="C3" t="s">
        <v>3</v>
      </c>
      <c r="D3" t="s">
        <v>2</v>
      </c>
      <c r="E3">
        <v>0.25</v>
      </c>
      <c r="F3" t="s">
        <v>9</v>
      </c>
      <c r="G3">
        <v>0.18</v>
      </c>
      <c r="H3" s="6">
        <v>1.54</v>
      </c>
      <c r="I3">
        <v>17.68</v>
      </c>
      <c r="J3">
        <v>358.5</v>
      </c>
      <c r="K3" t="s">
        <v>7</v>
      </c>
      <c r="L3">
        <v>1975.36</v>
      </c>
      <c r="N3">
        <v>60</v>
      </c>
      <c r="O3" t="s">
        <v>11</v>
      </c>
    </row>
    <row r="4" spans="1:15" x14ac:dyDescent="0.25">
      <c r="A4" t="s">
        <v>35</v>
      </c>
      <c r="B4" t="str">
        <f t="shared" si="0"/>
        <v>Holzblockwand, Aussenwärmedämmung, Verkleidung Steinwolle 0.18m insulation thickness</v>
      </c>
      <c r="C4" t="s">
        <v>12</v>
      </c>
      <c r="D4" t="s">
        <v>13</v>
      </c>
      <c r="E4">
        <v>0.18</v>
      </c>
      <c r="F4" t="s">
        <v>9</v>
      </c>
      <c r="G4">
        <v>0.21</v>
      </c>
      <c r="H4" s="6">
        <v>0.5</v>
      </c>
      <c r="I4">
        <v>9.27</v>
      </c>
      <c r="J4">
        <v>88</v>
      </c>
      <c r="K4" t="s">
        <v>16</v>
      </c>
      <c r="L4">
        <v>1400.32</v>
      </c>
      <c r="N4">
        <v>60</v>
      </c>
      <c r="O4" t="s">
        <v>14</v>
      </c>
    </row>
    <row r="5" spans="1:15" x14ac:dyDescent="0.25">
      <c r="A5" t="s">
        <v>35</v>
      </c>
      <c r="B5" t="str">
        <f t="shared" si="0"/>
        <v>Holzblockwand, Aussenwärmedämmung, Verkleidung Steinwolle 0.25m insulation thickness</v>
      </c>
      <c r="C5" t="s">
        <v>12</v>
      </c>
      <c r="D5" t="s">
        <v>13</v>
      </c>
      <c r="E5">
        <v>0.25</v>
      </c>
      <c r="F5" t="s">
        <v>9</v>
      </c>
      <c r="G5">
        <v>0.17</v>
      </c>
      <c r="H5" s="6">
        <v>0.61</v>
      </c>
      <c r="I5">
        <v>10.87</v>
      </c>
      <c r="J5">
        <v>92</v>
      </c>
      <c r="K5" t="s">
        <v>16</v>
      </c>
      <c r="L5">
        <v>1513.46</v>
      </c>
      <c r="N5">
        <v>60</v>
      </c>
      <c r="O5" t="s">
        <v>26</v>
      </c>
    </row>
    <row r="6" spans="1:15" x14ac:dyDescent="0.25">
      <c r="A6" t="s">
        <v>35</v>
      </c>
      <c r="B6" t="str">
        <f t="shared" si="0"/>
        <v>Holzblockwand, Aussenwärmedämmung, Verkleidung Glaswolle 0.18m insulation thickness</v>
      </c>
      <c r="C6" t="s">
        <v>12</v>
      </c>
      <c r="D6" t="s">
        <v>13</v>
      </c>
      <c r="E6">
        <v>0.18</v>
      </c>
      <c r="F6" t="s">
        <v>15</v>
      </c>
      <c r="G6">
        <v>0.21</v>
      </c>
      <c r="H6" s="6">
        <v>0.42</v>
      </c>
      <c r="I6">
        <v>11.34</v>
      </c>
      <c r="J6">
        <v>84</v>
      </c>
      <c r="K6" t="s">
        <v>16</v>
      </c>
      <c r="L6">
        <v>1341.63</v>
      </c>
      <c r="N6">
        <v>60</v>
      </c>
      <c r="O6" t="s">
        <v>14</v>
      </c>
    </row>
    <row r="7" spans="1:15" x14ac:dyDescent="0.25">
      <c r="A7" t="s">
        <v>35</v>
      </c>
      <c r="B7" t="str">
        <f t="shared" si="0"/>
        <v>Holzblockwand, Aussenwärmedämmung, Verkleidung Glaswolle 0.25m insulation thickness</v>
      </c>
      <c r="C7" t="s">
        <v>12</v>
      </c>
      <c r="D7" t="s">
        <v>13</v>
      </c>
      <c r="E7">
        <v>0.25</v>
      </c>
      <c r="F7" t="s">
        <v>15</v>
      </c>
      <c r="G7">
        <v>0.17</v>
      </c>
      <c r="H7" s="6">
        <v>0.5</v>
      </c>
      <c r="I7">
        <v>13.75</v>
      </c>
      <c r="J7">
        <v>86</v>
      </c>
      <c r="K7" t="s">
        <v>16</v>
      </c>
      <c r="L7">
        <v>1431.94</v>
      </c>
      <c r="N7">
        <v>60</v>
      </c>
      <c r="O7" t="s">
        <v>27</v>
      </c>
    </row>
    <row r="8" spans="1:15" x14ac:dyDescent="0.25">
      <c r="A8" t="s">
        <v>35</v>
      </c>
      <c r="B8" t="str">
        <f t="shared" si="0"/>
        <v>Holzblockwand, Aussenwärmedämmung, Verkleidung Zellulosedämmplatten 0.18m insulation thickness</v>
      </c>
      <c r="C8" t="s">
        <v>12</v>
      </c>
      <c r="D8" t="s">
        <v>13</v>
      </c>
      <c r="E8">
        <v>0.18</v>
      </c>
      <c r="F8" t="s">
        <v>17</v>
      </c>
      <c r="G8">
        <v>0.21</v>
      </c>
      <c r="H8" s="6">
        <v>0.34</v>
      </c>
      <c r="I8">
        <v>7.5</v>
      </c>
      <c r="J8">
        <v>95.5</v>
      </c>
      <c r="K8" t="s">
        <v>16</v>
      </c>
      <c r="L8">
        <v>1509.86</v>
      </c>
      <c r="N8">
        <v>60</v>
      </c>
      <c r="O8" t="s">
        <v>14</v>
      </c>
    </row>
    <row r="9" spans="1:15" x14ac:dyDescent="0.25">
      <c r="A9" t="s">
        <v>35</v>
      </c>
      <c r="B9" t="str">
        <f t="shared" si="0"/>
        <v>Holzblockwand, Aussenwärmedämmung, Verkleidung Zellulosedämmplatten 0.25m insulation thickness</v>
      </c>
      <c r="C9" t="s">
        <v>12</v>
      </c>
      <c r="D9" t="s">
        <v>13</v>
      </c>
      <c r="E9">
        <v>0.25</v>
      </c>
      <c r="F9" t="s">
        <v>17</v>
      </c>
      <c r="G9">
        <v>0.17</v>
      </c>
      <c r="H9" s="6">
        <v>0.39</v>
      </c>
      <c r="I9">
        <v>8.41</v>
      </c>
      <c r="J9">
        <v>102</v>
      </c>
      <c r="K9" t="s">
        <v>16</v>
      </c>
      <c r="L9">
        <v>1665.59</v>
      </c>
      <c r="N9">
        <v>60</v>
      </c>
      <c r="O9" t="s">
        <v>28</v>
      </c>
    </row>
    <row r="10" spans="1:15" x14ac:dyDescent="0.25">
      <c r="A10" t="s">
        <v>35</v>
      </c>
      <c r="B10" t="str">
        <f t="shared" si="0"/>
        <v>Sichtbetonwand, Aussenwärmedämmung verputzt Steinwolle 0.18m insulation thickness</v>
      </c>
      <c r="C10" t="s">
        <v>18</v>
      </c>
      <c r="D10" t="s">
        <v>19</v>
      </c>
      <c r="E10">
        <v>0.18</v>
      </c>
      <c r="F10" t="s">
        <v>9</v>
      </c>
      <c r="G10">
        <v>0.21</v>
      </c>
      <c r="H10" s="6">
        <v>2.0299999999999998</v>
      </c>
      <c r="I10">
        <v>25.46</v>
      </c>
      <c r="J10">
        <v>348.5</v>
      </c>
      <c r="K10" t="s">
        <v>7</v>
      </c>
      <c r="L10">
        <v>2378.91</v>
      </c>
      <c r="N10">
        <v>60</v>
      </c>
      <c r="O10" t="s">
        <v>20</v>
      </c>
    </row>
    <row r="11" spans="1:15" x14ac:dyDescent="0.25">
      <c r="A11" t="s">
        <v>35</v>
      </c>
      <c r="B11" t="str">
        <f t="shared" si="0"/>
        <v>Sichtbetonwand, Aussenwärmedämmung verputzt Steinwolle 0.25m insulation thickness</v>
      </c>
      <c r="C11" t="s">
        <v>18</v>
      </c>
      <c r="D11" t="s">
        <v>19</v>
      </c>
      <c r="E11">
        <v>0.25</v>
      </c>
      <c r="F11" t="s">
        <v>9</v>
      </c>
      <c r="G11">
        <v>0.15</v>
      </c>
      <c r="H11" s="6">
        <v>2.27</v>
      </c>
      <c r="I11">
        <v>29.01</v>
      </c>
      <c r="J11">
        <v>354</v>
      </c>
      <c r="K11" t="s">
        <v>7</v>
      </c>
      <c r="L11">
        <v>2631</v>
      </c>
      <c r="N11">
        <v>60</v>
      </c>
      <c r="O11" t="s">
        <v>29</v>
      </c>
    </row>
    <row r="12" spans="1:15" x14ac:dyDescent="0.25">
      <c r="A12" t="s">
        <v>35</v>
      </c>
      <c r="B12" t="str">
        <f t="shared" si="0"/>
        <v>Sichtbetonwand, Aussenwärmedämmung verputzt Polystyrol 0.18m insulation thickness</v>
      </c>
      <c r="C12" t="s">
        <v>18</v>
      </c>
      <c r="D12" t="s">
        <v>19</v>
      </c>
      <c r="E12">
        <v>0.18</v>
      </c>
      <c r="F12" t="s">
        <v>21</v>
      </c>
      <c r="G12">
        <v>0.2</v>
      </c>
      <c r="H12" s="6">
        <v>2.0699999999999998</v>
      </c>
      <c r="I12">
        <v>25.82</v>
      </c>
      <c r="J12">
        <v>348.5</v>
      </c>
      <c r="K12" t="s">
        <v>7</v>
      </c>
      <c r="L12" s="1">
        <v>2200.0300000000002</v>
      </c>
      <c r="M12" s="1"/>
      <c r="N12" s="1">
        <v>60</v>
      </c>
      <c r="O12" t="s">
        <v>20</v>
      </c>
    </row>
    <row r="13" spans="1:15" x14ac:dyDescent="0.25">
      <c r="A13" t="s">
        <v>35</v>
      </c>
      <c r="B13" t="str">
        <f t="shared" si="0"/>
        <v>Sichtbetonwand, Aussenwärmedämmung verputzt Polystyrol 0.25m insulation thickness</v>
      </c>
      <c r="C13" t="s">
        <v>18</v>
      </c>
      <c r="D13" t="s">
        <v>19</v>
      </c>
      <c r="E13">
        <v>0.25</v>
      </c>
      <c r="F13" t="s">
        <v>21</v>
      </c>
      <c r="G13">
        <v>0.15</v>
      </c>
      <c r="H13" s="6">
        <v>2.33</v>
      </c>
      <c r="I13">
        <v>29.5</v>
      </c>
      <c r="J13">
        <v>354</v>
      </c>
      <c r="K13" t="s">
        <v>7</v>
      </c>
      <c r="L13">
        <v>2382.56</v>
      </c>
      <c r="N13" s="1">
        <v>60</v>
      </c>
      <c r="O13" t="s">
        <v>30</v>
      </c>
    </row>
    <row r="14" spans="1:15" x14ac:dyDescent="0.25">
      <c r="A14" t="s">
        <v>35</v>
      </c>
      <c r="B14" t="str">
        <f t="shared" si="0"/>
        <v>Sichtbacksteinmauerwerk, Aussenwärmedämmung verputzt Steinwolle 0.18m insulation thickness</v>
      </c>
      <c r="C14" t="s">
        <v>22</v>
      </c>
      <c r="D14" t="s">
        <v>24</v>
      </c>
      <c r="E14">
        <v>0.18</v>
      </c>
      <c r="F14" t="s">
        <v>9</v>
      </c>
      <c r="G14">
        <v>0.2</v>
      </c>
      <c r="H14" s="6">
        <v>2</v>
      </c>
      <c r="I14">
        <v>25.39</v>
      </c>
      <c r="J14">
        <v>27.5</v>
      </c>
      <c r="K14" t="s">
        <v>25</v>
      </c>
      <c r="L14">
        <v>1818.98</v>
      </c>
      <c r="N14" s="1">
        <v>60</v>
      </c>
      <c r="O14" t="s">
        <v>23</v>
      </c>
    </row>
    <row r="15" spans="1:15" x14ac:dyDescent="0.25">
      <c r="A15" t="s">
        <v>35</v>
      </c>
      <c r="B15" t="str">
        <f t="shared" si="0"/>
        <v>Sichtbacksteinmauerwerk, Aussenwärmedämmung verputzt Steinwolle 0.25m insulation thickness</v>
      </c>
      <c r="C15" t="s">
        <v>22</v>
      </c>
      <c r="D15" t="s">
        <v>24</v>
      </c>
      <c r="E15">
        <v>0.25</v>
      </c>
      <c r="F15" t="s">
        <v>9</v>
      </c>
      <c r="G15">
        <v>0.15</v>
      </c>
      <c r="H15" s="6">
        <v>2.2400000000000002</v>
      </c>
      <c r="I15">
        <v>28.94</v>
      </c>
      <c r="J15">
        <v>30.5</v>
      </c>
      <c r="K15" t="s">
        <v>25</v>
      </c>
      <c r="L15">
        <v>2071.08</v>
      </c>
      <c r="N15" s="1">
        <v>60</v>
      </c>
      <c r="O15" t="s">
        <v>31</v>
      </c>
    </row>
    <row r="16" spans="1:15" x14ac:dyDescent="0.25">
      <c r="A16" t="s">
        <v>35</v>
      </c>
      <c r="B16" t="str">
        <f t="shared" si="0"/>
        <v>Sichtbacksteinmauerwerk, Aussenwärmedämmung verputzt Polystyrol 0.18m insulation thickness</v>
      </c>
      <c r="C16" t="s">
        <v>22</v>
      </c>
      <c r="D16" t="s">
        <v>24</v>
      </c>
      <c r="E16">
        <v>0.18</v>
      </c>
      <c r="F16" t="s">
        <v>21</v>
      </c>
      <c r="G16">
        <v>0.19</v>
      </c>
      <c r="H16" s="6">
        <v>2.04</v>
      </c>
      <c r="I16">
        <v>25.75</v>
      </c>
      <c r="J16">
        <v>27</v>
      </c>
      <c r="K16" t="s">
        <v>25</v>
      </c>
      <c r="L16">
        <v>1818.98</v>
      </c>
      <c r="N16" s="1">
        <v>60</v>
      </c>
      <c r="O16" t="s">
        <v>23</v>
      </c>
    </row>
    <row r="17" spans="1:15" x14ac:dyDescent="0.25">
      <c r="A17" t="s">
        <v>35</v>
      </c>
      <c r="B17" t="str">
        <f t="shared" si="0"/>
        <v>Sichtbacksteinmauerwerk, Aussenwärmedämmung verputzt Polystyrol 0.25m insulation thickness</v>
      </c>
      <c r="C17" t="s">
        <v>22</v>
      </c>
      <c r="D17" t="s">
        <v>24</v>
      </c>
      <c r="E17">
        <v>0.25</v>
      </c>
      <c r="F17" t="s">
        <v>21</v>
      </c>
      <c r="G17">
        <v>0.14000000000000001</v>
      </c>
      <c r="H17" s="6">
        <v>2.29</v>
      </c>
      <c r="I17">
        <v>29.43</v>
      </c>
      <c r="J17">
        <v>29</v>
      </c>
      <c r="K17" t="s">
        <v>25</v>
      </c>
      <c r="L17">
        <v>1822.64</v>
      </c>
      <c r="N17" s="1">
        <v>60</v>
      </c>
      <c r="O17" t="s">
        <v>23</v>
      </c>
    </row>
    <row r="18" spans="1:15" ht="15.75" customHeight="1" x14ac:dyDescent="0.25">
      <c r="H18" s="6"/>
      <c r="N18" t="s">
        <v>58</v>
      </c>
    </row>
    <row r="19" spans="1:15" x14ac:dyDescent="0.25">
      <c r="A19" t="s">
        <v>35</v>
      </c>
      <c r="B19" t="s">
        <v>51</v>
      </c>
      <c r="C19" t="s">
        <v>56</v>
      </c>
      <c r="D19" t="s">
        <v>53</v>
      </c>
      <c r="E19">
        <v>0.18</v>
      </c>
      <c r="F19" t="s">
        <v>9</v>
      </c>
      <c r="G19">
        <v>0.2</v>
      </c>
      <c r="H19" s="6">
        <v>63</v>
      </c>
      <c r="N19">
        <v>60</v>
      </c>
      <c r="O19" t="s">
        <v>55</v>
      </c>
    </row>
    <row r="20" spans="1:15" x14ac:dyDescent="0.25">
      <c r="A20" t="s">
        <v>50</v>
      </c>
      <c r="B20" t="s">
        <v>52</v>
      </c>
      <c r="C20" t="s">
        <v>56</v>
      </c>
      <c r="D20" t="s">
        <v>54</v>
      </c>
      <c r="E20">
        <v>0.36</v>
      </c>
      <c r="F20" t="s">
        <v>9</v>
      </c>
      <c r="G20">
        <v>0.11</v>
      </c>
      <c r="H20" s="6">
        <v>69</v>
      </c>
      <c r="N20">
        <v>60</v>
      </c>
      <c r="O20" t="s">
        <v>55</v>
      </c>
    </row>
    <row r="21" spans="1:15" ht="5.0999999999999996" customHeight="1" x14ac:dyDescent="0.25">
      <c r="H21" s="6"/>
    </row>
    <row r="22" spans="1:15" x14ac:dyDescent="0.25">
      <c r="A22" t="s">
        <v>35</v>
      </c>
      <c r="B22" t="s">
        <v>60</v>
      </c>
      <c r="C22" t="s">
        <v>59</v>
      </c>
      <c r="D22" t="s">
        <v>65</v>
      </c>
      <c r="E22">
        <v>0.12</v>
      </c>
      <c r="F22" t="s">
        <v>63</v>
      </c>
      <c r="G22">
        <v>0.25</v>
      </c>
      <c r="H22" s="6">
        <v>63</v>
      </c>
      <c r="I22">
        <v>169</v>
      </c>
      <c r="K22" t="s">
        <v>7</v>
      </c>
      <c r="N22">
        <v>60</v>
      </c>
      <c r="O22" t="s">
        <v>64</v>
      </c>
    </row>
    <row r="23" spans="1:15" x14ac:dyDescent="0.25">
      <c r="A23" t="s">
        <v>35</v>
      </c>
      <c r="B23" t="s">
        <v>61</v>
      </c>
      <c r="C23" t="s">
        <v>59</v>
      </c>
      <c r="D23" t="s">
        <v>66</v>
      </c>
      <c r="E23">
        <v>0.22</v>
      </c>
      <c r="F23" t="s">
        <v>63</v>
      </c>
      <c r="G23">
        <v>0.14000000000000001</v>
      </c>
      <c r="H23" s="6">
        <v>67</v>
      </c>
      <c r="I23">
        <v>205</v>
      </c>
      <c r="K23" t="s">
        <v>7</v>
      </c>
      <c r="N23">
        <v>60</v>
      </c>
      <c r="O23" t="s">
        <v>64</v>
      </c>
    </row>
    <row r="24" spans="1:15" x14ac:dyDescent="0.25">
      <c r="A24" t="s">
        <v>35</v>
      </c>
      <c r="B24" t="s">
        <v>62</v>
      </c>
      <c r="C24" t="s">
        <v>59</v>
      </c>
      <c r="D24" t="s">
        <v>67</v>
      </c>
      <c r="E24">
        <v>0.26</v>
      </c>
      <c r="F24" t="s">
        <v>63</v>
      </c>
      <c r="G24">
        <v>0.12</v>
      </c>
      <c r="H24" s="6">
        <v>69</v>
      </c>
      <c r="I24">
        <v>219</v>
      </c>
      <c r="K24" t="s">
        <v>7</v>
      </c>
      <c r="N24">
        <v>60</v>
      </c>
      <c r="O24" t="s">
        <v>64</v>
      </c>
    </row>
    <row r="25" spans="1:15" x14ac:dyDescent="0.25">
      <c r="A25" t="s">
        <v>35</v>
      </c>
      <c r="B25" t="s">
        <v>89</v>
      </c>
      <c r="C25" t="s">
        <v>91</v>
      </c>
      <c r="D25" t="s">
        <v>95</v>
      </c>
      <c r="E25">
        <v>0.18</v>
      </c>
      <c r="F25" t="s">
        <v>94</v>
      </c>
      <c r="G25">
        <v>0.25</v>
      </c>
      <c r="H25" s="6">
        <v>-37</v>
      </c>
      <c r="I25">
        <v>39</v>
      </c>
      <c r="K25" t="s">
        <v>16</v>
      </c>
      <c r="N25">
        <v>60</v>
      </c>
      <c r="O25" t="s">
        <v>64</v>
      </c>
    </row>
    <row r="26" spans="1:15" x14ac:dyDescent="0.25">
      <c r="A26" t="s">
        <v>35</v>
      </c>
      <c r="B26" t="s">
        <v>90</v>
      </c>
      <c r="C26" t="s">
        <v>91</v>
      </c>
      <c r="D26" t="s">
        <v>92</v>
      </c>
      <c r="E26">
        <v>0.28000000000000003</v>
      </c>
      <c r="F26" t="s">
        <v>94</v>
      </c>
      <c r="G26">
        <v>0.14000000000000001</v>
      </c>
      <c r="H26" s="6">
        <v>-48</v>
      </c>
      <c r="I26">
        <v>43</v>
      </c>
      <c r="K26" t="s">
        <v>16</v>
      </c>
      <c r="N26">
        <v>60</v>
      </c>
      <c r="O26" t="s">
        <v>64</v>
      </c>
    </row>
    <row r="27" spans="1:15" x14ac:dyDescent="0.25">
      <c r="A27" t="s">
        <v>35</v>
      </c>
      <c r="B27" t="s">
        <v>114</v>
      </c>
      <c r="C27" t="s">
        <v>91</v>
      </c>
      <c r="D27" t="s">
        <v>93</v>
      </c>
      <c r="E27">
        <v>0.34</v>
      </c>
      <c r="F27" t="s">
        <v>94</v>
      </c>
      <c r="G27">
        <v>0.12</v>
      </c>
      <c r="H27" s="6">
        <v>-55</v>
      </c>
      <c r="I27">
        <v>45</v>
      </c>
      <c r="K27" t="s">
        <v>16</v>
      </c>
      <c r="N27">
        <v>60</v>
      </c>
      <c r="O27" t="s">
        <v>64</v>
      </c>
    </row>
    <row r="28" spans="1:15" ht="5.0999999999999996" customHeight="1" x14ac:dyDescent="0.25">
      <c r="H28" s="6"/>
    </row>
    <row r="29" spans="1:15" x14ac:dyDescent="0.25">
      <c r="A29" t="s">
        <v>35</v>
      </c>
      <c r="B29" t="s">
        <v>117</v>
      </c>
      <c r="C29" t="s">
        <v>116</v>
      </c>
      <c r="D29" t="s">
        <v>121</v>
      </c>
      <c r="E29">
        <v>0.32</v>
      </c>
      <c r="F29" t="s">
        <v>63</v>
      </c>
      <c r="G29">
        <v>0.11</v>
      </c>
      <c r="H29" s="6">
        <v>117.9</v>
      </c>
      <c r="K29" t="s">
        <v>119</v>
      </c>
      <c r="L29">
        <v>88092</v>
      </c>
      <c r="N29">
        <v>60</v>
      </c>
      <c r="O29" t="s">
        <v>120</v>
      </c>
    </row>
    <row r="30" spans="1:15" x14ac:dyDescent="0.25">
      <c r="A30" t="s">
        <v>35</v>
      </c>
      <c r="B30" t="s">
        <v>115</v>
      </c>
      <c r="C30" t="s">
        <v>116</v>
      </c>
      <c r="D30" t="s">
        <v>122</v>
      </c>
      <c r="E30">
        <v>0.2</v>
      </c>
      <c r="F30" t="s">
        <v>118</v>
      </c>
      <c r="G30">
        <v>0.10100000000000001</v>
      </c>
      <c r="H30" s="6">
        <v>189.9</v>
      </c>
      <c r="K30" t="s">
        <v>7</v>
      </c>
      <c r="L30">
        <v>190633</v>
      </c>
      <c r="N30">
        <v>60</v>
      </c>
      <c r="O30" t="s">
        <v>120</v>
      </c>
    </row>
    <row r="31" spans="1:15" x14ac:dyDescent="0.25">
      <c r="A31" t="s">
        <v>35</v>
      </c>
      <c r="B31" t="s">
        <v>123</v>
      </c>
      <c r="C31" t="s">
        <v>137</v>
      </c>
      <c r="D31" t="s">
        <v>124</v>
      </c>
      <c r="E31" s="3">
        <f>1068*E29/(1068+310)+310*E30/(1068+310)</f>
        <v>0.29300435413642961</v>
      </c>
      <c r="F31" t="s">
        <v>144</v>
      </c>
      <c r="G31" s="3">
        <f>1068*G29/(1068+310)+310*G30/(1068+310)</f>
        <v>0.10797532656023223</v>
      </c>
      <c r="H31" s="6">
        <f>1068*H29/(1068+310)+310*H30/(1068+310)</f>
        <v>134.09738751814223</v>
      </c>
      <c r="K31" t="s">
        <v>143</v>
      </c>
      <c r="L31" s="6">
        <f>1068*L29/(1068+310)+310*L30/(1068+310)</f>
        <v>111160.00435413643</v>
      </c>
      <c r="M31" s="6"/>
      <c r="N31">
        <v>60</v>
      </c>
      <c r="O31" t="s">
        <v>125</v>
      </c>
    </row>
    <row r="32" spans="1:15" x14ac:dyDescent="0.25">
      <c r="A32" t="s">
        <v>35</v>
      </c>
      <c r="B32" t="s">
        <v>171</v>
      </c>
      <c r="C32" t="s">
        <v>116</v>
      </c>
      <c r="D32" t="s">
        <v>157</v>
      </c>
      <c r="E32" s="3">
        <v>0.16</v>
      </c>
      <c r="F32" t="s">
        <v>63</v>
      </c>
      <c r="G32" s="3">
        <v>0.17</v>
      </c>
      <c r="H32" s="6">
        <v>109.8</v>
      </c>
      <c r="K32" t="s">
        <v>119</v>
      </c>
      <c r="L32" s="6">
        <v>87525</v>
      </c>
      <c r="M32" s="6"/>
      <c r="N32">
        <v>60</v>
      </c>
      <c r="O32" t="s">
        <v>170</v>
      </c>
    </row>
    <row r="33" spans="1:15" x14ac:dyDescent="0.25">
      <c r="A33" t="s">
        <v>35</v>
      </c>
      <c r="B33" t="s">
        <v>223</v>
      </c>
      <c r="C33" s="9" t="s">
        <v>224</v>
      </c>
      <c r="D33" t="s">
        <v>232</v>
      </c>
      <c r="E33">
        <v>0.16</v>
      </c>
      <c r="F33" t="s">
        <v>63</v>
      </c>
      <c r="G33" s="3">
        <f>(1.23*5+G32)/6</f>
        <v>1.0533333333333335</v>
      </c>
      <c r="H33" s="6">
        <f>(0*5+H32)/6</f>
        <v>18.3</v>
      </c>
      <c r="K33" t="s">
        <v>119</v>
      </c>
      <c r="L33" s="6">
        <f>(0*5+L32)/6</f>
        <v>14587.5</v>
      </c>
      <c r="M33" s="6"/>
      <c r="N33">
        <v>60</v>
      </c>
    </row>
    <row r="34" spans="1:15" x14ac:dyDescent="0.25">
      <c r="A34" t="s">
        <v>35</v>
      </c>
      <c r="B34" t="s">
        <v>225</v>
      </c>
      <c r="C34" s="9" t="s">
        <v>227</v>
      </c>
      <c r="D34" t="s">
        <v>233</v>
      </c>
      <c r="E34">
        <v>0.13</v>
      </c>
      <c r="F34" t="s">
        <v>229</v>
      </c>
      <c r="G34" s="4">
        <f>(0.25*5+G32)/6</f>
        <v>0.23666666666666666</v>
      </c>
      <c r="H34" s="6">
        <f>(H77*5+H32)/6</f>
        <v>25.645</v>
      </c>
      <c r="K34" t="s">
        <v>229</v>
      </c>
      <c r="L34" s="6">
        <f>(L77*5+L32)/6</f>
        <v>25572.5</v>
      </c>
      <c r="M34" s="6"/>
      <c r="N34">
        <v>60</v>
      </c>
    </row>
    <row r="35" spans="1:15" x14ac:dyDescent="0.25">
      <c r="A35" t="s">
        <v>35</v>
      </c>
      <c r="B35" t="s">
        <v>226</v>
      </c>
      <c r="C35" s="9" t="s">
        <v>228</v>
      </c>
      <c r="D35" t="s">
        <v>234</v>
      </c>
      <c r="E35">
        <v>0.13</v>
      </c>
      <c r="F35" t="s">
        <v>118</v>
      </c>
      <c r="G35" s="4">
        <f>(0.25*5+G32)/6</f>
        <v>0.23666666666666666</v>
      </c>
      <c r="H35" s="6">
        <f>(H86*5+H32)/6</f>
        <v>69.35208333333334</v>
      </c>
      <c r="K35" t="s">
        <v>118</v>
      </c>
      <c r="L35" s="6">
        <f>(L86*5+L32)/6</f>
        <v>52612.5</v>
      </c>
      <c r="M35" s="6"/>
      <c r="N35">
        <v>60</v>
      </c>
    </row>
    <row r="36" spans="1:15" x14ac:dyDescent="0.25">
      <c r="C36" s="9"/>
      <c r="G36" s="3"/>
      <c r="H36" s="6"/>
      <c r="L36" s="6"/>
      <c r="M36" s="6"/>
    </row>
    <row r="37" spans="1:15" x14ac:dyDescent="0.25">
      <c r="H37" s="6"/>
    </row>
    <row r="38" spans="1:15" x14ac:dyDescent="0.25">
      <c r="A38" t="s">
        <v>68</v>
      </c>
      <c r="B38" t="s">
        <v>69</v>
      </c>
      <c r="C38" t="s">
        <v>59</v>
      </c>
      <c r="D38" t="s">
        <v>72</v>
      </c>
      <c r="E38">
        <v>0.16</v>
      </c>
      <c r="F38" t="s">
        <v>63</v>
      </c>
      <c r="G38">
        <v>0.19</v>
      </c>
      <c r="H38" s="6">
        <v>71</v>
      </c>
      <c r="I38">
        <v>196</v>
      </c>
      <c r="K38" t="s">
        <v>7</v>
      </c>
      <c r="N38">
        <v>60</v>
      </c>
      <c r="O38" t="s">
        <v>64</v>
      </c>
    </row>
    <row r="39" spans="1:15" x14ac:dyDescent="0.25">
      <c r="A39" t="s">
        <v>68</v>
      </c>
      <c r="B39" t="s">
        <v>70</v>
      </c>
      <c r="C39" t="s">
        <v>59</v>
      </c>
      <c r="D39" t="s">
        <v>73</v>
      </c>
      <c r="E39">
        <v>0.24</v>
      </c>
      <c r="F39" t="s">
        <v>63</v>
      </c>
      <c r="G39">
        <v>0.13</v>
      </c>
      <c r="H39" s="6">
        <v>74</v>
      </c>
      <c r="I39">
        <v>225</v>
      </c>
      <c r="K39" t="s">
        <v>7</v>
      </c>
      <c r="N39">
        <v>60</v>
      </c>
      <c r="O39" t="s">
        <v>64</v>
      </c>
    </row>
    <row r="40" spans="1:15" x14ac:dyDescent="0.25">
      <c r="A40" t="s">
        <v>68</v>
      </c>
      <c r="B40" t="s">
        <v>71</v>
      </c>
      <c r="C40" t="s">
        <v>59</v>
      </c>
      <c r="D40" t="s">
        <v>74</v>
      </c>
      <c r="E40">
        <v>0.28000000000000003</v>
      </c>
      <c r="F40" t="s">
        <v>63</v>
      </c>
      <c r="G40">
        <v>0.11</v>
      </c>
      <c r="H40" s="6">
        <v>76</v>
      </c>
      <c r="I40">
        <v>239</v>
      </c>
      <c r="K40" t="s">
        <v>7</v>
      </c>
      <c r="N40">
        <v>60</v>
      </c>
      <c r="O40" t="s">
        <v>64</v>
      </c>
    </row>
    <row r="41" spans="1:15" x14ac:dyDescent="0.25">
      <c r="A41" t="s">
        <v>68</v>
      </c>
      <c r="B41" t="s">
        <v>99</v>
      </c>
      <c r="C41" t="s">
        <v>102</v>
      </c>
      <c r="D41" t="s">
        <v>103</v>
      </c>
      <c r="E41">
        <v>0.15</v>
      </c>
      <c r="F41" t="s">
        <v>108</v>
      </c>
      <c r="G41">
        <v>0.25</v>
      </c>
      <c r="H41" s="6">
        <v>-22</v>
      </c>
      <c r="I41">
        <v>68</v>
      </c>
      <c r="K41" t="s">
        <v>16</v>
      </c>
      <c r="N41">
        <v>60</v>
      </c>
      <c r="O41" t="s">
        <v>64</v>
      </c>
    </row>
    <row r="42" spans="1:15" x14ac:dyDescent="0.25">
      <c r="A42" t="s">
        <v>68</v>
      </c>
      <c r="B42" t="s">
        <v>100</v>
      </c>
      <c r="C42" t="s">
        <v>102</v>
      </c>
      <c r="D42" t="s">
        <v>104</v>
      </c>
      <c r="E42">
        <v>0.3</v>
      </c>
      <c r="F42" t="s">
        <v>108</v>
      </c>
      <c r="G42">
        <v>0.14000000000000001</v>
      </c>
      <c r="H42" s="6">
        <v>-26</v>
      </c>
      <c r="I42">
        <v>87</v>
      </c>
      <c r="K42" t="s">
        <v>16</v>
      </c>
      <c r="N42">
        <v>60</v>
      </c>
      <c r="O42" t="s">
        <v>64</v>
      </c>
    </row>
    <row r="43" spans="1:15" x14ac:dyDescent="0.25">
      <c r="A43" t="s">
        <v>68</v>
      </c>
      <c r="B43" t="s">
        <v>101</v>
      </c>
      <c r="C43" t="s">
        <v>102</v>
      </c>
      <c r="D43" t="s">
        <v>105</v>
      </c>
      <c r="E43">
        <v>0.32</v>
      </c>
      <c r="F43" t="s">
        <v>108</v>
      </c>
      <c r="G43">
        <v>0.12</v>
      </c>
      <c r="H43" s="6">
        <v>-27</v>
      </c>
      <c r="I43">
        <v>89</v>
      </c>
      <c r="K43" t="s">
        <v>16</v>
      </c>
      <c r="N43">
        <v>60</v>
      </c>
      <c r="O43" t="s">
        <v>64</v>
      </c>
    </row>
    <row r="44" spans="1:15" ht="5.0999999999999996" customHeight="1" x14ac:dyDescent="0.25">
      <c r="H44" s="6"/>
    </row>
    <row r="45" spans="1:15" x14ac:dyDescent="0.25">
      <c r="A45" t="s">
        <v>68</v>
      </c>
      <c r="B45" t="s">
        <v>135</v>
      </c>
      <c r="C45" t="s">
        <v>116</v>
      </c>
      <c r="D45" t="s">
        <v>139</v>
      </c>
      <c r="E45">
        <v>0.16</v>
      </c>
      <c r="F45" t="s">
        <v>141</v>
      </c>
      <c r="G45">
        <v>0.16</v>
      </c>
      <c r="H45" s="6">
        <v>158.6</v>
      </c>
      <c r="K45" t="s">
        <v>7</v>
      </c>
      <c r="L45">
        <v>181139</v>
      </c>
      <c r="N45">
        <v>60</v>
      </c>
      <c r="O45" t="s">
        <v>120</v>
      </c>
    </row>
    <row r="46" spans="1:15" x14ac:dyDescent="0.25">
      <c r="A46" t="s">
        <v>68</v>
      </c>
      <c r="B46" t="s">
        <v>136</v>
      </c>
      <c r="C46" t="s">
        <v>116</v>
      </c>
      <c r="D46" t="s">
        <v>140</v>
      </c>
      <c r="E46">
        <v>0.32</v>
      </c>
      <c r="F46" t="s">
        <v>141</v>
      </c>
      <c r="G46">
        <v>0.1</v>
      </c>
      <c r="H46" s="6">
        <v>186.8</v>
      </c>
      <c r="K46" t="s">
        <v>7</v>
      </c>
      <c r="L46">
        <v>210730</v>
      </c>
      <c r="N46">
        <v>60</v>
      </c>
      <c r="O46" t="s">
        <v>120</v>
      </c>
    </row>
    <row r="47" spans="1:15" x14ac:dyDescent="0.25">
      <c r="A47" t="s">
        <v>68</v>
      </c>
      <c r="B47" t="s">
        <v>132</v>
      </c>
      <c r="C47" t="s">
        <v>134</v>
      </c>
      <c r="D47" t="s">
        <v>133</v>
      </c>
      <c r="E47" s="3">
        <f>250*E45/(250+460)+460*E46/(250+460)</f>
        <v>0.26366197183098594</v>
      </c>
      <c r="F47" t="s">
        <v>141</v>
      </c>
      <c r="G47" s="3">
        <f>250*G45/(250+460)+460*G46/(250+460)</f>
        <v>0.12112676056338029</v>
      </c>
      <c r="H47" s="6">
        <f>250*H45/(250+460)+460*H46/(250+460)</f>
        <v>176.87042253521128</v>
      </c>
      <c r="K47" t="s">
        <v>7</v>
      </c>
      <c r="L47" s="6">
        <f>250*L45/(250+460)+460*L46/(250+460)</f>
        <v>200310.63380281688</v>
      </c>
      <c r="M47" s="6"/>
      <c r="N47">
        <v>60</v>
      </c>
      <c r="O47" t="s">
        <v>125</v>
      </c>
    </row>
    <row r="48" spans="1:15" x14ac:dyDescent="0.25">
      <c r="A48" t="s">
        <v>68</v>
      </c>
      <c r="B48" t="s">
        <v>221</v>
      </c>
      <c r="C48" t="s">
        <v>164</v>
      </c>
      <c r="D48" t="s">
        <v>166</v>
      </c>
      <c r="E48">
        <v>0.16</v>
      </c>
      <c r="F48" s="3" t="s">
        <v>169</v>
      </c>
      <c r="G48" s="3">
        <v>0.13</v>
      </c>
      <c r="H48" s="6">
        <v>160.6</v>
      </c>
      <c r="K48" t="s">
        <v>7</v>
      </c>
      <c r="L48" s="6">
        <v>196764</v>
      </c>
      <c r="M48" s="6"/>
      <c r="N48">
        <v>60</v>
      </c>
      <c r="O48" t="s">
        <v>170</v>
      </c>
    </row>
    <row r="49" spans="1:15" x14ac:dyDescent="0.25">
      <c r="A49" t="s">
        <v>68</v>
      </c>
      <c r="B49" t="s">
        <v>222</v>
      </c>
      <c r="C49" t="s">
        <v>165</v>
      </c>
      <c r="D49" t="s">
        <v>167</v>
      </c>
      <c r="E49">
        <v>0.14000000000000001</v>
      </c>
      <c r="F49" s="3" t="s">
        <v>169</v>
      </c>
      <c r="G49" s="3">
        <v>0.19</v>
      </c>
      <c r="H49" s="6">
        <v>178.5</v>
      </c>
      <c r="K49" t="s">
        <v>7</v>
      </c>
      <c r="L49" s="6">
        <v>363719</v>
      </c>
      <c r="M49" s="6"/>
      <c r="N49">
        <v>60</v>
      </c>
      <c r="O49" t="s">
        <v>170</v>
      </c>
    </row>
    <row r="50" spans="1:15" x14ac:dyDescent="0.25">
      <c r="A50" t="s">
        <v>68</v>
      </c>
      <c r="B50" t="s">
        <v>163</v>
      </c>
      <c r="C50" t="s">
        <v>168</v>
      </c>
      <c r="D50" t="s">
        <v>160</v>
      </c>
      <c r="E50" s="4">
        <f>126.7*E48/(126.7+140)+140*E49/(126.7+140)</f>
        <v>0.14950131233595804</v>
      </c>
      <c r="F50" t="s">
        <v>169</v>
      </c>
      <c r="G50" s="7">
        <f>126.7*G48/(126.7+140)+140*G49/(126.7+140)</f>
        <v>0.16149606299212599</v>
      </c>
      <c r="H50" s="6">
        <f>126.7*H48/(126.7+140)+140*H49/(126.7+140)</f>
        <v>169.99632545931757</v>
      </c>
      <c r="K50" t="s">
        <v>7</v>
      </c>
      <c r="L50" s="6">
        <f>126.7*L48/(126.7+140)+140*L49/(126.7+140)</f>
        <v>284404.41994750657</v>
      </c>
      <c r="M50" s="6"/>
      <c r="N50">
        <v>60</v>
      </c>
      <c r="O50" t="s">
        <v>170</v>
      </c>
    </row>
    <row r="51" spans="1:15" x14ac:dyDescent="0.25">
      <c r="H51" s="6"/>
    </row>
    <row r="52" spans="1:15" x14ac:dyDescent="0.25">
      <c r="H52" s="6"/>
    </row>
    <row r="53" spans="1:15" x14ac:dyDescent="0.25">
      <c r="A53" t="s">
        <v>96</v>
      </c>
      <c r="B53" t="s">
        <v>109</v>
      </c>
      <c r="C53" t="s">
        <v>97</v>
      </c>
      <c r="D53" t="s">
        <v>106</v>
      </c>
      <c r="E53">
        <v>0</v>
      </c>
      <c r="F53" t="s">
        <v>98</v>
      </c>
      <c r="G53" t="s">
        <v>98</v>
      </c>
      <c r="H53" s="6">
        <v>58</v>
      </c>
      <c r="I53">
        <v>126</v>
      </c>
      <c r="K53" t="s">
        <v>7</v>
      </c>
      <c r="N53">
        <v>60</v>
      </c>
      <c r="O53" t="s">
        <v>113</v>
      </c>
    </row>
    <row r="54" spans="1:15" x14ac:dyDescent="0.25">
      <c r="A54" t="s">
        <v>96</v>
      </c>
      <c r="B54" t="s">
        <v>110</v>
      </c>
      <c r="C54" t="s">
        <v>111</v>
      </c>
      <c r="D54" t="s">
        <v>107</v>
      </c>
      <c r="E54">
        <v>0</v>
      </c>
      <c r="F54" t="s">
        <v>98</v>
      </c>
      <c r="G54" t="s">
        <v>98</v>
      </c>
      <c r="H54" s="6">
        <v>-55</v>
      </c>
      <c r="I54">
        <v>39</v>
      </c>
      <c r="K54" t="s">
        <v>16</v>
      </c>
      <c r="N54">
        <v>60</v>
      </c>
      <c r="O54" t="s">
        <v>112</v>
      </c>
    </row>
    <row r="55" spans="1:15" ht="3.95" customHeight="1" x14ac:dyDescent="0.25">
      <c r="H55" s="6"/>
    </row>
    <row r="56" spans="1:15" x14ac:dyDescent="0.25">
      <c r="A56" t="s">
        <v>96</v>
      </c>
      <c r="B56" t="s">
        <v>127</v>
      </c>
      <c r="C56" t="s">
        <v>116</v>
      </c>
      <c r="D56" t="s">
        <v>128</v>
      </c>
      <c r="E56">
        <v>0.3</v>
      </c>
      <c r="F56" t="s">
        <v>142</v>
      </c>
      <c r="G56">
        <v>0.28000000000000003</v>
      </c>
      <c r="H56" s="6">
        <v>117.1</v>
      </c>
      <c r="K56" t="s">
        <v>7</v>
      </c>
      <c r="L56">
        <v>152763</v>
      </c>
      <c r="N56">
        <v>60</v>
      </c>
      <c r="O56" t="s">
        <v>120</v>
      </c>
    </row>
    <row r="57" spans="1:15" x14ac:dyDescent="0.25">
      <c r="A57" t="s">
        <v>96</v>
      </c>
      <c r="B57" t="s">
        <v>126</v>
      </c>
      <c r="C57" t="s">
        <v>116</v>
      </c>
      <c r="D57" t="s">
        <v>129</v>
      </c>
      <c r="E57">
        <v>0.3</v>
      </c>
      <c r="F57" t="s">
        <v>142</v>
      </c>
      <c r="G57">
        <v>0.16</v>
      </c>
      <c r="H57" s="6">
        <v>162.80000000000001</v>
      </c>
      <c r="K57" t="s">
        <v>7</v>
      </c>
      <c r="L57">
        <v>206295</v>
      </c>
      <c r="N57">
        <v>60</v>
      </c>
      <c r="O57" t="s">
        <v>120</v>
      </c>
    </row>
    <row r="58" spans="1:15" x14ac:dyDescent="0.25">
      <c r="A58" t="s">
        <v>96</v>
      </c>
      <c r="B58" t="s">
        <v>131</v>
      </c>
      <c r="C58" t="s">
        <v>138</v>
      </c>
      <c r="D58" t="s">
        <v>130</v>
      </c>
      <c r="E58" s="5">
        <f>387*E56/(387+242)+242*E57/(387+242)</f>
        <v>0.3</v>
      </c>
      <c r="F58" t="s">
        <v>142</v>
      </c>
      <c r="G58" s="4">
        <f>387*G56/(387+242)+242*G57/(387+242)</f>
        <v>0.23383147853736092</v>
      </c>
      <c r="H58" s="6">
        <f>387*H56/(387+242)+242*H57/(387+242)</f>
        <v>134.68251192368839</v>
      </c>
      <c r="K58" t="s">
        <v>7</v>
      </c>
      <c r="L58" s="6">
        <f>387*L56/(387+242)+242*L57/(387+242)</f>
        <v>173358.7774244833</v>
      </c>
      <c r="M58" s="6"/>
      <c r="N58" s="6">
        <f>387*N56/(387+242)+242*N57/(387+242)</f>
        <v>60</v>
      </c>
      <c r="O58" t="s">
        <v>125</v>
      </c>
    </row>
    <row r="59" spans="1:15" x14ac:dyDescent="0.25">
      <c r="A59" t="s">
        <v>96</v>
      </c>
      <c r="B59" t="s">
        <v>162</v>
      </c>
      <c r="C59" t="s">
        <v>175</v>
      </c>
      <c r="D59" t="s">
        <v>159</v>
      </c>
      <c r="E59" s="5" t="s">
        <v>98</v>
      </c>
      <c r="F59" t="s">
        <v>98</v>
      </c>
      <c r="G59" s="4">
        <v>0.25</v>
      </c>
      <c r="H59" s="6">
        <v>105.6</v>
      </c>
      <c r="K59" t="s">
        <v>7</v>
      </c>
      <c r="L59" s="6">
        <v>143901</v>
      </c>
      <c r="M59" s="6"/>
      <c r="N59" s="6">
        <v>60</v>
      </c>
      <c r="O59" t="s">
        <v>170</v>
      </c>
    </row>
    <row r="60" spans="1:15" x14ac:dyDescent="0.25">
      <c r="A60" t="s">
        <v>173</v>
      </c>
      <c r="B60" t="s">
        <v>172</v>
      </c>
      <c r="C60" t="s">
        <v>176</v>
      </c>
      <c r="D60" t="s">
        <v>174</v>
      </c>
      <c r="E60" s="4">
        <v>0.03</v>
      </c>
      <c r="F60" t="s">
        <v>63</v>
      </c>
      <c r="G60" s="4" t="s">
        <v>98</v>
      </c>
      <c r="H60" s="6">
        <v>114.4</v>
      </c>
      <c r="K60" t="s">
        <v>7</v>
      </c>
      <c r="L60" s="6">
        <v>154647</v>
      </c>
      <c r="M60" s="6"/>
      <c r="N60" s="6">
        <v>60</v>
      </c>
      <c r="O60" t="s">
        <v>170</v>
      </c>
    </row>
    <row r="61" spans="1:15" x14ac:dyDescent="0.25">
      <c r="E61" s="4"/>
      <c r="G61" s="4"/>
      <c r="H61" s="6"/>
      <c r="L61" s="6"/>
      <c r="M61" s="6"/>
      <c r="N61" s="6"/>
    </row>
    <row r="62" spans="1:15" x14ac:dyDescent="0.25">
      <c r="H62" s="6"/>
    </row>
    <row r="63" spans="1:15" x14ac:dyDescent="0.25">
      <c r="A63" t="s">
        <v>36</v>
      </c>
      <c r="B63" t="s">
        <v>39</v>
      </c>
      <c r="C63" t="s">
        <v>39</v>
      </c>
      <c r="D63" t="s">
        <v>37</v>
      </c>
      <c r="F63" t="s">
        <v>38</v>
      </c>
      <c r="G63" t="s">
        <v>40</v>
      </c>
      <c r="H63" s="6">
        <f>249/1.6/1.5</f>
        <v>103.75</v>
      </c>
      <c r="I63">
        <f>1170/1.6/1.5*3600/1000</f>
        <v>1755</v>
      </c>
      <c r="K63" t="s">
        <v>46</v>
      </c>
      <c r="L63">
        <f>333000/1.6/1.5</f>
        <v>138750</v>
      </c>
      <c r="N63">
        <v>30</v>
      </c>
      <c r="O63" s="2" t="s">
        <v>41</v>
      </c>
    </row>
    <row r="64" spans="1:15" x14ac:dyDescent="0.25">
      <c r="A64" t="s">
        <v>36</v>
      </c>
      <c r="B64" t="s">
        <v>43</v>
      </c>
      <c r="C64" t="s">
        <v>43</v>
      </c>
      <c r="D64" t="s">
        <v>48</v>
      </c>
      <c r="F64" t="s">
        <v>47</v>
      </c>
      <c r="G64" t="s">
        <v>44</v>
      </c>
      <c r="H64" s="6">
        <f>392/1.5/1.6</f>
        <v>163.33333333333331</v>
      </c>
      <c r="I64">
        <f>1740/1.6/1.5*3600/1000</f>
        <v>2610</v>
      </c>
      <c r="K64" t="s">
        <v>45</v>
      </c>
      <c r="L64" s="6">
        <f>440000/1.5/1.6</f>
        <v>183333.33333333331</v>
      </c>
      <c r="M64" s="6"/>
      <c r="N64">
        <v>30</v>
      </c>
      <c r="O64" t="s">
        <v>41</v>
      </c>
    </row>
    <row r="65" spans="1:15" ht="3.95" customHeight="1" x14ac:dyDescent="0.25">
      <c r="H65" s="6"/>
    </row>
    <row r="66" spans="1:15" x14ac:dyDescent="0.25">
      <c r="A66" t="s">
        <v>36</v>
      </c>
      <c r="B66" t="s">
        <v>75</v>
      </c>
      <c r="C66" t="s">
        <v>78</v>
      </c>
      <c r="D66" t="s">
        <v>86</v>
      </c>
      <c r="F66" t="s">
        <v>47</v>
      </c>
      <c r="G66">
        <v>1.3</v>
      </c>
      <c r="H66" s="6">
        <v>206</v>
      </c>
      <c r="I66">
        <v>1150</v>
      </c>
      <c r="K66" t="s">
        <v>80</v>
      </c>
      <c r="L66">
        <v>307000</v>
      </c>
      <c r="N66">
        <v>30</v>
      </c>
      <c r="O66" s="2" t="s">
        <v>81</v>
      </c>
    </row>
    <row r="67" spans="1:15" x14ac:dyDescent="0.25">
      <c r="A67" t="s">
        <v>36</v>
      </c>
      <c r="B67" t="s">
        <v>76</v>
      </c>
      <c r="C67" t="s">
        <v>79</v>
      </c>
      <c r="D67" t="s">
        <v>87</v>
      </c>
      <c r="F67" t="s">
        <v>82</v>
      </c>
      <c r="G67">
        <v>0.9</v>
      </c>
      <c r="H67">
        <v>272</v>
      </c>
      <c r="I67">
        <v>1520</v>
      </c>
      <c r="K67" t="s">
        <v>80</v>
      </c>
      <c r="L67">
        <v>399000</v>
      </c>
      <c r="N67">
        <v>30</v>
      </c>
      <c r="O67" s="2" t="s">
        <v>84</v>
      </c>
    </row>
    <row r="68" spans="1:15" x14ac:dyDescent="0.25">
      <c r="A68" t="s">
        <v>36</v>
      </c>
      <c r="B68" t="s">
        <v>77</v>
      </c>
      <c r="C68" t="s">
        <v>79</v>
      </c>
      <c r="D68" t="s">
        <v>88</v>
      </c>
      <c r="F68" t="s">
        <v>83</v>
      </c>
      <c r="G68">
        <v>0.74</v>
      </c>
      <c r="H68">
        <v>287</v>
      </c>
      <c r="I68">
        <v>1630</v>
      </c>
      <c r="K68" t="s">
        <v>80</v>
      </c>
      <c r="L68">
        <v>422000</v>
      </c>
      <c r="N68">
        <v>30</v>
      </c>
      <c r="O68" s="2" t="s">
        <v>85</v>
      </c>
    </row>
    <row r="69" spans="1:15" ht="3.95" customHeight="1" x14ac:dyDescent="0.25"/>
    <row r="70" spans="1:15" x14ac:dyDescent="0.25">
      <c r="A70" t="s">
        <v>36</v>
      </c>
      <c r="B70" t="s">
        <v>145</v>
      </c>
      <c r="C70" t="s">
        <v>146</v>
      </c>
      <c r="D70" t="s">
        <v>147</v>
      </c>
      <c r="F70" t="s">
        <v>38</v>
      </c>
      <c r="G70">
        <v>0.9</v>
      </c>
      <c r="H70" s="6">
        <f>276/1.75/1.3</f>
        <v>121.31868131868131</v>
      </c>
      <c r="K70" t="s">
        <v>148</v>
      </c>
      <c r="L70" s="6">
        <f>352000/1.75/1.3</f>
        <v>154725.27472527471</v>
      </c>
      <c r="M70" s="6"/>
      <c r="N70">
        <v>30</v>
      </c>
      <c r="O70" s="2" t="s">
        <v>149</v>
      </c>
    </row>
    <row r="71" spans="1:15" x14ac:dyDescent="0.25">
      <c r="A71" t="s">
        <v>36</v>
      </c>
      <c r="B71" t="s">
        <v>150</v>
      </c>
      <c r="C71" t="s">
        <v>151</v>
      </c>
      <c r="D71" t="s">
        <v>152</v>
      </c>
      <c r="F71" t="s">
        <v>47</v>
      </c>
      <c r="G71">
        <v>1.23</v>
      </c>
      <c r="H71" s="6">
        <f>220/1.75/1.3</f>
        <v>96.703296703296701</v>
      </c>
      <c r="K71" t="s">
        <v>148</v>
      </c>
      <c r="L71" s="6">
        <f>291000/1.75/1.3</f>
        <v>127912.08791208791</v>
      </c>
      <c r="M71" s="6"/>
      <c r="N71">
        <v>30</v>
      </c>
      <c r="O71" s="2" t="s">
        <v>149</v>
      </c>
    </row>
    <row r="72" spans="1:15" x14ac:dyDescent="0.25">
      <c r="A72" t="s">
        <v>36</v>
      </c>
      <c r="B72" t="s">
        <v>153</v>
      </c>
      <c r="C72" t="s">
        <v>154</v>
      </c>
      <c r="D72" t="s">
        <v>155</v>
      </c>
      <c r="G72" s="4">
        <f>393*G70/(393+58)+58*G71/(393+58)</f>
        <v>0.94243902439024385</v>
      </c>
      <c r="H72" s="6">
        <f>393*H70/(393+58)+58*H71/(393+58)</f>
        <v>118.15306644574936</v>
      </c>
      <c r="K72" t="s">
        <v>148</v>
      </c>
      <c r="L72" s="6">
        <f>393*L70/(393+58)+58*L71/(393+58)</f>
        <v>151277.01566725958</v>
      </c>
      <c r="M72" s="6"/>
      <c r="N72">
        <v>30</v>
      </c>
      <c r="O72" t="s">
        <v>125</v>
      </c>
    </row>
    <row r="73" spans="1:15" x14ac:dyDescent="0.25">
      <c r="A73" t="s">
        <v>36</v>
      </c>
      <c r="B73" t="s">
        <v>161</v>
      </c>
      <c r="C73" t="s">
        <v>151</v>
      </c>
      <c r="D73" t="s">
        <v>158</v>
      </c>
      <c r="F73" t="s">
        <v>47</v>
      </c>
      <c r="G73">
        <v>1.3</v>
      </c>
      <c r="H73" s="6">
        <f>220/1.75/1.3</f>
        <v>96.703296703296701</v>
      </c>
      <c r="K73" t="s">
        <v>148</v>
      </c>
      <c r="L73" s="6">
        <f>291000/1.75/1.3</f>
        <v>127912.08791208791</v>
      </c>
      <c r="M73" s="6"/>
      <c r="N73">
        <v>30</v>
      </c>
      <c r="O73" s="2" t="s">
        <v>149</v>
      </c>
    </row>
    <row r="74" spans="1:15" x14ac:dyDescent="0.25">
      <c r="A74" t="s">
        <v>36</v>
      </c>
      <c r="B74" t="s">
        <v>230</v>
      </c>
      <c r="C74" t="s">
        <v>231</v>
      </c>
      <c r="D74" t="s">
        <v>235</v>
      </c>
      <c r="G74" s="3">
        <f>(3.06*5+1)/6</f>
        <v>2.7166666666666668</v>
      </c>
      <c r="H74" s="6">
        <f>(0*5+256/(1.75*1.3))/6</f>
        <v>18.754578754578755</v>
      </c>
      <c r="L74" s="6">
        <f>(0*5+335000/(1.75*1.3))/6</f>
        <v>24542.124542124544</v>
      </c>
      <c r="M74" s="6"/>
      <c r="N74">
        <v>30</v>
      </c>
      <c r="O74" s="2"/>
    </row>
    <row r="75" spans="1:15" x14ac:dyDescent="0.25">
      <c r="H75" s="6"/>
      <c r="L75" s="6"/>
      <c r="M75" s="6"/>
      <c r="O75" s="2"/>
    </row>
    <row r="76" spans="1:15" x14ac:dyDescent="0.25">
      <c r="A76" t="s">
        <v>179</v>
      </c>
      <c r="B76" t="s">
        <v>213</v>
      </c>
      <c r="C76" t="s">
        <v>214</v>
      </c>
      <c r="D76" t="s">
        <v>213</v>
      </c>
      <c r="E76">
        <v>0.08</v>
      </c>
      <c r="F76" t="s">
        <v>15</v>
      </c>
      <c r="G76">
        <v>3.5000000000000003E-2</v>
      </c>
      <c r="H76" s="5">
        <v>5</v>
      </c>
      <c r="K76" t="s">
        <v>15</v>
      </c>
      <c r="L76" s="6">
        <v>8112</v>
      </c>
      <c r="M76" s="6">
        <v>136</v>
      </c>
      <c r="N76">
        <v>60</v>
      </c>
      <c r="O76" t="s">
        <v>245</v>
      </c>
    </row>
    <row r="77" spans="1:15" x14ac:dyDescent="0.25">
      <c r="A77" t="s">
        <v>179</v>
      </c>
      <c r="B77" t="s">
        <v>197</v>
      </c>
      <c r="C77" t="s">
        <v>198</v>
      </c>
      <c r="D77" t="s">
        <v>197</v>
      </c>
      <c r="E77">
        <v>0.13</v>
      </c>
      <c r="F77" t="s">
        <v>15</v>
      </c>
      <c r="G77">
        <v>3.5000000000000003E-2</v>
      </c>
      <c r="H77" s="5">
        <f>1.13*AVERAGE(20,100)*E77</f>
        <v>8.8140000000000001</v>
      </c>
      <c r="K77" t="s">
        <v>15</v>
      </c>
      <c r="L77" s="1">
        <f>1690*AVERAGE(20,100)*E77</f>
        <v>13182</v>
      </c>
      <c r="M77" s="1">
        <v>171</v>
      </c>
      <c r="N77">
        <v>60</v>
      </c>
      <c r="O77" t="s">
        <v>245</v>
      </c>
    </row>
    <row r="78" spans="1:15" x14ac:dyDescent="0.25">
      <c r="A78" t="s">
        <v>179</v>
      </c>
      <c r="B78" t="s">
        <v>180</v>
      </c>
      <c r="C78" t="s">
        <v>199</v>
      </c>
      <c r="D78" t="s">
        <v>180</v>
      </c>
      <c r="E78">
        <v>0.18</v>
      </c>
      <c r="F78" t="s">
        <v>15</v>
      </c>
      <c r="G78">
        <v>3.5000000000000003E-2</v>
      </c>
      <c r="H78" s="5">
        <f>1.13*AVERAGE(20,100)*E78</f>
        <v>12.203999999999999</v>
      </c>
      <c r="K78" t="s">
        <v>15</v>
      </c>
      <c r="L78" s="1">
        <f t="shared" ref="L78" si="1">1690*AVERAGE(20,100)*E78</f>
        <v>18252</v>
      </c>
      <c r="M78" s="1">
        <v>180</v>
      </c>
      <c r="N78">
        <v>60</v>
      </c>
      <c r="O78" t="s">
        <v>245</v>
      </c>
    </row>
    <row r="79" spans="1:15" x14ac:dyDescent="0.25">
      <c r="A79" t="s">
        <v>179</v>
      </c>
      <c r="B79" t="s">
        <v>215</v>
      </c>
      <c r="C79" t="s">
        <v>216</v>
      </c>
      <c r="D79" t="s">
        <v>215</v>
      </c>
      <c r="E79">
        <v>0.08</v>
      </c>
      <c r="F79" t="s">
        <v>9</v>
      </c>
      <c r="G79">
        <v>3.5000000000000003E-2</v>
      </c>
      <c r="H79" s="5">
        <v>9</v>
      </c>
      <c r="K79" t="s">
        <v>9</v>
      </c>
      <c r="L79" s="1">
        <v>8755</v>
      </c>
      <c r="M79" s="1">
        <v>136</v>
      </c>
      <c r="N79">
        <v>60</v>
      </c>
      <c r="O79" t="s">
        <v>245</v>
      </c>
    </row>
    <row r="80" spans="1:15" x14ac:dyDescent="0.25">
      <c r="A80" t="s">
        <v>179</v>
      </c>
      <c r="B80" t="s">
        <v>181</v>
      </c>
      <c r="C80" t="s">
        <v>200</v>
      </c>
      <c r="D80" t="s">
        <v>181</v>
      </c>
      <c r="E80">
        <v>0.13</v>
      </c>
      <c r="F80" t="s">
        <v>9</v>
      </c>
      <c r="G80">
        <v>3.5000000000000003E-2</v>
      </c>
      <c r="H80" s="5">
        <f>1.13*AVERAGE(32,160)*E80</f>
        <v>14.102399999999999</v>
      </c>
      <c r="K80" t="s">
        <v>9</v>
      </c>
      <c r="L80" s="8">
        <f>1140*AVERAGE(32,160)*E80</f>
        <v>14227.2</v>
      </c>
      <c r="M80" s="1">
        <v>171</v>
      </c>
      <c r="N80">
        <v>60</v>
      </c>
      <c r="O80" t="s">
        <v>245</v>
      </c>
    </row>
    <row r="81" spans="1:15" x14ac:dyDescent="0.25">
      <c r="A81" t="s">
        <v>179</v>
      </c>
      <c r="B81" t="s">
        <v>182</v>
      </c>
      <c r="C81" t="s">
        <v>201</v>
      </c>
      <c r="D81" t="s">
        <v>182</v>
      </c>
      <c r="E81">
        <v>0.18</v>
      </c>
      <c r="F81" t="s">
        <v>9</v>
      </c>
      <c r="G81">
        <v>3.5000000000000003E-2</v>
      </c>
      <c r="H81" s="5">
        <f>1.13*AVERAGE(32,160)*E81</f>
        <v>19.526399999999999</v>
      </c>
      <c r="K81" t="s">
        <v>9</v>
      </c>
      <c r="L81" s="8">
        <f>1140*AVERAGE(32,160)*E81</f>
        <v>19699.2</v>
      </c>
      <c r="M81" s="1">
        <v>180</v>
      </c>
      <c r="N81">
        <v>60</v>
      </c>
      <c r="O81" t="s">
        <v>245</v>
      </c>
    </row>
    <row r="82" spans="1:15" x14ac:dyDescent="0.25">
      <c r="A82" t="s">
        <v>179</v>
      </c>
      <c r="B82" t="s">
        <v>217</v>
      </c>
      <c r="C82" t="s">
        <v>218</v>
      </c>
      <c r="D82" t="s">
        <v>217</v>
      </c>
      <c r="E82">
        <v>0.08</v>
      </c>
      <c r="F82" t="s">
        <v>63</v>
      </c>
      <c r="G82">
        <v>3.5000000000000003E-2</v>
      </c>
      <c r="H82" s="5">
        <v>17</v>
      </c>
      <c r="K82" t="s">
        <v>63</v>
      </c>
      <c r="L82" s="8">
        <v>11396</v>
      </c>
      <c r="M82" s="1">
        <v>168</v>
      </c>
      <c r="N82">
        <v>60</v>
      </c>
      <c r="O82" t="s">
        <v>245</v>
      </c>
    </row>
    <row r="83" spans="1:15" x14ac:dyDescent="0.25">
      <c r="A83" t="s">
        <v>179</v>
      </c>
      <c r="B83" t="s">
        <v>183</v>
      </c>
      <c r="C83" t="s">
        <v>202</v>
      </c>
      <c r="D83" t="s">
        <v>183</v>
      </c>
      <c r="E83">
        <v>0.13</v>
      </c>
      <c r="F83" t="s">
        <v>63</v>
      </c>
      <c r="G83">
        <v>3.5000000000000003E-2</v>
      </c>
      <c r="H83" s="5">
        <f>7.64*AVERAGE(15,40)*E83</f>
        <v>27.312999999999999</v>
      </c>
      <c r="K83" t="s">
        <v>63</v>
      </c>
      <c r="L83" s="8">
        <f>5180*AVERAGE(15,40)*E83</f>
        <v>18518.5</v>
      </c>
      <c r="M83" s="1">
        <v>180</v>
      </c>
      <c r="N83">
        <v>60</v>
      </c>
      <c r="O83" t="s">
        <v>245</v>
      </c>
    </row>
    <row r="84" spans="1:15" x14ac:dyDescent="0.25">
      <c r="A84" t="s">
        <v>179</v>
      </c>
      <c r="B84" t="s">
        <v>184</v>
      </c>
      <c r="C84" t="s">
        <v>203</v>
      </c>
      <c r="D84" t="s">
        <v>184</v>
      </c>
      <c r="E84">
        <v>0.18</v>
      </c>
      <c r="F84" t="s">
        <v>63</v>
      </c>
      <c r="G84">
        <v>3.5000000000000003E-2</v>
      </c>
      <c r="H84" s="5">
        <f>7.64*AVERAGE(15,40)*E84</f>
        <v>37.817999999999998</v>
      </c>
      <c r="K84" t="s">
        <v>63</v>
      </c>
      <c r="L84" s="8">
        <f>5180*AVERAGE(15,40)*E84</f>
        <v>25641</v>
      </c>
      <c r="M84" s="1">
        <v>182</v>
      </c>
      <c r="N84">
        <v>60</v>
      </c>
      <c r="O84" t="s">
        <v>245</v>
      </c>
    </row>
    <row r="85" spans="1:15" x14ac:dyDescent="0.25">
      <c r="A85" t="s">
        <v>179</v>
      </c>
      <c r="B85" t="s">
        <v>219</v>
      </c>
      <c r="C85" t="s">
        <v>220</v>
      </c>
      <c r="D85" t="s">
        <v>219</v>
      </c>
      <c r="E85">
        <v>0.08</v>
      </c>
      <c r="F85" t="s">
        <v>118</v>
      </c>
      <c r="G85">
        <v>3.5000000000000003E-2</v>
      </c>
      <c r="H85" s="5">
        <v>38</v>
      </c>
      <c r="K85" t="s">
        <v>118</v>
      </c>
      <c r="L85" s="8">
        <v>28080</v>
      </c>
      <c r="M85" s="1">
        <v>163</v>
      </c>
      <c r="N85">
        <v>60</v>
      </c>
      <c r="O85" t="s">
        <v>245</v>
      </c>
    </row>
    <row r="86" spans="1:15" x14ac:dyDescent="0.25">
      <c r="A86" t="s">
        <v>179</v>
      </c>
      <c r="B86" t="s">
        <v>185</v>
      </c>
      <c r="C86" t="s">
        <v>204</v>
      </c>
      <c r="D86" t="s">
        <v>185</v>
      </c>
      <c r="E86">
        <v>0.13</v>
      </c>
      <c r="F86" t="s">
        <v>118</v>
      </c>
      <c r="G86">
        <v>3.5000000000000003E-2</v>
      </c>
      <c r="H86" s="5">
        <f>14.5*AVERAGE(30,35)*E86</f>
        <v>61.262500000000003</v>
      </c>
      <c r="K86" t="s">
        <v>118</v>
      </c>
      <c r="L86" s="1">
        <f>10800*AVERAGE(30,35)*E86</f>
        <v>45630</v>
      </c>
      <c r="M86" s="1">
        <v>179</v>
      </c>
      <c r="N86">
        <v>60</v>
      </c>
      <c r="O86" t="s">
        <v>245</v>
      </c>
    </row>
    <row r="87" spans="1:15" x14ac:dyDescent="0.25">
      <c r="A87" t="s">
        <v>179</v>
      </c>
      <c r="B87" t="s">
        <v>186</v>
      </c>
      <c r="C87" t="s">
        <v>205</v>
      </c>
      <c r="D87" t="s">
        <v>186</v>
      </c>
      <c r="E87">
        <v>0.18</v>
      </c>
      <c r="F87" t="s">
        <v>118</v>
      </c>
      <c r="G87">
        <v>3.5000000000000003E-2</v>
      </c>
      <c r="H87" s="5">
        <f>14.5*AVERAGE(30,35)*E87</f>
        <v>84.825000000000003</v>
      </c>
      <c r="K87" t="s">
        <v>118</v>
      </c>
      <c r="L87" s="1">
        <f>10800*AVERAGE(30,35)*E87</f>
        <v>63180</v>
      </c>
      <c r="M87" s="1">
        <v>182</v>
      </c>
      <c r="N87">
        <v>60</v>
      </c>
      <c r="O87" t="s">
        <v>245</v>
      </c>
    </row>
    <row r="88" spans="1:15" x14ac:dyDescent="0.25">
      <c r="A88" t="s">
        <v>179</v>
      </c>
      <c r="B88" t="s">
        <v>187</v>
      </c>
      <c r="C88" t="s">
        <v>206</v>
      </c>
      <c r="D88" t="s">
        <v>187</v>
      </c>
      <c r="E88">
        <v>0.08</v>
      </c>
      <c r="F88" t="s">
        <v>169</v>
      </c>
      <c r="G88">
        <v>2.5000000000000001E-2</v>
      </c>
      <c r="H88" s="5">
        <f>7.52*AVERAGE(30)*E88</f>
        <v>18.047999999999998</v>
      </c>
      <c r="K88" t="s">
        <v>169</v>
      </c>
      <c r="L88" s="1">
        <f>6630*AVERAGE(30)*E88</f>
        <v>15912</v>
      </c>
      <c r="M88" s="1">
        <v>186</v>
      </c>
      <c r="N88">
        <v>60</v>
      </c>
      <c r="O88" t="s">
        <v>245</v>
      </c>
    </row>
    <row r="89" spans="1:15" x14ac:dyDescent="0.25">
      <c r="A89" t="s">
        <v>179</v>
      </c>
      <c r="B89" t="s">
        <v>188</v>
      </c>
      <c r="C89" t="s">
        <v>207</v>
      </c>
      <c r="D89" t="s">
        <v>244</v>
      </c>
      <c r="E89">
        <v>0.13</v>
      </c>
      <c r="F89" t="s">
        <v>169</v>
      </c>
      <c r="G89">
        <v>2.5000000000000001E-2</v>
      </c>
      <c r="H89" s="5">
        <f>7.52*AVERAGE(30)*E89</f>
        <v>29.327999999999999</v>
      </c>
      <c r="K89" t="s">
        <v>169</v>
      </c>
      <c r="L89" s="1">
        <f>6630*AVERAGE(30)*E89</f>
        <v>25857</v>
      </c>
      <c r="M89" s="1">
        <v>186</v>
      </c>
      <c r="N89">
        <v>60</v>
      </c>
      <c r="O89" t="s">
        <v>245</v>
      </c>
    </row>
    <row r="90" spans="1:15" x14ac:dyDescent="0.25">
      <c r="D90" t="s">
        <v>188</v>
      </c>
      <c r="E90">
        <v>0.18</v>
      </c>
      <c r="F90" t="s">
        <v>169</v>
      </c>
      <c r="G90">
        <v>2.5000000000000001E-2</v>
      </c>
      <c r="H90" s="5">
        <f>7.52*AVERAGE(30)*E90</f>
        <v>40.607999999999997</v>
      </c>
      <c r="K90" t="s">
        <v>169</v>
      </c>
      <c r="L90" s="1">
        <f>6630*AVERAGE(30)*E90</f>
        <v>35802</v>
      </c>
      <c r="M90" s="1">
        <v>192</v>
      </c>
      <c r="N90">
        <v>60</v>
      </c>
      <c r="O90" t="s">
        <v>245</v>
      </c>
    </row>
    <row r="91" spans="1:15" x14ac:dyDescent="0.25">
      <c r="A91" t="s">
        <v>179</v>
      </c>
      <c r="B91" t="s">
        <v>189</v>
      </c>
      <c r="C91" t="s">
        <v>208</v>
      </c>
      <c r="D91" t="s">
        <v>189</v>
      </c>
      <c r="E91">
        <v>0.13</v>
      </c>
      <c r="F91" t="s">
        <v>178</v>
      </c>
      <c r="G91">
        <v>4.4999999999999998E-2</v>
      </c>
      <c r="H91" s="5">
        <f>1.17*AVERAGE(100,165)*E91</f>
        <v>20.153249999999996</v>
      </c>
      <c r="K91" t="s">
        <v>178</v>
      </c>
      <c r="L91" s="1">
        <f>1040*AVERAGE(100,165)*E91</f>
        <v>17914</v>
      </c>
      <c r="M91" s="1">
        <v>179</v>
      </c>
      <c r="N91">
        <v>60</v>
      </c>
      <c r="O91" t="s">
        <v>245</v>
      </c>
    </row>
    <row r="92" spans="1:15" x14ac:dyDescent="0.25">
      <c r="A92" t="s">
        <v>179</v>
      </c>
      <c r="B92" t="s">
        <v>190</v>
      </c>
      <c r="C92" t="s">
        <v>209</v>
      </c>
      <c r="D92" t="s">
        <v>190</v>
      </c>
      <c r="E92">
        <v>0.18</v>
      </c>
      <c r="F92" t="s">
        <v>178</v>
      </c>
      <c r="G92">
        <v>4.4999999999999998E-2</v>
      </c>
      <c r="H92" s="5">
        <f>1.17*AVERAGE(100,165)*E92</f>
        <v>27.904499999999995</v>
      </c>
      <c r="K92" t="s">
        <v>178</v>
      </c>
      <c r="L92" s="1">
        <f>1040*AVERAGE(100,165)*E92</f>
        <v>24804</v>
      </c>
      <c r="M92" s="1">
        <v>185</v>
      </c>
      <c r="N92">
        <v>60</v>
      </c>
      <c r="O92" t="s">
        <v>245</v>
      </c>
    </row>
    <row r="93" spans="1:15" x14ac:dyDescent="0.25">
      <c r="A93" t="s">
        <v>179</v>
      </c>
      <c r="B93" t="s">
        <v>191</v>
      </c>
      <c r="C93" t="s">
        <v>210</v>
      </c>
      <c r="D93" t="s">
        <v>191</v>
      </c>
      <c r="E93">
        <v>0.13</v>
      </c>
      <c r="F93" t="s">
        <v>177</v>
      </c>
      <c r="G93">
        <v>4.4999999999999998E-2</v>
      </c>
      <c r="H93" s="5">
        <f>0.665*AVERAGE(148)*E93</f>
        <v>12.794600000000001</v>
      </c>
      <c r="K93" t="s">
        <v>177</v>
      </c>
      <c r="L93" s="8">
        <f>860*AVERAGE(148)*E93</f>
        <v>16546.400000000001</v>
      </c>
      <c r="M93" s="1">
        <v>179</v>
      </c>
      <c r="N93">
        <v>60</v>
      </c>
      <c r="O93" t="s">
        <v>245</v>
      </c>
    </row>
    <row r="94" spans="1:15" x14ac:dyDescent="0.25">
      <c r="A94" t="s">
        <v>179</v>
      </c>
      <c r="B94" t="s">
        <v>192</v>
      </c>
      <c r="C94" t="s">
        <v>211</v>
      </c>
      <c r="D94" t="s">
        <v>192</v>
      </c>
      <c r="E94">
        <v>0.18</v>
      </c>
      <c r="F94" t="s">
        <v>177</v>
      </c>
      <c r="G94">
        <v>4.4999999999999998E-2</v>
      </c>
      <c r="H94" s="5">
        <f>0.665*AVERAGE(148)*E94</f>
        <v>17.715599999999998</v>
      </c>
      <c r="K94" t="s">
        <v>177</v>
      </c>
      <c r="L94" s="8">
        <f>860*AVERAGE(148)*E94</f>
        <v>22910.399999999998</v>
      </c>
      <c r="M94" s="1">
        <v>185</v>
      </c>
      <c r="N94">
        <v>60</v>
      </c>
      <c r="O94" t="s">
        <v>245</v>
      </c>
    </row>
    <row r="95" spans="1:15" x14ac:dyDescent="0.25">
      <c r="A95" t="s">
        <v>179</v>
      </c>
      <c r="B95" t="s">
        <v>193</v>
      </c>
      <c r="C95" t="s">
        <v>212</v>
      </c>
      <c r="D95" t="s">
        <v>193</v>
      </c>
      <c r="F95" t="s">
        <v>194</v>
      </c>
      <c r="G95">
        <v>0.96</v>
      </c>
      <c r="H95" s="5">
        <f>(257+17.1)/(1.75*1.3)</f>
        <v>120.4835164835165</v>
      </c>
      <c r="L95" s="8">
        <f>(335000+11060)/(1.75*1.3)</f>
        <v>152114.28571428571</v>
      </c>
      <c r="M95" s="1">
        <v>679</v>
      </c>
      <c r="N95">
        <v>30</v>
      </c>
      <c r="O95" t="s">
        <v>195</v>
      </c>
    </row>
    <row r="96" spans="1:15" x14ac:dyDescent="0.25">
      <c r="H96" s="6"/>
      <c r="L96" s="8"/>
      <c r="M96" s="1"/>
    </row>
    <row r="97" spans="1:14" x14ac:dyDescent="0.25">
      <c r="A97" t="s">
        <v>179</v>
      </c>
      <c r="B97" t="s">
        <v>237</v>
      </c>
      <c r="C97" t="s">
        <v>240</v>
      </c>
      <c r="D97" t="s">
        <v>237</v>
      </c>
      <c r="E97">
        <v>0.08</v>
      </c>
      <c r="F97" t="s">
        <v>243</v>
      </c>
      <c r="G97">
        <f>AVERAGE(G76,G79,G82,G85,G88)</f>
        <v>3.3000000000000002E-2</v>
      </c>
      <c r="H97" s="6">
        <v>20</v>
      </c>
      <c r="K97" t="s">
        <v>243</v>
      </c>
      <c r="L97">
        <v>15958</v>
      </c>
      <c r="M97" s="6">
        <v>163</v>
      </c>
      <c r="N97">
        <f>AVERAGE(N76,N79,N82,N85,N88)</f>
        <v>60</v>
      </c>
    </row>
    <row r="98" spans="1:14" x14ac:dyDescent="0.25">
      <c r="A98" t="s">
        <v>179</v>
      </c>
      <c r="B98" t="s">
        <v>238</v>
      </c>
      <c r="C98" t="s">
        <v>241</v>
      </c>
      <c r="D98" t="s">
        <v>238</v>
      </c>
      <c r="E98">
        <v>0.13</v>
      </c>
      <c r="F98" t="s">
        <v>243</v>
      </c>
      <c r="G98">
        <f>AVERAGE(G77,G80,G83,G86,G89)</f>
        <v>3.3000000000000002E-2</v>
      </c>
      <c r="H98" s="6">
        <v>32.299999999999997</v>
      </c>
      <c r="K98" t="s">
        <v>243</v>
      </c>
      <c r="L98" s="6">
        <v>25928</v>
      </c>
      <c r="M98" s="6">
        <v>179</v>
      </c>
      <c r="N98">
        <v>60</v>
      </c>
    </row>
    <row r="99" spans="1:14" x14ac:dyDescent="0.25">
      <c r="A99" t="s">
        <v>179</v>
      </c>
      <c r="B99" t="s">
        <v>239</v>
      </c>
      <c r="C99" t="s">
        <v>242</v>
      </c>
      <c r="D99" t="s">
        <v>239</v>
      </c>
      <c r="E99">
        <v>0.18</v>
      </c>
      <c r="F99" t="s">
        <v>243</v>
      </c>
      <c r="G99">
        <f>AVERAGE(G78,G81,G84,G87,G90)</f>
        <v>3.3000000000000002E-2</v>
      </c>
      <c r="H99" s="6">
        <v>44.8</v>
      </c>
      <c r="K99" t="s">
        <v>243</v>
      </c>
      <c r="L99" s="6">
        <v>35900</v>
      </c>
      <c r="M99" s="6">
        <v>185</v>
      </c>
      <c r="N99">
        <v>60</v>
      </c>
    </row>
    <row r="100" spans="1:14" x14ac:dyDescent="0.25">
      <c r="L100" s="1"/>
      <c r="M100" s="1"/>
    </row>
    <row r="101" spans="1:14" x14ac:dyDescent="0.25">
      <c r="A101">
        <v>0</v>
      </c>
      <c r="B101" t="s">
        <v>196</v>
      </c>
      <c r="C101" t="s">
        <v>196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 s="1">
        <v>0</v>
      </c>
      <c r="N101">
        <v>60</v>
      </c>
    </row>
  </sheetData>
  <phoneticPr fontId="2" type="noConversion"/>
  <hyperlinks>
    <hyperlink ref="O63" r:id="rId1"/>
    <hyperlink ref="O70" r:id="rId2"/>
    <hyperlink ref="O71" r:id="rId3"/>
    <hyperlink ref="O73" r:id="rId4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walkerl</dc:creator>
  <cp:lastModifiedBy>LW_Simulation</cp:lastModifiedBy>
  <dcterms:created xsi:type="dcterms:W3CDTF">2019-09-24T12:19:13Z</dcterms:created>
  <dcterms:modified xsi:type="dcterms:W3CDTF">2021-02-19T12:34:15Z</dcterms:modified>
</cp:coreProperties>
</file>