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PY12\Desktop\"/>
    </mc:Choice>
  </mc:AlternateContent>
  <xr:revisionPtr revIDLastSave="0" documentId="13_ncr:1_{2F2BAE91-9258-4CDE-9CBE-E5CFCE9D448F}" xr6:coauthVersionLast="47" xr6:coauthVersionMax="47" xr10:uidLastSave="{00000000-0000-0000-0000-000000000000}"/>
  <bookViews>
    <workbookView minimized="1" xWindow="744" yWindow="600" windowWidth="15516" windowHeight="12360" firstSheet="2" activeTab="2" xr2:uid="{00000000-000D-0000-FFFF-FFFF00000000}"/>
  </bookViews>
  <sheets>
    <sheet name="报价主页" sheetId="9" r:id="rId1"/>
    <sheet name="CEL" sheetId="1" r:id="rId2"/>
    <sheet name="UNI" sheetId="7" r:id="rId3"/>
    <sheet name="E邮宝" sheetId="3" r:id="rId4"/>
    <sheet name="E包裹特惠" sheetId="10" r:id="rId5"/>
    <sheet name="WB-Yandex(CEL)" sheetId="11" r:id="rId6"/>
    <sheet name="GUOO" sheetId="12" r:id="rId7"/>
  </sheets>
  <calcPr calcId="191029"/>
</workbook>
</file>

<file path=xl/calcChain.xml><?xml version="1.0" encoding="utf-8"?>
<calcChain xmlns="http://schemas.openxmlformats.org/spreadsheetml/2006/main">
  <c r="M25" i="12" l="1"/>
  <c r="M23" i="12"/>
  <c r="M22" i="12"/>
  <c r="M21" i="12"/>
  <c r="M20" i="12"/>
  <c r="M19" i="12"/>
  <c r="M18" i="12"/>
  <c r="M16" i="12"/>
  <c r="M15" i="12"/>
  <c r="M14" i="12"/>
  <c r="M13" i="12"/>
  <c r="M12" i="12"/>
  <c r="M11" i="12"/>
  <c r="M10" i="12"/>
  <c r="M8" i="12"/>
  <c r="M7" i="12"/>
  <c r="M6" i="12"/>
  <c r="M5" i="12"/>
  <c r="J10" i="11"/>
  <c r="J4" i="11"/>
  <c r="L5" i="10"/>
  <c r="L13" i="3"/>
  <c r="L12" i="3"/>
  <c r="L11" i="3"/>
  <c r="L10" i="3"/>
  <c r="L8" i="3"/>
  <c r="L7" i="3"/>
  <c r="L6" i="3"/>
  <c r="L5" i="3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S8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000-000001000000}">
      <text>
        <r>
          <rPr>
            <sz val="9"/>
            <rFont val="宋体"/>
            <family val="3"/>
            <charset val="134"/>
          </rPr>
          <t>V1.1-10.3修改</t>
        </r>
      </text>
    </comment>
  </commentList>
</comments>
</file>

<file path=xl/sharedStrings.xml><?xml version="1.0" encoding="utf-8"?>
<sst xmlns="http://schemas.openxmlformats.org/spreadsheetml/2006/main" count="713" uniqueCount="352">
  <si>
    <t>122义乌仓</t>
  </si>
  <si>
    <t>：发布日期</t>
  </si>
  <si>
    <t>收货地址：义乌市后宅街道渠成街18号2号楼2号楼2楼  (南边靠近门卫室）                                            
 收货地址：宁波市长兴路158号驿淘产业园8号楼s101
收货时间：周一至周六9:00-20:00  联系人：范祖群 18905895796</t>
  </si>
  <si>
    <t>跨境巴士代贴单网址：http://hd.ozon56.net/index/login/login.html</t>
  </si>
  <si>
    <t>CEL,GUOO查询网址：https://www.17track.net/zh-cn</t>
  </si>
  <si>
    <t>UNI查询网址：https://unitrade.youtrack.info</t>
  </si>
  <si>
    <t>序号</t>
  </si>
  <si>
    <t>渠道</t>
  </si>
  <si>
    <t>生效日期</t>
  </si>
  <si>
    <t>价格调整</t>
  </si>
  <si>
    <t>报价表</t>
  </si>
  <si>
    <t>区域</t>
  </si>
  <si>
    <t>简介</t>
  </si>
  <si>
    <t>最新条款变动通知</t>
  </si>
  <si>
    <t>CEL</t>
  </si>
  <si>
    <t>不变</t>
  </si>
  <si>
    <t>点击查看</t>
  </si>
  <si>
    <t>OZON俄罗斯（线下专线可接收）WB</t>
  </si>
  <si>
    <t>线上指定揽收仓</t>
  </si>
  <si>
    <r>
      <rPr>
        <b/>
        <sz val="14"/>
        <rFont val="微软雅黑"/>
        <family val="2"/>
        <charset val="134"/>
      </rPr>
      <t>207宁波仓/122义乌仓</t>
    </r>
    <r>
      <rPr>
        <b/>
        <sz val="12"/>
        <color rgb="FFFF0000"/>
        <rFont val="微软雅黑"/>
        <family val="2"/>
        <charset val="134"/>
      </rPr>
      <t xml:space="preserve">
1.所有物流渠道提供代贴单服务
2.每周日休息，留意收货时间
3.白俄罗斯航空暂停收寄</t>
    </r>
    <r>
      <rPr>
        <b/>
        <sz val="12"/>
        <color rgb="FF094FE9"/>
        <rFont val="微软雅黑"/>
        <family val="2"/>
        <charset val="134"/>
      </rPr>
      <t>（2024-12-17）</t>
    </r>
    <r>
      <rPr>
        <b/>
        <sz val="12"/>
        <color rgb="FFFF0000"/>
        <rFont val="微软雅黑"/>
        <family val="2"/>
        <charset val="134"/>
      </rPr>
      <t xml:space="preserve">
4.俄罗斯E邮宝陆运特惠价格下调，调整为</t>
    </r>
    <r>
      <rPr>
        <b/>
        <sz val="12"/>
        <color rgb="FF094FE9"/>
        <rFont val="微软雅黑"/>
        <family val="2"/>
        <charset val="134"/>
      </rPr>
      <t>23/kg+11/票（2025-3-11）</t>
    </r>
    <r>
      <rPr>
        <b/>
        <sz val="12"/>
        <color rgb="FFFF0000"/>
        <rFont val="微软雅黑"/>
        <family val="2"/>
        <charset val="134"/>
      </rPr>
      <t>执行</t>
    </r>
    <r>
      <rPr>
        <b/>
        <sz val="12"/>
        <color rgb="FF094FE9"/>
        <rFont val="微软雅黑"/>
        <family val="2"/>
        <charset val="134"/>
      </rPr>
      <t xml:space="preserve">
</t>
    </r>
    <r>
      <rPr>
        <b/>
        <sz val="12"/>
        <color rgb="FFFF0000"/>
        <rFont val="微软雅黑"/>
        <family val="2"/>
        <charset val="134"/>
      </rPr>
      <t>5.白俄罗斯跟哈萨克斯坦价格上调
6.新增</t>
    </r>
    <r>
      <rPr>
        <b/>
        <sz val="12"/>
        <color rgb="FF094FE9"/>
        <rFont val="微软雅黑"/>
        <family val="2"/>
        <charset val="134"/>
      </rPr>
      <t>乌兹别克斯坦，亚美尼亚，阿塞拜疆</t>
    </r>
    <r>
      <rPr>
        <b/>
        <sz val="12"/>
        <color rgb="FFFF0000"/>
        <rFont val="微软雅黑"/>
        <family val="2"/>
        <charset val="134"/>
      </rPr>
      <t>三个国家E邮宝</t>
    </r>
    <r>
      <rPr>
        <b/>
        <sz val="12"/>
        <color rgb="FF094FE9"/>
        <rFont val="微软雅黑"/>
        <family val="2"/>
        <charset val="134"/>
      </rPr>
      <t>（2025-3-11）</t>
    </r>
    <r>
      <rPr>
        <b/>
        <sz val="12"/>
        <color rgb="FFFF0000"/>
        <rFont val="微软雅黑"/>
        <family val="2"/>
        <charset val="134"/>
      </rPr>
      <t xml:space="preserve">
7.新增线上物流</t>
    </r>
    <r>
      <rPr>
        <b/>
        <sz val="12"/>
        <color rgb="FF094FE9"/>
        <rFont val="微软雅黑"/>
        <family val="2"/>
        <charset val="134"/>
      </rPr>
      <t xml:space="preserve">GUOO（2025-3-11）
</t>
    </r>
    <r>
      <rPr>
        <b/>
        <sz val="12"/>
        <color rgb="FFFF0000"/>
        <rFont val="微软雅黑"/>
        <family val="2"/>
        <charset val="134"/>
      </rPr>
      <t>8.俄罗斯</t>
    </r>
    <r>
      <rPr>
        <b/>
        <sz val="12"/>
        <color rgb="FF094FE9"/>
        <rFont val="微软雅黑"/>
        <family val="2"/>
        <charset val="134"/>
      </rPr>
      <t>E包裹特惠</t>
    </r>
    <r>
      <rPr>
        <b/>
        <sz val="12"/>
        <color rgb="FFFF0000"/>
        <rFont val="微软雅黑"/>
        <family val="2"/>
        <charset val="134"/>
      </rPr>
      <t>价格下调，调整为</t>
    </r>
    <r>
      <rPr>
        <b/>
        <sz val="12"/>
        <color rgb="FF094FE9"/>
        <rFont val="微软雅黑"/>
        <family val="2"/>
        <charset val="134"/>
      </rPr>
      <t>15/500g+52.5/票</t>
    </r>
  </si>
  <si>
    <t>UNI</t>
  </si>
  <si>
    <t>上涨</t>
  </si>
  <si>
    <t>OZON俄罗斯</t>
  </si>
  <si>
    <t>E邮宝</t>
  </si>
  <si>
    <t>下调</t>
  </si>
  <si>
    <t>俄罗斯，白俄罗斯，哈萨克斯坦，吉尔吉斯斯坦</t>
  </si>
  <si>
    <t>线下周结，每周一出账单</t>
  </si>
  <si>
    <t>E包裹</t>
  </si>
  <si>
    <t>俄罗斯</t>
  </si>
  <si>
    <r>
      <rPr>
        <b/>
        <sz val="16"/>
        <rFont val="微软雅黑"/>
        <family val="2"/>
        <charset val="134"/>
      </rPr>
      <t>WB</t>
    </r>
    <r>
      <rPr>
        <b/>
        <sz val="16"/>
        <color rgb="FFFF0000"/>
        <rFont val="微软雅黑"/>
        <family val="2"/>
        <charset val="134"/>
      </rPr>
      <t>(CEL)</t>
    </r>
    <r>
      <rPr>
        <b/>
        <sz val="16"/>
        <rFont val="微软雅黑"/>
        <family val="2"/>
        <charset val="134"/>
      </rPr>
      <t>-Yandex</t>
    </r>
    <r>
      <rPr>
        <b/>
        <sz val="16"/>
        <color rgb="FFFF0000"/>
        <rFont val="微软雅黑"/>
        <family val="2"/>
        <charset val="134"/>
      </rPr>
      <t>(CEL)</t>
    </r>
  </si>
  <si>
    <t>GUOO</t>
  </si>
  <si>
    <t>邮政产品只接收价格表里的（ 俄罗斯空运目前不接收）</t>
  </si>
  <si>
    <r>
      <rPr>
        <b/>
        <sz val="14"/>
        <color rgb="FFFF0000"/>
        <rFont val="微软雅黑"/>
        <family val="2"/>
        <charset val="134"/>
      </rPr>
      <t xml:space="preserve">所以寄件过来的麻烦按寄件格式寄件，方便及时处理
</t>
    </r>
    <r>
      <rPr>
        <b/>
        <sz val="22"/>
        <color rgb="FFFF0000"/>
        <rFont val="微软雅黑"/>
        <family val="2"/>
        <charset val="134"/>
      </rPr>
      <t>请注意渠道条款,如走件视同同意条款,我司不再单独确认</t>
    </r>
  </si>
  <si>
    <t>CEL-运费测算表</t>
  </si>
  <si>
    <t>OZON官方指定物流</t>
  </si>
  <si>
    <t>产品分类</t>
  </si>
  <si>
    <t>渠道名称</t>
  </si>
  <si>
    <t>单号规则</t>
  </si>
  <si>
    <t>到取货点/到门</t>
  </si>
  <si>
    <t>订单备货时间</t>
  </si>
  <si>
    <t>揽收点至莫斯科分拣中心时效</t>
  </si>
  <si>
    <t>资费</t>
  </si>
  <si>
    <t>最大重量</t>
  </si>
  <si>
    <t>最大货值(卢布)</t>
  </si>
  <si>
    <t>尺寸限制(厘米)</t>
  </si>
  <si>
    <t>特货限制</t>
  </si>
  <si>
    <t>渠道说明</t>
  </si>
  <si>
    <t>计费重
(KG)</t>
  </si>
  <si>
    <t>泡重（KG）</t>
  </si>
  <si>
    <t>密度kg/m³</t>
  </si>
  <si>
    <t>价格测算</t>
  </si>
  <si>
    <t>←填入重量/KG</t>
  </si>
  <si>
    <r>
      <rPr>
        <b/>
        <sz val="11"/>
        <color theme="1"/>
        <rFont val="微软雅黑"/>
        <family val="2"/>
        <charset val="134"/>
      </rPr>
      <t>Extra  Small
（</t>
    </r>
    <r>
      <rPr>
        <b/>
        <sz val="11"/>
        <color rgb="FFC00000"/>
        <rFont val="微软雅黑"/>
        <family val="2"/>
        <charset val="134"/>
      </rPr>
      <t>超级轻小件</t>
    </r>
    <r>
      <rPr>
        <b/>
        <sz val="11"/>
        <color theme="1"/>
        <rFont val="微软雅黑"/>
        <family val="2"/>
        <charset val="134"/>
      </rPr>
      <t>）</t>
    </r>
  </si>
  <si>
    <t>Express Extra Small
超级轻小件（陆空特快）</t>
  </si>
  <si>
    <t>CEL1...EXP</t>
  </si>
  <si>
    <t>到取货点</t>
  </si>
  <si>
    <t>5天内</t>
  </si>
  <si>
    <t>5-10天</t>
  </si>
  <si>
    <t>0.045元/克+3元/票</t>
  </si>
  <si>
    <t>0.5KG</t>
  </si>
  <si>
    <t>1500卢布</t>
  </si>
  <si>
    <r>
      <rPr>
        <sz val="10"/>
        <color theme="1"/>
        <rFont val="微软雅黑"/>
        <family val="2"/>
        <charset val="134"/>
      </rPr>
      <t>三边和不</t>
    </r>
    <r>
      <rPr>
        <sz val="10"/>
        <rFont val="微软雅黑"/>
        <family val="2"/>
        <charset val="134"/>
      </rPr>
      <t>超</t>
    </r>
    <r>
      <rPr>
        <sz val="10"/>
        <color rgb="FFFF0000"/>
        <rFont val="微软雅黑"/>
        <family val="2"/>
        <charset val="134"/>
      </rPr>
      <t xml:space="preserve">90CM
</t>
    </r>
    <r>
      <rPr>
        <sz val="10"/>
        <rFont val="微软雅黑"/>
        <family val="2"/>
        <charset val="134"/>
      </rPr>
      <t>最长边不超</t>
    </r>
    <r>
      <rPr>
        <sz val="10"/>
        <color rgb="FFFF0000"/>
        <rFont val="微软雅黑"/>
        <family val="2"/>
        <charset val="134"/>
      </rPr>
      <t xml:space="preserve">60CM
</t>
    </r>
    <r>
      <rPr>
        <b/>
        <sz val="10"/>
        <color rgb="FFC00000"/>
        <rFont val="微软雅黑"/>
        <family val="2"/>
        <charset val="134"/>
      </rPr>
      <t>不计材积</t>
    </r>
  </si>
  <si>
    <t>带电、带磁、液体、粉末均可发货</t>
  </si>
  <si>
    <t>1：重量0.5KG内
2：货值 1500卢布以内
3：丢件最大赔付1500卢布
免费销毁</t>
  </si>
  <si>
    <t>←三边尺寸/CM</t>
  </si>
  <si>
    <t>Standard Extra Small 
超级轻小件（陆空标准）</t>
  </si>
  <si>
    <t>CEL2...CD</t>
  </si>
  <si>
    <t>10-15天</t>
  </si>
  <si>
    <t>0.035元/克+3元/票</t>
  </si>
  <si>
    <t>Economy Extra Small
超级轻小件（陆运经济）</t>
  </si>
  <si>
    <t>CEL1...CD</t>
  </si>
  <si>
    <t>20-25天</t>
  </si>
  <si>
    <t>0.025元/克+3元/票</t>
  </si>
  <si>
    <r>
      <rPr>
        <b/>
        <sz val="11"/>
        <color theme="1"/>
        <rFont val="微软雅黑"/>
        <family val="2"/>
        <charset val="134"/>
      </rPr>
      <t>Budget
（</t>
    </r>
    <r>
      <rPr>
        <b/>
        <sz val="11"/>
        <color rgb="FFC00000"/>
        <rFont val="微软雅黑"/>
        <family val="2"/>
        <charset val="134"/>
      </rPr>
      <t>低客单标准件</t>
    </r>
    <r>
      <rPr>
        <b/>
        <sz val="11"/>
        <color theme="1"/>
        <rFont val="微软雅黑"/>
        <family val="2"/>
        <charset val="134"/>
      </rPr>
      <t>）</t>
    </r>
  </si>
  <si>
    <t>Express Budget
低客单标准件（陆空特快）</t>
  </si>
  <si>
    <t>CEL2...EXP</t>
  </si>
  <si>
    <t>0.033元/克+23元/票</t>
  </si>
  <si>
    <t>0.5KG-25KG</t>
  </si>
  <si>
    <r>
      <rPr>
        <sz val="10"/>
        <color theme="1"/>
        <rFont val="微软雅黑"/>
        <family val="2"/>
        <charset val="134"/>
      </rPr>
      <t>三边和不超</t>
    </r>
    <r>
      <rPr>
        <sz val="10"/>
        <color rgb="FFFF0000"/>
        <rFont val="微软雅黑"/>
        <family val="2"/>
        <charset val="134"/>
      </rPr>
      <t>150CM</t>
    </r>
    <r>
      <rPr>
        <sz val="10"/>
        <color theme="1"/>
        <rFont val="微软雅黑"/>
        <family val="2"/>
        <charset val="134"/>
      </rPr>
      <t xml:space="preserve">
最长边不超</t>
    </r>
    <r>
      <rPr>
        <sz val="10"/>
        <color rgb="FFFF0000"/>
        <rFont val="微软雅黑"/>
        <family val="2"/>
        <charset val="134"/>
      </rPr>
      <t>60CM
三边和超过90CM计材积</t>
    </r>
  </si>
  <si>
    <t>1：重量0.5-25KG，
2：货值1500卢布以内:
3：丢件最大赔付1500卢布
免费销毁</t>
  </si>
  <si>
    <t>←三边尺寸和</t>
  </si>
  <si>
    <t>Standard Budget
低客单标准件（陆空标准）</t>
  </si>
  <si>
    <t>CEL2...ENP</t>
  </si>
  <si>
    <t>0.025元/克+23元/票</t>
  </si>
  <si>
    <t>←填入销售价格/卢布</t>
  </si>
  <si>
    <t>Economy Budget
低客单标准件（陆运经济）</t>
  </si>
  <si>
    <t>CEL2...STP</t>
  </si>
  <si>
    <t>0.017元/克+23元/票</t>
  </si>
  <si>
    <r>
      <rPr>
        <b/>
        <sz val="16"/>
        <color rgb="FFFF0000"/>
        <rFont val="微软雅黑"/>
        <family val="2"/>
        <charset val="134"/>
      </rPr>
      <t>温馨提示</t>
    </r>
    <r>
      <rPr>
        <b/>
        <sz val="10"/>
        <color rgb="FFFF0000"/>
        <rFont val="等线"/>
        <family val="3"/>
        <charset val="134"/>
        <scheme val="minor"/>
      </rPr>
      <t>：</t>
    </r>
    <r>
      <rPr>
        <b/>
        <sz val="16"/>
        <color rgb="FFC00000"/>
        <rFont val="微软雅黑"/>
        <family val="2"/>
        <charset val="134"/>
      </rPr>
      <t xml:space="preserve">建议卖家尽量使用 </t>
    </r>
    <r>
      <rPr>
        <b/>
        <sz val="16"/>
        <color rgb="FF7030A0"/>
        <rFont val="微软雅黑"/>
        <family val="2"/>
        <charset val="134"/>
      </rPr>
      <t xml:space="preserve">到取货点 </t>
    </r>
    <r>
      <rPr>
        <b/>
        <sz val="16"/>
        <color rgb="FFC00000"/>
        <rFont val="微软雅黑"/>
        <family val="2"/>
        <charset val="134"/>
      </rPr>
      <t>物流方式</t>
    </r>
  </si>
  <si>
    <r>
      <rPr>
        <b/>
        <sz val="11"/>
        <color theme="1"/>
        <rFont val="微软雅黑"/>
        <family val="2"/>
        <charset val="134"/>
      </rPr>
      <t>Small
（</t>
    </r>
    <r>
      <rPr>
        <b/>
        <sz val="11"/>
        <color rgb="FFC00000"/>
        <rFont val="微软雅黑"/>
        <family val="2"/>
        <charset val="134"/>
      </rPr>
      <t>轻小件</t>
    </r>
    <r>
      <rPr>
        <b/>
        <sz val="11"/>
        <color theme="1"/>
        <rFont val="微软雅黑"/>
        <family val="2"/>
        <charset val="134"/>
      </rPr>
      <t>）</t>
    </r>
  </si>
  <si>
    <t>Express Small 轻小件
（陆空特快）</t>
  </si>
  <si>
    <t>CEL3...EXP</t>
  </si>
  <si>
    <t>0.045元/克+16元/票</t>
  </si>
  <si>
    <t>2KG</t>
  </si>
  <si>
    <t>1501-7000卢布</t>
  </si>
  <si>
    <t>1：:重量2KG内
2：货值:1501-7000卢布以内
3：丢件最大赔付7000卢布
免费销毁支持改派 支持退回</t>
  </si>
  <si>
    <t>CEL3...EXC</t>
  </si>
  <si>
    <t>到门</t>
  </si>
  <si>
    <t>0.045元/克+19.5元/票</t>
  </si>
  <si>
    <t>1：自提点和国内菜鸟驿站类似，网点多，专业成熟，有保存期</t>
  </si>
  <si>
    <t>Standard Small 轻小件
（陆空标准）</t>
  </si>
  <si>
    <t>CEL3...STP</t>
  </si>
  <si>
    <t>0.035元/克+16元/票</t>
  </si>
  <si>
    <t>2：自提点，有14天超长保存期，解决上班不在家和旅游不在家，无法签收快递的问题</t>
  </si>
  <si>
    <t>CEL3...STC</t>
  </si>
  <si>
    <t>0.035元/克+19.5元/票</t>
  </si>
  <si>
    <t>3：国外派送到门服务，和客户上班时间可能冲突，可能会导致配送不成功</t>
  </si>
  <si>
    <t>Economy Small 轻小件
（陆运经济）</t>
  </si>
  <si>
    <t>CEL3...ENP</t>
  </si>
  <si>
    <t>0.025元/克+16元/票</t>
  </si>
  <si>
    <t>4：买家更注重个人隐私，更愿意到选择到自提点</t>
  </si>
  <si>
    <t>CEL3...ENC</t>
  </si>
  <si>
    <t>0.025元/克+19.5元/票</t>
  </si>
  <si>
    <r>
      <rPr>
        <b/>
        <sz val="12"/>
        <rFont val="宋体"/>
        <family val="3"/>
        <charset val="134"/>
      </rPr>
      <t>若</t>
    </r>
    <r>
      <rPr>
        <b/>
        <sz val="12"/>
        <color rgb="FFFF0000"/>
        <rFont val="宋体"/>
        <family val="3"/>
        <charset val="134"/>
      </rPr>
      <t>计费重</t>
    </r>
    <r>
      <rPr>
        <b/>
        <sz val="12"/>
        <rFont val="宋体"/>
        <family val="3"/>
        <charset val="134"/>
      </rPr>
      <t>与您填写的</t>
    </r>
    <r>
      <rPr>
        <b/>
        <sz val="12"/>
        <color rgb="FFFF0000"/>
        <rFont val="宋体"/>
        <family val="3"/>
        <charset val="134"/>
      </rPr>
      <t>实重</t>
    </r>
    <r>
      <rPr>
        <b/>
        <sz val="12"/>
        <rFont val="宋体"/>
        <family val="3"/>
        <charset val="134"/>
      </rPr>
      <t>数值不一致，则为</t>
    </r>
    <r>
      <rPr>
        <b/>
        <sz val="12"/>
        <color rgb="FFFF0000"/>
        <rFont val="宋体"/>
        <family val="3"/>
        <charset val="134"/>
      </rPr>
      <t>计泡</t>
    </r>
    <r>
      <rPr>
        <b/>
        <sz val="12"/>
        <rFont val="宋体"/>
        <family val="3"/>
        <charset val="134"/>
      </rPr>
      <t>，反之则按实重计费。</t>
    </r>
  </si>
  <si>
    <r>
      <rPr>
        <b/>
        <sz val="11"/>
        <color theme="1"/>
        <rFont val="微软雅黑"/>
        <family val="2"/>
        <charset val="134"/>
      </rPr>
      <t>Big
（</t>
    </r>
    <r>
      <rPr>
        <b/>
        <sz val="11"/>
        <color rgb="FFC00000"/>
        <rFont val="微软雅黑"/>
        <family val="2"/>
        <charset val="134"/>
      </rPr>
      <t>大件</t>
    </r>
    <r>
      <rPr>
        <b/>
        <sz val="11"/>
        <color theme="1"/>
        <rFont val="微软雅黑"/>
        <family val="2"/>
        <charset val="134"/>
      </rPr>
      <t>）</t>
    </r>
  </si>
  <si>
    <t>Express Big 大件
（陆空特快）</t>
  </si>
  <si>
    <t>CEL4...EXP</t>
  </si>
  <si>
    <t>0.033元/克+36元/票</t>
  </si>
  <si>
    <t>2kg-25kg</t>
  </si>
  <si>
    <r>
      <rPr>
        <sz val="10"/>
        <color theme="1"/>
        <rFont val="微软雅黑"/>
        <family val="2"/>
        <charset val="134"/>
      </rPr>
      <t>三边和不超</t>
    </r>
    <r>
      <rPr>
        <sz val="10"/>
        <color rgb="FFFF0000"/>
        <rFont val="微软雅黑"/>
        <family val="2"/>
        <charset val="134"/>
      </rPr>
      <t xml:space="preserve">250CM
</t>
    </r>
    <r>
      <rPr>
        <sz val="10"/>
        <rFont val="微软雅黑"/>
        <family val="2"/>
        <charset val="134"/>
      </rPr>
      <t>最长边不超</t>
    </r>
    <r>
      <rPr>
        <sz val="10"/>
        <color rgb="FFFF0000"/>
        <rFont val="微软雅黑"/>
        <family val="2"/>
        <charset val="134"/>
      </rPr>
      <t xml:space="preserve">150CM
</t>
    </r>
    <r>
      <rPr>
        <sz val="10"/>
        <color rgb="FFC00000"/>
        <rFont val="微软雅黑"/>
        <family val="2"/>
        <charset val="134"/>
      </rPr>
      <t>三边和超过90CM计材积</t>
    </r>
  </si>
  <si>
    <t>1：重量2KG-25KG，
2：货值1501-7000卢布以内
3：丢件最大赔付7000卢布
免费销毁支持改派 支持退回</t>
  </si>
  <si>
    <t>CEL4...EXC</t>
  </si>
  <si>
    <t>0.033元/克+39.5元/票</t>
  </si>
  <si>
    <t>Standard Big 大件
（陆空标准）</t>
  </si>
  <si>
    <t>CEL4...STP</t>
  </si>
  <si>
    <t>0.025元/克+36元/票</t>
  </si>
  <si>
    <t>CEL4...STC</t>
  </si>
  <si>
    <t>0.025元/克+39.5元/票</t>
  </si>
  <si>
    <t>Economy Big 大件
（陆运经济）</t>
  </si>
  <si>
    <t>CEL4...ENP</t>
  </si>
  <si>
    <t>0.017元/克+36元/票</t>
  </si>
  <si>
    <t>CEL4...ENC</t>
  </si>
  <si>
    <t>0.017元/克+39.5元/票</t>
  </si>
  <si>
    <r>
      <rPr>
        <b/>
        <sz val="11"/>
        <color theme="1"/>
        <rFont val="微软雅黑"/>
        <family val="2"/>
        <charset val="134"/>
      </rPr>
      <t>Premium  Small
（</t>
    </r>
    <r>
      <rPr>
        <b/>
        <sz val="11"/>
        <color rgb="FFC00000"/>
        <rFont val="微软雅黑"/>
        <family val="2"/>
        <charset val="134"/>
      </rPr>
      <t>高客单轻小件</t>
    </r>
    <r>
      <rPr>
        <b/>
        <sz val="11"/>
        <color theme="1"/>
        <rFont val="微软雅黑"/>
        <family val="2"/>
        <charset val="134"/>
      </rPr>
      <t>）</t>
    </r>
  </si>
  <si>
    <t>Express Premium Small
高客单小件（陆空特快）</t>
  </si>
  <si>
    <t>CEL5...EXP</t>
  </si>
  <si>
    <t>0.045元/克+22元/票</t>
  </si>
  <si>
    <t>5KG内</t>
  </si>
  <si>
    <t>7001-250000卢布</t>
  </si>
  <si>
    <t>1：重量5KG内，
2：货值:7001-250000卢布以内
3：丢件最大赔付250000卢布
免费销毁支持改派 支持退回</t>
  </si>
  <si>
    <t>CEL5...EXC</t>
  </si>
  <si>
    <t>0.045元/克+25.5元/票</t>
  </si>
  <si>
    <t>Standard Premium Small 高客单小件（陆空标准）</t>
  </si>
  <si>
    <t>CEL5...STP</t>
  </si>
  <si>
    <t>0.035元/克+22元/票</t>
  </si>
  <si>
    <t>CEL5...STC</t>
  </si>
  <si>
    <t>0.035元/克+25.5元/票</t>
  </si>
  <si>
    <t>Economy Premium Small 高客单小件（陆运经济）</t>
  </si>
  <si>
    <t>CEL5...ENP</t>
  </si>
  <si>
    <t>0.025元/克+22元/票</t>
  </si>
  <si>
    <t>CEL5...ENC</t>
  </si>
  <si>
    <t>0.025元/克+25.5元/票</t>
  </si>
  <si>
    <r>
      <rPr>
        <b/>
        <sz val="11"/>
        <color theme="1"/>
        <rFont val="微软雅黑"/>
        <family val="2"/>
        <charset val="134"/>
      </rPr>
      <t>Premium  Big
（</t>
    </r>
    <r>
      <rPr>
        <b/>
        <sz val="11"/>
        <color rgb="FFC00000"/>
        <rFont val="微软雅黑"/>
        <family val="2"/>
        <charset val="134"/>
      </rPr>
      <t>高客单大件</t>
    </r>
    <r>
      <rPr>
        <b/>
        <sz val="11"/>
        <color theme="1"/>
        <rFont val="微软雅黑"/>
        <family val="2"/>
        <charset val="134"/>
      </rPr>
      <t>）</t>
    </r>
  </si>
  <si>
    <t>Express Premium Big 
高客单大件（陆空特快）</t>
  </si>
  <si>
    <t>CEL6...EXP</t>
  </si>
  <si>
    <t>0.033元/克+62元/票</t>
  </si>
  <si>
    <t>5KG-25KG</t>
  </si>
  <si>
    <r>
      <rPr>
        <sz val="10"/>
        <color theme="1"/>
        <rFont val="微软雅黑"/>
        <family val="2"/>
        <charset val="134"/>
      </rPr>
      <t>三边和不超</t>
    </r>
    <r>
      <rPr>
        <sz val="10"/>
        <color rgb="FFFF0000"/>
        <rFont val="微软雅黑"/>
        <family val="2"/>
        <charset val="134"/>
      </rPr>
      <t xml:space="preserve">310CM
</t>
    </r>
    <r>
      <rPr>
        <sz val="10"/>
        <rFont val="微软雅黑"/>
        <family val="2"/>
        <charset val="134"/>
      </rPr>
      <t>最长边不超</t>
    </r>
    <r>
      <rPr>
        <sz val="10"/>
        <color rgb="FFFF0000"/>
        <rFont val="微软雅黑"/>
        <family val="2"/>
        <charset val="134"/>
      </rPr>
      <t xml:space="preserve">150CM
（最大尺寸限制150*80*80CM）
</t>
    </r>
    <r>
      <rPr>
        <sz val="10"/>
        <color rgb="FFC00000"/>
        <rFont val="微软雅黑"/>
        <family val="2"/>
        <charset val="134"/>
      </rPr>
      <t>三边和超过90CM计材积</t>
    </r>
  </si>
  <si>
    <t>1：重量5kg-25kg
2：货值:7001-250000卢布以内
3：丢件最大赔付250000卢布
免费销毁支持改派 支持退回</t>
  </si>
  <si>
    <t>CEL6...EXC</t>
  </si>
  <si>
    <t>0.033元/克+65.5元/票</t>
  </si>
  <si>
    <t>Standard Premium Big 
高客单大件（陆空标准）</t>
  </si>
  <si>
    <t>CEL6...STP</t>
  </si>
  <si>
    <t>0.028元/克+62元/票</t>
  </si>
  <si>
    <t>CEL6...STC</t>
  </si>
  <si>
    <t>0.028元/克+65.5元/票</t>
  </si>
  <si>
    <t>Economy Premium Big 
高客单大件（陆运经济）</t>
  </si>
  <si>
    <t>CEL6...ENP</t>
  </si>
  <si>
    <t>0.023元/克+62元/票</t>
  </si>
  <si>
    <t>CEL6...ENC</t>
  </si>
  <si>
    <t>0.023元/克+65.5元/票</t>
  </si>
  <si>
    <t>1.日常使用时，请按实际重量填写“商品重量/三边尺寸”和“商品货值”，表格自动生成对应物流报价；</t>
  </si>
  <si>
    <t>2.重量默认单位为千克 KG，尺寸默认单位为厘米 CM,  成交价是卢布；</t>
  </si>
  <si>
    <t>3.价格测算出来的”绿色“价格为最优惠的物流渠道，仅供您参考</t>
  </si>
  <si>
    <t>4.CEL重量，计费，查询网址：http://146.56.210.134:8033/#/login?redirect=/dashboard</t>
  </si>
  <si>
    <t>5.OZON帮助页面仓库创建教程：https://docs.ozon.ru/global/zh/fulfillment/rfbs/logistic-settings/warehouse/?country=CN</t>
  </si>
  <si>
    <t>6.OZON帮助页面物流配送方式添加教程：https://docs.ozon.ru/global/zh/fulfillment/rfbs/logistic-settings/delivery-methods/?country=CN</t>
  </si>
  <si>
    <t>7.OZON各类商品销售佣金标准：https://docs.ozon.ru/global/zh-hans/commissions/ozon-fees/commissions/?country=CN</t>
  </si>
  <si>
    <t>浙江省金华市义乌市后宅街道渠成街18号2号楼2楼 (南边靠近门卫室）CEL
联系人：CEL义乌仓 ；手机号码：18905895796
宁波市江北区长兴路158号8号楼s101（南边卸货口） CEL宁波集货仓
联系人：吴浩鹏；手机号码：19817935310</t>
  </si>
  <si>
    <t>UNI-运费测算表</t>
  </si>
  <si>
    <t>电池</t>
  </si>
  <si>
    <r>
      <rPr>
        <b/>
        <sz val="11"/>
        <color theme="1"/>
        <rFont val="微软雅黑"/>
        <family val="2"/>
        <charset val="134"/>
      </rPr>
      <t>UNI
Extra  Small
（</t>
    </r>
    <r>
      <rPr>
        <b/>
        <sz val="11"/>
        <color rgb="FFC00000"/>
        <rFont val="微软雅黑"/>
        <family val="2"/>
        <charset val="134"/>
      </rPr>
      <t>超级轻小件</t>
    </r>
    <r>
      <rPr>
        <b/>
        <sz val="11"/>
        <color theme="1"/>
        <rFont val="微软雅黑"/>
        <family val="2"/>
        <charset val="134"/>
      </rPr>
      <t>）</t>
    </r>
  </si>
  <si>
    <t>超快速</t>
  </si>
  <si>
    <t>9-10天</t>
  </si>
  <si>
    <t>3元+0.045 元/1克</t>
  </si>
  <si>
    <t>设备内部装有电池最高功率100瓦特。不需要提供MSDS；</t>
  </si>
  <si>
    <r>
      <rPr>
        <sz val="10"/>
        <color rgb="FF7030A0"/>
        <rFont val="微软雅黑"/>
        <family val="2"/>
        <charset val="134"/>
      </rPr>
      <t>1：重量0.5KG内
2：</t>
    </r>
    <r>
      <rPr>
        <b/>
        <sz val="10"/>
        <color rgb="FFC00000"/>
        <rFont val="微软雅黑"/>
        <family val="2"/>
        <charset val="134"/>
      </rPr>
      <t>货值 1500卢布以内</t>
    </r>
    <r>
      <rPr>
        <sz val="10"/>
        <color rgb="FF7030A0"/>
        <rFont val="微软雅黑"/>
        <family val="2"/>
        <charset val="134"/>
      </rPr>
      <t xml:space="preserve">
3：丢件最大赔付1500卢布</t>
    </r>
  </si>
  <si>
    <t>Standard Extra Small
超级轻小件（陆空标准）</t>
  </si>
  <si>
    <t>快速</t>
  </si>
  <si>
    <t>11-15天</t>
  </si>
  <si>
    <t>3元+0.035元/1克</t>
  </si>
  <si>
    <t>没有限制。不需要提供MSDS；</t>
  </si>
  <si>
    <t>经济</t>
  </si>
  <si>
    <t>3元+0.025元/1克</t>
  </si>
  <si>
    <r>
      <rPr>
        <b/>
        <sz val="11"/>
        <color theme="1"/>
        <rFont val="微软雅黑"/>
        <family val="2"/>
        <charset val="134"/>
      </rPr>
      <t>UNI
Budget
（</t>
    </r>
    <r>
      <rPr>
        <b/>
        <sz val="11"/>
        <color rgb="FFC00000"/>
        <rFont val="微软雅黑"/>
        <family val="2"/>
        <charset val="134"/>
      </rPr>
      <t>低客单标准件</t>
    </r>
    <r>
      <rPr>
        <b/>
        <sz val="11"/>
        <color theme="1"/>
        <rFont val="微软雅黑"/>
        <family val="2"/>
        <charset val="134"/>
      </rPr>
      <t>）</t>
    </r>
  </si>
  <si>
    <t>23元 +0.033元/1克</t>
  </si>
  <si>
    <r>
      <rPr>
        <sz val="10"/>
        <color theme="1"/>
        <rFont val="微软雅黑"/>
        <family val="2"/>
        <charset val="134"/>
      </rPr>
      <t>三边和不超</t>
    </r>
    <r>
      <rPr>
        <sz val="10"/>
        <color rgb="FFFF0000"/>
        <rFont val="微软雅黑"/>
        <family val="2"/>
        <charset val="134"/>
      </rPr>
      <t>150CM</t>
    </r>
    <r>
      <rPr>
        <sz val="10"/>
        <color theme="1"/>
        <rFont val="微软雅黑"/>
        <family val="2"/>
        <charset val="134"/>
      </rPr>
      <t xml:space="preserve">
最长边不超</t>
    </r>
    <r>
      <rPr>
        <sz val="10"/>
        <color rgb="FFFF0000"/>
        <rFont val="微软雅黑"/>
        <family val="2"/>
        <charset val="134"/>
      </rPr>
      <t xml:space="preserve">60CM
</t>
    </r>
    <r>
      <rPr>
        <b/>
        <sz val="10"/>
        <color rgb="FFC00000"/>
        <rFont val="微软雅黑"/>
        <family val="2"/>
        <charset val="134"/>
      </rPr>
      <t>不计材积</t>
    </r>
  </si>
  <si>
    <r>
      <rPr>
        <sz val="10"/>
        <color rgb="FF7030A0"/>
        <rFont val="微软雅黑"/>
        <family val="2"/>
        <charset val="134"/>
      </rPr>
      <t>1：重量0.5-25KG，
2：</t>
    </r>
    <r>
      <rPr>
        <b/>
        <sz val="10"/>
        <color rgb="FFC00000"/>
        <rFont val="微软雅黑"/>
        <family val="2"/>
        <charset val="134"/>
      </rPr>
      <t>货值1500卢布以内:</t>
    </r>
    <r>
      <rPr>
        <sz val="10"/>
        <color rgb="FF7030A0"/>
        <rFont val="微软雅黑"/>
        <family val="2"/>
        <charset val="134"/>
      </rPr>
      <t xml:space="preserve">
3：丢件最大赔付1500卢布</t>
    </r>
  </si>
  <si>
    <t>23元 +0.025元/1克</t>
  </si>
  <si>
    <t>23元 +0.017元/1克</t>
  </si>
  <si>
    <r>
      <rPr>
        <b/>
        <sz val="11"/>
        <color theme="1"/>
        <rFont val="微软雅黑"/>
        <family val="2"/>
        <charset val="134"/>
      </rPr>
      <t>UNI
Small
（</t>
    </r>
    <r>
      <rPr>
        <b/>
        <sz val="11"/>
        <color rgb="FFC00000"/>
        <rFont val="微软雅黑"/>
        <family val="2"/>
        <charset val="134"/>
      </rPr>
      <t>轻小件</t>
    </r>
    <r>
      <rPr>
        <b/>
        <sz val="11"/>
        <color theme="1"/>
        <rFont val="微软雅黑"/>
        <family val="2"/>
        <charset val="134"/>
      </rPr>
      <t>）</t>
    </r>
  </si>
  <si>
    <t>16元 +0.045元/1克</t>
  </si>
  <si>
    <r>
      <rPr>
        <sz val="10"/>
        <color rgb="FF7030A0"/>
        <rFont val="微软雅黑"/>
        <family val="2"/>
        <charset val="134"/>
      </rPr>
      <t>1：:重量2KG内
2：</t>
    </r>
    <r>
      <rPr>
        <b/>
        <sz val="10"/>
        <color rgb="FFC00000"/>
        <rFont val="微软雅黑"/>
        <family val="2"/>
        <charset val="134"/>
      </rPr>
      <t>货值:1501-7000卢布以内</t>
    </r>
    <r>
      <rPr>
        <sz val="10"/>
        <color rgb="FF7030A0"/>
        <rFont val="微软雅黑"/>
        <family val="2"/>
        <charset val="134"/>
      </rPr>
      <t xml:space="preserve">
3：丢件最大赔付7000卢布</t>
    </r>
  </si>
  <si>
    <t>19.5元 +0.045元/1克</t>
  </si>
  <si>
    <t>16元 +0.035元/1克</t>
  </si>
  <si>
    <t>19.5元 +0.035元/1克</t>
  </si>
  <si>
    <t>16元 +0.025元/1克</t>
  </si>
  <si>
    <t>19.5元 +0.025元/1克</t>
  </si>
  <si>
    <r>
      <rPr>
        <b/>
        <sz val="11"/>
        <color theme="1"/>
        <rFont val="微软雅黑"/>
        <family val="2"/>
        <charset val="134"/>
      </rPr>
      <t>UNI
Big
（</t>
    </r>
    <r>
      <rPr>
        <b/>
        <sz val="11"/>
        <color rgb="FFC00000"/>
        <rFont val="微软雅黑"/>
        <family val="2"/>
        <charset val="134"/>
      </rPr>
      <t>大件</t>
    </r>
    <r>
      <rPr>
        <b/>
        <sz val="11"/>
        <color theme="1"/>
        <rFont val="微软雅黑"/>
        <family val="2"/>
        <charset val="134"/>
      </rPr>
      <t>）</t>
    </r>
  </si>
  <si>
    <t>36元 +0.033元/1克</t>
  </si>
  <si>
    <r>
      <rPr>
        <sz val="10"/>
        <color theme="1"/>
        <rFont val="微软雅黑"/>
        <family val="2"/>
        <charset val="134"/>
      </rPr>
      <t>三边和不超</t>
    </r>
    <r>
      <rPr>
        <sz val="10"/>
        <color rgb="FFFF0000"/>
        <rFont val="微软雅黑"/>
        <family val="2"/>
        <charset val="134"/>
      </rPr>
      <t xml:space="preserve">250CM
</t>
    </r>
    <r>
      <rPr>
        <sz val="10"/>
        <rFont val="微软雅黑"/>
        <family val="2"/>
        <charset val="134"/>
      </rPr>
      <t>最长边不超</t>
    </r>
    <r>
      <rPr>
        <sz val="10"/>
        <color rgb="FFFF0000"/>
        <rFont val="微软雅黑"/>
        <family val="2"/>
        <charset val="134"/>
      </rPr>
      <t xml:space="preserve">150CM
</t>
    </r>
    <r>
      <rPr>
        <b/>
        <sz val="10"/>
        <color rgb="FFC00000"/>
        <rFont val="微软雅黑"/>
        <family val="2"/>
        <charset val="134"/>
      </rPr>
      <t>不计材积</t>
    </r>
  </si>
  <si>
    <r>
      <rPr>
        <sz val="10"/>
        <color rgb="FF7030A0"/>
        <rFont val="微软雅黑"/>
        <family val="2"/>
        <charset val="134"/>
      </rPr>
      <t>1：重量2KG-25KG，
2：</t>
    </r>
    <r>
      <rPr>
        <b/>
        <sz val="10"/>
        <color rgb="FFC00000"/>
        <rFont val="微软雅黑"/>
        <family val="2"/>
        <charset val="134"/>
      </rPr>
      <t>货值1501-7000卢布以内</t>
    </r>
    <r>
      <rPr>
        <sz val="10"/>
        <color rgb="FF7030A0"/>
        <rFont val="微软雅黑"/>
        <family val="2"/>
        <charset val="134"/>
      </rPr>
      <t xml:space="preserve">
3：丢件最大赔付7000卢布</t>
    </r>
  </si>
  <si>
    <t>39.5元 +0.033元/1克</t>
  </si>
  <si>
    <t>7-13天</t>
  </si>
  <si>
    <t>36元 + 0.025元/1克</t>
  </si>
  <si>
    <t>39.5元 + 0.025元/1克</t>
  </si>
  <si>
    <t>15-20天</t>
  </si>
  <si>
    <t>36元+0.017元/1克</t>
  </si>
  <si>
    <t>39.5元+0.017元/1克</t>
  </si>
  <si>
    <r>
      <rPr>
        <b/>
        <sz val="11"/>
        <color theme="1"/>
        <rFont val="微软雅黑"/>
        <family val="2"/>
        <charset val="134"/>
      </rPr>
      <t>UNI
Premium  Small
（</t>
    </r>
    <r>
      <rPr>
        <b/>
        <sz val="11"/>
        <color rgb="FFC00000"/>
        <rFont val="微软雅黑"/>
        <family val="2"/>
        <charset val="134"/>
      </rPr>
      <t>高客单轻小件</t>
    </r>
    <r>
      <rPr>
        <b/>
        <sz val="11"/>
        <color theme="1"/>
        <rFont val="微软雅黑"/>
        <family val="2"/>
        <charset val="134"/>
      </rPr>
      <t>）</t>
    </r>
  </si>
  <si>
    <t>22元 +0.045元/1克</t>
  </si>
  <si>
    <r>
      <rPr>
        <sz val="10"/>
        <color rgb="FF7030A0"/>
        <rFont val="微软雅黑"/>
        <family val="2"/>
        <charset val="134"/>
      </rPr>
      <t>1：重量5KG内，
2：</t>
    </r>
    <r>
      <rPr>
        <b/>
        <sz val="10"/>
        <color rgb="FFC00000"/>
        <rFont val="微软雅黑"/>
        <family val="2"/>
        <charset val="134"/>
      </rPr>
      <t>货值:7001-250000卢布以内</t>
    </r>
    <r>
      <rPr>
        <sz val="10"/>
        <color rgb="FF7030A0"/>
        <rFont val="微软雅黑"/>
        <family val="2"/>
        <charset val="134"/>
      </rPr>
      <t xml:space="preserve">
3：丢件最大赔付250000卢布</t>
    </r>
  </si>
  <si>
    <t>25元 +0.045元/1克</t>
  </si>
  <si>
    <t>Standard Premium Small 
高客单小件（陆空标准）</t>
  </si>
  <si>
    <t>22元 +0.035元/1克</t>
  </si>
  <si>
    <t>25元 +0.035元/1克</t>
  </si>
  <si>
    <t>16-21天</t>
  </si>
  <si>
    <t>22元 +0.025元/1克</t>
  </si>
  <si>
    <t>25元 +0.025元/1克</t>
  </si>
  <si>
    <r>
      <rPr>
        <b/>
        <sz val="11"/>
        <color theme="1"/>
        <rFont val="微软雅黑"/>
        <family val="2"/>
        <charset val="134"/>
      </rPr>
      <t>UNI
Premium  Big
（</t>
    </r>
    <r>
      <rPr>
        <b/>
        <sz val="11"/>
        <color rgb="FFC00000"/>
        <rFont val="微软雅黑"/>
        <family val="2"/>
        <charset val="134"/>
      </rPr>
      <t>高客单大件</t>
    </r>
    <r>
      <rPr>
        <b/>
        <sz val="11"/>
        <color theme="1"/>
        <rFont val="微软雅黑"/>
        <family val="2"/>
        <charset val="134"/>
      </rPr>
      <t>）</t>
    </r>
  </si>
  <si>
    <t>62元 +0.033元/1克</t>
  </si>
  <si>
    <r>
      <rPr>
        <sz val="10"/>
        <color theme="1"/>
        <rFont val="微软雅黑"/>
        <family val="2"/>
        <charset val="134"/>
      </rPr>
      <t>三边和不超</t>
    </r>
    <r>
      <rPr>
        <sz val="10"/>
        <color rgb="FFFF0000"/>
        <rFont val="微软雅黑"/>
        <family val="2"/>
        <charset val="134"/>
      </rPr>
      <t xml:space="preserve">310CM
</t>
    </r>
    <r>
      <rPr>
        <sz val="10"/>
        <rFont val="微软雅黑"/>
        <family val="2"/>
        <charset val="134"/>
      </rPr>
      <t>最长边不超</t>
    </r>
    <r>
      <rPr>
        <sz val="10"/>
        <color rgb="FFFF0000"/>
        <rFont val="微软雅黑"/>
        <family val="2"/>
        <charset val="134"/>
      </rPr>
      <t xml:space="preserve">150CM
</t>
    </r>
    <r>
      <rPr>
        <b/>
        <sz val="10"/>
        <color rgb="FFC00000"/>
        <rFont val="微软雅黑"/>
        <family val="2"/>
        <charset val="134"/>
      </rPr>
      <t>不计材积</t>
    </r>
  </si>
  <si>
    <r>
      <rPr>
        <sz val="10"/>
        <color rgb="FF7030A0"/>
        <rFont val="微软雅黑"/>
        <family val="2"/>
        <charset val="134"/>
      </rPr>
      <t>1：重量5kg-25kg
2：</t>
    </r>
    <r>
      <rPr>
        <b/>
        <sz val="10"/>
        <color rgb="FFC00000"/>
        <rFont val="微软雅黑"/>
        <family val="2"/>
        <charset val="134"/>
      </rPr>
      <t>货值:7001-250000卢布以内</t>
    </r>
    <r>
      <rPr>
        <sz val="10"/>
        <color rgb="FF7030A0"/>
        <rFont val="微软雅黑"/>
        <family val="2"/>
        <charset val="134"/>
      </rPr>
      <t xml:space="preserve">
3：丢件最大赔付250000卢布</t>
    </r>
  </si>
  <si>
    <t>65.5元 +0.033元/1克</t>
  </si>
  <si>
    <t>62元 +0.028元/1克</t>
  </si>
  <si>
    <t>65.5元 +0.028元/1克</t>
  </si>
  <si>
    <t>62元+0.023元/1克</t>
  </si>
  <si>
    <t>65.5元+0.023元/1克</t>
  </si>
  <si>
    <t>4.物流运费网址：https://docs.ozon.ru/global/zh/fulfillment/rfbs/logistic-settings/partner-delivery-ozon/?country=CN</t>
  </si>
  <si>
    <t>浙江省金华市义乌市后宅街道渠成街18号2号楼2楼 (南边靠近门卫室）CEL
联系人：CEL义乌仓 ；手机号码：18905895796
宁波市江北区长兴路158号8号楼s101 CEL宁波集货仓
联系人：吴浩鹏；手机号码：19817935310</t>
  </si>
  <si>
    <t>EUB-运费测算表</t>
  </si>
  <si>
    <t>温馨提示：E邮宝特惠LK开头，E邮宝空运LZ开头</t>
  </si>
  <si>
    <t>揽收点至莫斯科分拣中心时效(天)</t>
  </si>
  <si>
    <t>最大重量
(KG)</t>
  </si>
  <si>
    <t>电池运输</t>
  </si>
  <si>
    <t>渠道优势</t>
  </si>
  <si>
    <t>邮政E邮宝</t>
  </si>
  <si>
    <t>E邮宝特惠（俄罗斯）</t>
  </si>
  <si>
    <t>20-30</t>
  </si>
  <si>
    <t>23元/千克+11元/票</t>
  </si>
  <si>
    <t>5KG</t>
  </si>
  <si>
    <t>优惠详谈</t>
  </si>
  <si>
    <r>
      <rPr>
        <sz val="12"/>
        <color theme="1"/>
        <rFont val="等线"/>
        <family val="3"/>
        <charset val="134"/>
        <scheme val="minor"/>
      </rPr>
      <t>单边不超60CM，三边之和</t>
    </r>
    <r>
      <rPr>
        <sz val="12"/>
        <rFont val="等线"/>
        <family val="3"/>
        <charset val="134"/>
        <scheme val="minor"/>
      </rPr>
      <t>不超90CM</t>
    </r>
    <r>
      <rPr>
        <sz val="12"/>
        <color theme="1"/>
        <rFont val="等线"/>
        <family val="3"/>
        <charset val="134"/>
        <scheme val="minor"/>
      </rPr>
      <t xml:space="preserve">
</t>
    </r>
    <r>
      <rPr>
        <b/>
        <sz val="12"/>
        <color rgb="FF7030A0"/>
        <rFont val="等线"/>
        <family val="3"/>
        <charset val="134"/>
        <scheme val="minor"/>
      </rPr>
      <t>不算材积</t>
    </r>
  </si>
  <si>
    <t>允许</t>
  </si>
  <si>
    <r>
      <rPr>
        <sz val="12"/>
        <color rgb="FF7030A0"/>
        <rFont val="等线"/>
        <family val="3"/>
        <charset val="134"/>
        <scheme val="minor"/>
      </rPr>
      <t>适合重量5KG以内的商品，各类货值较低的商品，</t>
    </r>
    <r>
      <rPr>
        <sz val="12"/>
        <color rgb="FFFF0000"/>
        <rFont val="等线"/>
        <family val="3"/>
        <charset val="134"/>
        <scheme val="minor"/>
      </rPr>
      <t>敏感产品</t>
    </r>
  </si>
  <si>
    <r>
      <rPr>
        <sz val="12"/>
        <color theme="1"/>
        <rFont val="等线"/>
        <family val="3"/>
        <charset val="134"/>
        <scheme val="minor"/>
      </rPr>
      <t>E邮宝特惠</t>
    </r>
    <r>
      <rPr>
        <sz val="12"/>
        <color rgb="FFFF0000"/>
        <rFont val="等线"/>
        <family val="3"/>
        <charset val="134"/>
        <scheme val="minor"/>
      </rPr>
      <t>（哈萨克斯坦）</t>
    </r>
  </si>
  <si>
    <t>34元/千克+1.7元/票</t>
  </si>
  <si>
    <r>
      <rPr>
        <sz val="12"/>
        <color rgb="FF7030A0"/>
        <rFont val="等线"/>
        <family val="3"/>
        <charset val="134"/>
        <scheme val="minor"/>
      </rPr>
      <t>适合重量</t>
    </r>
    <r>
      <rPr>
        <sz val="12"/>
        <color rgb="FFFF0000"/>
        <rFont val="等线"/>
        <family val="3"/>
        <charset val="134"/>
        <scheme val="minor"/>
      </rPr>
      <t>5KG以内</t>
    </r>
    <r>
      <rPr>
        <sz val="12"/>
        <color rgb="FF7030A0"/>
        <rFont val="等线"/>
        <family val="3"/>
        <charset val="134"/>
        <scheme val="minor"/>
      </rPr>
      <t>的商品，各类货值较低的商品，</t>
    </r>
    <r>
      <rPr>
        <sz val="12"/>
        <color rgb="FFFF0000"/>
        <rFont val="等线"/>
        <family val="3"/>
        <charset val="134"/>
        <scheme val="minor"/>
      </rPr>
      <t>敏感产品</t>
    </r>
  </si>
  <si>
    <r>
      <rPr>
        <sz val="12"/>
        <color theme="1"/>
        <rFont val="等线"/>
        <family val="3"/>
        <charset val="134"/>
        <scheme val="minor"/>
      </rPr>
      <t>E邮宝航空</t>
    </r>
    <r>
      <rPr>
        <sz val="12"/>
        <color rgb="FFFF0000"/>
        <rFont val="等线"/>
        <family val="3"/>
        <charset val="134"/>
        <scheme val="minor"/>
      </rPr>
      <t>（哈萨克斯坦）</t>
    </r>
  </si>
  <si>
    <t>15-25</t>
  </si>
  <si>
    <t>46.75元/KG+1.7元/</t>
  </si>
  <si>
    <t>不允许</t>
  </si>
  <si>
    <r>
      <rPr>
        <sz val="12"/>
        <color rgb="FF7030A0"/>
        <rFont val="等线"/>
        <family val="3"/>
        <charset val="134"/>
        <scheme val="minor"/>
      </rPr>
      <t>航空件禁止带磁带电液体粉末（</t>
    </r>
    <r>
      <rPr>
        <sz val="12"/>
        <color rgb="FFFF0000"/>
        <rFont val="等线"/>
        <family val="3"/>
        <charset val="134"/>
        <scheme val="minor"/>
      </rPr>
      <t>5KG以内</t>
    </r>
    <r>
      <rPr>
        <sz val="12"/>
        <color rgb="FF7030A0"/>
        <rFont val="等线"/>
        <family val="3"/>
        <charset val="134"/>
        <scheme val="minor"/>
      </rPr>
      <t>）</t>
    </r>
  </si>
  <si>
    <r>
      <rPr>
        <sz val="12"/>
        <color rgb="FFFF0000"/>
        <rFont val="等线"/>
        <family val="3"/>
        <charset val="134"/>
        <scheme val="minor"/>
      </rPr>
      <t>白俄罗斯</t>
    </r>
    <r>
      <rPr>
        <sz val="12"/>
        <color theme="1"/>
        <rFont val="等线"/>
        <family val="3"/>
        <charset val="134"/>
        <scheme val="minor"/>
      </rPr>
      <t>水陆路</t>
    </r>
  </si>
  <si>
    <t>31.5元/千克+14.4元/票</t>
  </si>
  <si>
    <r>
      <rPr>
        <sz val="12"/>
        <color rgb="FF7030A0"/>
        <rFont val="等线"/>
        <family val="3"/>
        <charset val="134"/>
        <scheme val="minor"/>
      </rPr>
      <t>适合重量</t>
    </r>
    <r>
      <rPr>
        <sz val="12"/>
        <color rgb="FFFF0000"/>
        <rFont val="等线"/>
        <family val="3"/>
        <charset val="134"/>
        <scheme val="minor"/>
      </rPr>
      <t>2KG以内</t>
    </r>
    <r>
      <rPr>
        <sz val="12"/>
        <color rgb="FF7030A0"/>
        <rFont val="等线"/>
        <family val="3"/>
        <charset val="134"/>
        <scheme val="minor"/>
      </rPr>
      <t>的商品，各类货值较低的商品，</t>
    </r>
    <r>
      <rPr>
        <sz val="12"/>
        <color rgb="FFFF0000"/>
        <rFont val="等线"/>
        <family val="3"/>
        <charset val="134"/>
        <scheme val="minor"/>
      </rPr>
      <t>敏感产品</t>
    </r>
  </si>
  <si>
    <t>←填入成交价/卢布</t>
  </si>
  <si>
    <r>
      <rPr>
        <sz val="12"/>
        <color rgb="FFFF0000"/>
        <rFont val="等线"/>
        <family val="3"/>
        <charset val="134"/>
        <scheme val="minor"/>
      </rPr>
      <t>白俄罗斯</t>
    </r>
    <r>
      <rPr>
        <sz val="12"/>
        <color theme="1"/>
        <rFont val="等线"/>
        <family val="3"/>
        <charset val="134"/>
        <scheme val="minor"/>
      </rPr>
      <t>航空</t>
    </r>
  </si>
  <si>
    <t>暂停</t>
  </si>
  <si>
    <r>
      <rPr>
        <sz val="12"/>
        <color rgb="FF7030A0"/>
        <rFont val="等线"/>
        <family val="3"/>
        <charset val="134"/>
        <scheme val="minor"/>
      </rPr>
      <t>航空件禁止带磁带电液体粉末（</t>
    </r>
    <r>
      <rPr>
        <sz val="12"/>
        <color rgb="FFFF0000"/>
        <rFont val="等线"/>
        <family val="3"/>
        <charset val="134"/>
        <scheme val="minor"/>
      </rPr>
      <t>2KG以内</t>
    </r>
    <r>
      <rPr>
        <sz val="12"/>
        <color rgb="FF7030A0"/>
        <rFont val="等线"/>
        <family val="3"/>
        <charset val="134"/>
        <scheme val="minor"/>
      </rPr>
      <t>）</t>
    </r>
  </si>
  <si>
    <r>
      <rPr>
        <sz val="12"/>
        <color rgb="FFFF0000"/>
        <rFont val="等线"/>
        <family val="3"/>
        <charset val="134"/>
        <scheme val="minor"/>
      </rPr>
      <t>吉尔吉斯斯坦</t>
    </r>
    <r>
      <rPr>
        <sz val="12"/>
        <color theme="1"/>
        <rFont val="等线"/>
        <family val="3"/>
        <charset val="134"/>
        <scheme val="minor"/>
      </rPr>
      <t>航空</t>
    </r>
  </si>
  <si>
    <t>39.5元/千克+8元/票</t>
  </si>
  <si>
    <r>
      <rPr>
        <sz val="12"/>
        <color rgb="FFFF0000"/>
        <rFont val="等线"/>
        <family val="3"/>
        <charset val="134"/>
        <scheme val="minor"/>
      </rPr>
      <t>乌兹别克斯坦</t>
    </r>
    <r>
      <rPr>
        <sz val="12"/>
        <color theme="1"/>
        <rFont val="等线"/>
        <family val="3"/>
        <charset val="134"/>
        <scheme val="minor"/>
      </rPr>
      <t>航空</t>
    </r>
  </si>
  <si>
    <t>49元/千克+25元/票</t>
  </si>
  <si>
    <r>
      <rPr>
        <sz val="12"/>
        <color rgb="FFFF0000"/>
        <rFont val="等线"/>
        <family val="3"/>
        <charset val="134"/>
        <scheme val="minor"/>
      </rPr>
      <t>亚美尼亚</t>
    </r>
    <r>
      <rPr>
        <sz val="12"/>
        <color theme="1"/>
        <rFont val="等线"/>
        <family val="3"/>
        <charset val="134"/>
        <scheme val="minor"/>
      </rPr>
      <t>航空</t>
    </r>
  </si>
  <si>
    <t>71元/千克+25元/票</t>
  </si>
  <si>
    <r>
      <rPr>
        <sz val="12"/>
        <color rgb="FFFF0000"/>
        <rFont val="等线"/>
        <family val="3"/>
        <charset val="134"/>
        <scheme val="minor"/>
      </rPr>
      <t>阿塞拜疆</t>
    </r>
    <r>
      <rPr>
        <sz val="12"/>
        <color theme="1"/>
        <rFont val="等线"/>
        <family val="3"/>
        <charset val="134"/>
        <scheme val="minor"/>
      </rPr>
      <t>航空</t>
    </r>
  </si>
  <si>
    <t>52元/千克+25元/票</t>
  </si>
  <si>
    <r>
      <rPr>
        <sz val="12"/>
        <color theme="1"/>
        <rFont val="微软雅黑"/>
        <family val="2"/>
        <charset val="134"/>
      </rPr>
      <t xml:space="preserve">1：本表可用于测算运费，核算成本试用；  </t>
    </r>
    <r>
      <rPr>
        <sz val="11"/>
        <color theme="1"/>
        <rFont val="等线"/>
        <family val="3"/>
        <charset val="134"/>
        <scheme val="minor"/>
      </rPr>
      <t xml:space="preserve">                                  </t>
    </r>
    <r>
      <rPr>
        <b/>
        <sz val="14"/>
        <color rgb="FFC00000"/>
        <rFont val="微软雅黑"/>
        <family val="2"/>
        <charset val="134"/>
      </rPr>
      <t>自动出报价，不能发运的渠道不显示价格</t>
    </r>
    <r>
      <rPr>
        <sz val="11"/>
        <color theme="1"/>
        <rFont val="等线"/>
        <family val="3"/>
        <charset val="134"/>
        <scheme val="minor"/>
      </rPr>
      <t xml:space="preserve"> </t>
    </r>
  </si>
  <si>
    <t>2：请勿对表格数据改动；</t>
  </si>
  <si>
    <t>3：日常使用时，请按实际重量填写“商品重量/三边尺寸”和“商品货值”，表格自动生成对应物流报价；</t>
  </si>
  <si>
    <t>4：重量默认单位为千克 KG，尺寸默认单位为厘米 CM,  成交价是卢布；</t>
  </si>
  <si>
    <t>E包裹-运费测算表</t>
  </si>
  <si>
    <t>温馨提示：E包裹CX开头</t>
  </si>
  <si>
    <t>邮政</t>
  </si>
  <si>
    <t>E包裹-特惠</t>
  </si>
  <si>
    <t>52.5+30/kg</t>
  </si>
  <si>
    <t>0.5-31KG</t>
  </si>
  <si>
    <t>周长不能超过2米
首重500克52.5元  续500克15元</t>
  </si>
  <si>
    <r>
      <rPr>
        <sz val="12"/>
        <color rgb="FF7030A0"/>
        <rFont val="等线"/>
        <family val="3"/>
        <charset val="134"/>
        <scheme val="minor"/>
      </rPr>
      <t>适合重量31KG以内的商品，各类货值较低的商品，</t>
    </r>
    <r>
      <rPr>
        <sz val="12"/>
        <color rgb="FFFF0000"/>
        <rFont val="等线"/>
        <family val="3"/>
        <charset val="134"/>
        <scheme val="minor"/>
      </rPr>
      <t>敏感产品</t>
    </r>
  </si>
  <si>
    <r>
      <rPr>
        <b/>
        <sz val="24"/>
        <rFont val="微软雅黑"/>
        <family val="2"/>
        <charset val="134"/>
      </rPr>
      <t>WB</t>
    </r>
    <r>
      <rPr>
        <b/>
        <sz val="24"/>
        <color rgb="FFFF0000"/>
        <rFont val="微软雅黑"/>
        <family val="2"/>
        <charset val="134"/>
      </rPr>
      <t>(CEL)</t>
    </r>
    <r>
      <rPr>
        <b/>
        <sz val="24"/>
        <rFont val="微软雅黑"/>
        <family val="2"/>
        <charset val="134"/>
      </rPr>
      <t xml:space="preserve"> 122义乌仓 价格测算表</t>
    </r>
  </si>
  <si>
    <t>WB 官方指定物流服务商</t>
  </si>
  <si>
    <t>产品类别</t>
  </si>
  <si>
    <t>仓库
编号</t>
  </si>
  <si>
    <t>到取货点/
到门</t>
  </si>
  <si>
    <t>订单备货时间(天)</t>
  </si>
  <si>
    <t>重量区间限制
(公斤)</t>
  </si>
  <si>
    <t>尺寸限制</t>
  </si>
  <si>
    <t>电池
运输</t>
  </si>
  <si>
    <t>经济陆运</t>
  </si>
  <si>
    <t>5以下</t>
  </si>
  <si>
    <t>20天</t>
  </si>
  <si>
    <t>38元/千克+11元/票</t>
  </si>
  <si>
    <t>20KG</t>
  </si>
  <si>
    <t>三边之和不超过 200 厘米，
单边不超过 115 厘米</t>
  </si>
  <si>
    <t>带电商品容量不能超过 100 Wh</t>
  </si>
  <si>
    <t>收货地址：义乌市后宅街道渠成街18号2号楼2号楼2楼  (南边靠近门卫室）                                            
 收货地址：宁波市长兴路158号驿淘产业园8号楼s101
工作时间:周一至周日 上午9:00至下午21:00</t>
  </si>
  <si>
    <r>
      <rPr>
        <b/>
        <sz val="24"/>
        <rFont val="微软雅黑"/>
        <family val="2"/>
        <charset val="134"/>
      </rPr>
      <t>Yandex</t>
    </r>
    <r>
      <rPr>
        <b/>
        <sz val="24"/>
        <color rgb="FFFF0000"/>
        <rFont val="微软雅黑"/>
        <family val="2"/>
        <charset val="134"/>
      </rPr>
      <t>(CEL)</t>
    </r>
    <r>
      <rPr>
        <b/>
        <sz val="24"/>
        <rFont val="微软雅黑"/>
        <family val="2"/>
        <charset val="134"/>
      </rPr>
      <t xml:space="preserve"> 122义乌仓 价格测算表</t>
    </r>
  </si>
  <si>
    <t>Yandex官方指定物流服务商</t>
  </si>
  <si>
    <t>服务等级</t>
  </si>
  <si>
    <t>价格测算
（卢布）</t>
  </si>
  <si>
    <t>陆空联运</t>
  </si>
  <si>
    <t>China Express</t>
  </si>
  <si>
    <t>15天</t>
  </si>
  <si>
    <t>749（RUB）/千克+179（RUB）/票</t>
  </si>
  <si>
    <t>25KG</t>
  </si>
  <si>
    <t>三边之和不超90CM 单边不能超60</t>
  </si>
  <si>
    <t>物流轨迹查询：https://www.17track.net/zh-cn</t>
  </si>
  <si>
    <t>GUOO-运费测算表</t>
  </si>
  <si>
    <r>
      <rPr>
        <b/>
        <sz val="11"/>
        <color theme="1"/>
        <rFont val="微软雅黑"/>
        <family val="2"/>
        <charset val="134"/>
      </rPr>
      <t>GUOO
Extra  Small
（</t>
    </r>
    <r>
      <rPr>
        <b/>
        <sz val="11"/>
        <color rgb="FFC00000"/>
        <rFont val="微软雅黑"/>
        <family val="2"/>
        <charset val="134"/>
      </rPr>
      <t>超级轻小件</t>
    </r>
    <r>
      <rPr>
        <b/>
        <sz val="11"/>
        <color theme="1"/>
        <rFont val="微软雅黑"/>
        <family val="2"/>
        <charset val="134"/>
      </rPr>
      <t>）</t>
    </r>
  </si>
  <si>
    <t>45元/KG+3/票</t>
  </si>
  <si>
    <r>
      <rPr>
        <sz val="10"/>
        <color rgb="FFFF0000"/>
        <rFont val="微软雅黑"/>
        <family val="2"/>
        <charset val="134"/>
      </rPr>
      <t>电池不允许</t>
    </r>
    <r>
      <rPr>
        <sz val="10"/>
        <color theme="1"/>
        <rFont val="微软雅黑"/>
        <family val="2"/>
        <charset val="134"/>
      </rPr>
      <t xml:space="preserve">
只接普货（不接带电、带磁、液体、粉末、刀具、仿牌等产品）</t>
    </r>
  </si>
  <si>
    <r>
      <rPr>
        <sz val="10"/>
        <color rgb="FF7030A0"/>
        <rFont val="微软雅黑"/>
        <family val="2"/>
        <charset val="134"/>
      </rPr>
      <t>1：重量0.5KG内
2：</t>
    </r>
    <r>
      <rPr>
        <b/>
        <sz val="10"/>
        <color rgb="FFC00000"/>
        <rFont val="微软雅黑"/>
        <family val="2"/>
        <charset val="134"/>
      </rPr>
      <t>货值 1500卢布以内</t>
    </r>
    <r>
      <rPr>
        <sz val="10"/>
        <color rgb="FF7030A0"/>
        <rFont val="微软雅黑"/>
        <family val="2"/>
        <charset val="134"/>
      </rPr>
      <t xml:space="preserve">
3：丢件最大赔付1700卢布</t>
    </r>
  </si>
  <si>
    <t>35元/KG+3/票</t>
  </si>
  <si>
    <r>
      <rPr>
        <sz val="10"/>
        <color rgb="FFFF0000"/>
        <rFont val="微软雅黑"/>
        <family val="2"/>
        <charset val="134"/>
      </rPr>
      <t>不可运输纯电池，可以运输内部装有电池的物品</t>
    </r>
    <r>
      <rPr>
        <sz val="10"/>
        <color theme="1"/>
        <rFont val="微软雅黑"/>
        <family val="2"/>
        <charset val="134"/>
      </rPr>
      <t xml:space="preserve">
无需提供材料安全性数据表MSDS，最大功率为160瓦特一小时</t>
    </r>
  </si>
  <si>
    <t>24元/KG+2.8/票</t>
  </si>
  <si>
    <r>
      <rPr>
        <sz val="10"/>
        <color rgb="FFFF0000"/>
        <rFont val="微软雅黑"/>
        <family val="2"/>
        <charset val="134"/>
      </rPr>
      <t>可以运输内部装有电池的物品</t>
    </r>
    <r>
      <rPr>
        <sz val="10"/>
        <color theme="1"/>
        <rFont val="微软雅黑"/>
        <family val="2"/>
        <charset val="134"/>
      </rPr>
      <t xml:space="preserve">
无需提供材料安全性数据表MSDS</t>
    </r>
  </si>
  <si>
    <r>
      <rPr>
        <b/>
        <sz val="11"/>
        <color theme="1"/>
        <rFont val="微软雅黑"/>
        <family val="2"/>
        <charset val="134"/>
      </rPr>
      <t>GUOO
Budget
（</t>
    </r>
    <r>
      <rPr>
        <b/>
        <sz val="11"/>
        <color rgb="FFC00000"/>
        <rFont val="微软雅黑"/>
        <family val="2"/>
        <charset val="134"/>
      </rPr>
      <t>低客单标准件</t>
    </r>
    <r>
      <rPr>
        <b/>
        <sz val="11"/>
        <color theme="1"/>
        <rFont val="微软雅黑"/>
        <family val="2"/>
        <charset val="134"/>
      </rPr>
      <t>）</t>
    </r>
  </si>
  <si>
    <t>17元/KG+23/票</t>
  </si>
  <si>
    <r>
      <rPr>
        <b/>
        <sz val="11"/>
        <color theme="1"/>
        <rFont val="微软雅黑"/>
        <family val="2"/>
        <charset val="134"/>
      </rPr>
      <t>GUOO
Small
（</t>
    </r>
    <r>
      <rPr>
        <b/>
        <sz val="11"/>
        <color rgb="FFC00000"/>
        <rFont val="微软雅黑"/>
        <family val="2"/>
        <charset val="134"/>
      </rPr>
      <t>轻小件</t>
    </r>
    <r>
      <rPr>
        <b/>
        <sz val="11"/>
        <color theme="1"/>
        <rFont val="微软雅黑"/>
        <family val="2"/>
        <charset val="134"/>
      </rPr>
      <t>）</t>
    </r>
  </si>
  <si>
    <t>0.045元/克+16/票</t>
  </si>
  <si>
    <r>
      <rPr>
        <sz val="10"/>
        <color rgb="FF7030A0"/>
        <rFont val="微软雅黑"/>
        <family val="2"/>
        <charset val="134"/>
      </rPr>
      <t>1：:重量2KG内
2：</t>
    </r>
    <r>
      <rPr>
        <b/>
        <sz val="10"/>
        <color rgb="FFC00000"/>
        <rFont val="微软雅黑"/>
        <family val="2"/>
        <charset val="134"/>
      </rPr>
      <t>货值:1501-7700卢布以内</t>
    </r>
    <r>
      <rPr>
        <sz val="10"/>
        <color rgb="FF7030A0"/>
        <rFont val="微软雅黑"/>
        <family val="2"/>
        <charset val="134"/>
      </rPr>
      <t xml:space="preserve">
3：丢件最大赔付7000卢布</t>
    </r>
  </si>
  <si>
    <t>0.045元/克+19.5/票</t>
  </si>
  <si>
    <t>0.035元/克+16/票</t>
  </si>
  <si>
    <t>0.035元/克+19.5/票</t>
  </si>
  <si>
    <t>0.025元/克+16/票</t>
  </si>
  <si>
    <t>0.025元/克+19.5/票</t>
  </si>
  <si>
    <r>
      <rPr>
        <b/>
        <sz val="11"/>
        <color theme="1"/>
        <rFont val="微软雅黑"/>
        <family val="2"/>
        <charset val="134"/>
      </rPr>
      <t>GUOO
Big
（</t>
    </r>
    <r>
      <rPr>
        <b/>
        <sz val="11"/>
        <color rgb="FFC00000"/>
        <rFont val="微软雅黑"/>
        <family val="2"/>
        <charset val="134"/>
      </rPr>
      <t>大件</t>
    </r>
    <r>
      <rPr>
        <b/>
        <sz val="11"/>
        <color theme="1"/>
        <rFont val="微软雅黑"/>
        <family val="2"/>
        <charset val="134"/>
      </rPr>
      <t>）</t>
    </r>
  </si>
  <si>
    <t>17/KG+36票</t>
  </si>
  <si>
    <r>
      <rPr>
        <sz val="10"/>
        <color theme="1"/>
        <rFont val="微软雅黑"/>
        <family val="2"/>
        <charset val="134"/>
      </rPr>
      <t>可以运输内部装有电池的物品</t>
    </r>
    <r>
      <rPr>
        <sz val="10"/>
        <color theme="1"/>
        <rFont val="微软雅黑"/>
        <family val="2"/>
        <charset val="134"/>
      </rPr>
      <t xml:space="preserve">
无需提供材料安全性数据表MSDS</t>
    </r>
  </si>
  <si>
    <r>
      <rPr>
        <sz val="10"/>
        <color rgb="FF7030A0"/>
        <rFont val="微软雅黑"/>
        <family val="2"/>
        <charset val="134"/>
      </rPr>
      <t>1：重量2KG-25KG，
2：</t>
    </r>
    <r>
      <rPr>
        <b/>
        <sz val="10"/>
        <color rgb="FFC00000"/>
        <rFont val="微软雅黑"/>
        <family val="2"/>
        <charset val="134"/>
      </rPr>
      <t>货值1501-7700卢布以内</t>
    </r>
    <r>
      <rPr>
        <sz val="10"/>
        <color rgb="FF7030A0"/>
        <rFont val="微软雅黑"/>
        <family val="2"/>
        <charset val="134"/>
      </rPr>
      <t xml:space="preserve">
3：丢件最大赔付7000卢布</t>
    </r>
  </si>
  <si>
    <t>17/KG+39.5票</t>
  </si>
  <si>
    <r>
      <rPr>
        <b/>
        <sz val="11"/>
        <color theme="1"/>
        <rFont val="微软雅黑"/>
        <family val="2"/>
        <charset val="134"/>
      </rPr>
      <t>GUOO
Premium  Small
（</t>
    </r>
    <r>
      <rPr>
        <b/>
        <sz val="11"/>
        <color rgb="FFC00000"/>
        <rFont val="微软雅黑"/>
        <family val="2"/>
        <charset val="134"/>
      </rPr>
      <t>高客单轻小件</t>
    </r>
    <r>
      <rPr>
        <b/>
        <sz val="11"/>
        <color theme="1"/>
        <rFont val="微软雅黑"/>
        <family val="2"/>
        <charset val="134"/>
      </rPr>
      <t>）</t>
    </r>
  </si>
  <si>
    <t>45/KG+22票</t>
  </si>
  <si>
    <t>45/KG+25.5票</t>
  </si>
  <si>
    <t>25/KG+22票</t>
  </si>
  <si>
    <t>25/KG+25.5票</t>
  </si>
  <si>
    <r>
      <rPr>
        <b/>
        <sz val="11"/>
        <color theme="1"/>
        <rFont val="微软雅黑"/>
        <family val="2"/>
        <charset val="134"/>
      </rPr>
      <t>GUOO
Premium  Big
（</t>
    </r>
    <r>
      <rPr>
        <b/>
        <sz val="11"/>
        <color rgb="FFC00000"/>
        <rFont val="微软雅黑"/>
        <family val="2"/>
        <charset val="134"/>
      </rPr>
      <t>高客单大件</t>
    </r>
    <r>
      <rPr>
        <b/>
        <sz val="11"/>
        <color theme="1"/>
        <rFont val="微软雅黑"/>
        <family val="2"/>
        <charset val="134"/>
      </rPr>
      <t>）</t>
    </r>
  </si>
  <si>
    <t>23/KG+62票</t>
  </si>
  <si>
    <t>三边和不超310CM
最长边不超150CM
不计材积</t>
  </si>
  <si>
    <t>23/KG+65.5票</t>
  </si>
  <si>
    <t>宁波市江北区长兴路158号8号楼s101 CEL宁波集货仓
联系人：吴浩鹏；手机号码：19817935310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</si>
</sst>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_ "/>
    <numFmt numFmtId="178" formatCode="0.00_);[Red]\(0.00\)"/>
    <numFmt numFmtId="179" formatCode="yyyy/m/d;@"/>
  </numFmts>
  <fonts count="72" x14ac:knownFonts="1">
    <font>
      <sz val="11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0"/>
      <name val="微软雅黑"/>
      <family val="2"/>
      <charset val="134"/>
    </font>
    <font>
      <b/>
      <sz val="16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rgb="FFFFFF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7030A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2"/>
      <color rgb="FF00206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b/>
      <sz val="24"/>
      <name val="微软雅黑"/>
      <family val="2"/>
      <charset val="134"/>
    </font>
    <font>
      <b/>
      <sz val="20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8"/>
      <color rgb="FFFF0000"/>
      <name val="等线"/>
      <family val="3"/>
      <charset val="134"/>
      <scheme val="minor"/>
    </font>
    <font>
      <sz val="12"/>
      <color rgb="FF7030A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4"/>
      <color rgb="FFFFFFFF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b/>
      <sz val="36"/>
      <color rgb="FF000000"/>
      <name val="微软雅黑"/>
      <family val="2"/>
      <charset val="134"/>
    </font>
    <font>
      <b/>
      <sz val="24"/>
      <color rgb="FFFF0000"/>
      <name val="微软雅黑"/>
      <family val="2"/>
      <charset val="134"/>
    </font>
    <font>
      <b/>
      <sz val="26"/>
      <color rgb="FF000000"/>
      <name val="微软雅黑"/>
      <family val="2"/>
      <charset val="134"/>
    </font>
    <font>
      <b/>
      <sz val="20"/>
      <name val="微软雅黑"/>
      <family val="2"/>
      <charset val="134"/>
    </font>
    <font>
      <sz val="16"/>
      <color rgb="FF000000"/>
      <name val="微软雅黑"/>
      <family val="2"/>
      <charset val="134"/>
    </font>
    <font>
      <sz val="20"/>
      <color rgb="FF0070C0"/>
      <name val="微软雅黑"/>
      <family val="2"/>
      <charset val="134"/>
    </font>
    <font>
      <b/>
      <u/>
      <sz val="14"/>
      <color rgb="FFFF0000"/>
      <name val="微软雅黑"/>
      <family val="2"/>
      <charset val="134"/>
    </font>
    <font>
      <sz val="2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20"/>
      <name val="微软雅黑"/>
      <family val="2"/>
      <charset val="134"/>
    </font>
    <font>
      <b/>
      <sz val="36"/>
      <color rgb="FFFF0000"/>
      <name val="微软雅黑"/>
      <family val="2"/>
      <charset val="134"/>
    </font>
    <font>
      <b/>
      <u/>
      <sz val="12"/>
      <color rgb="FF094FE9"/>
      <name val="等线"/>
      <family val="3"/>
      <charset val="134"/>
      <scheme val="minor"/>
    </font>
    <font>
      <b/>
      <u/>
      <sz val="36"/>
      <color rgb="FFFF0000"/>
      <name val="微软雅黑"/>
      <family val="2"/>
      <charset val="134"/>
    </font>
    <font>
      <b/>
      <sz val="20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9"/>
      <color rgb="FF000000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C0000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22"/>
      <color rgb="FFFF000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name val="微软雅黑"/>
      <family val="2"/>
      <charset val="134"/>
    </font>
    <font>
      <sz val="12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sz val="10"/>
      <color rgb="FFC0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094FE9"/>
      <name val="微软雅黑"/>
      <family val="2"/>
      <charset val="134"/>
    </font>
    <font>
      <b/>
      <sz val="12"/>
      <color rgb="FFFF0000"/>
      <name val="宋体"/>
      <family val="3"/>
      <charset val="134"/>
    </font>
    <font>
      <b/>
      <sz val="10"/>
      <color rgb="FFFF0000"/>
      <name val="等线"/>
      <family val="3"/>
      <charset val="134"/>
      <scheme val="minor"/>
    </font>
    <font>
      <b/>
      <sz val="16"/>
      <color rgb="FFC00000"/>
      <name val="微软雅黑"/>
      <family val="2"/>
      <charset val="134"/>
    </font>
    <font>
      <b/>
      <sz val="16"/>
      <color rgb="FF7030A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94FD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rgb="FF094F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73754081850645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70" fillId="0" borderId="0">
      <alignment vertical="center"/>
    </xf>
  </cellStyleXfs>
  <cellXfs count="3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11" xfId="0" applyFont="1" applyBorder="1">
      <alignment vertical="center"/>
    </xf>
    <xf numFmtId="0" fontId="7" fillId="4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17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7" fillId="0" borderId="24" xfId="0" applyFont="1" applyBorder="1" applyAlignment="1">
      <alignment horizontal="left" vertical="center"/>
    </xf>
    <xf numFmtId="0" fontId="0" fillId="0" borderId="24" xfId="0" applyBorder="1">
      <alignment vertical="center"/>
    </xf>
    <xf numFmtId="0" fontId="3" fillId="8" borderId="29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  <protection locked="0"/>
    </xf>
    <xf numFmtId="0" fontId="20" fillId="8" borderId="33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shrinkToFit="1"/>
    </xf>
    <xf numFmtId="0" fontId="0" fillId="0" borderId="6" xfId="0" applyBorder="1" applyProtection="1">
      <alignment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70" fillId="0" borderId="0" xfId="2">
      <alignment vertical="center"/>
    </xf>
    <xf numFmtId="0" fontId="22" fillId="4" borderId="35" xfId="2" applyFont="1" applyFill="1" applyBorder="1" applyAlignment="1">
      <alignment horizontal="center" vertical="center" wrapText="1"/>
    </xf>
    <xf numFmtId="0" fontId="22" fillId="4" borderId="36" xfId="2" applyFont="1" applyFill="1" applyBorder="1" applyAlignment="1">
      <alignment horizontal="center" vertical="center" wrapText="1"/>
    </xf>
    <xf numFmtId="0" fontId="22" fillId="4" borderId="19" xfId="2" applyFont="1" applyFill="1" applyBorder="1" applyAlignment="1">
      <alignment horizontal="center" vertical="center" wrapText="1"/>
    </xf>
    <xf numFmtId="0" fontId="25" fillId="0" borderId="0" xfId="2" applyFont="1">
      <alignment vertical="center"/>
    </xf>
    <xf numFmtId="0" fontId="22" fillId="4" borderId="41" xfId="2" applyFont="1" applyFill="1" applyBorder="1" applyAlignment="1">
      <alignment horizontal="center" vertical="center" wrapText="1"/>
    </xf>
    <xf numFmtId="0" fontId="22" fillId="4" borderId="42" xfId="2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70" fillId="0" borderId="6" xfId="2" applyBorder="1" applyAlignment="1" applyProtection="1">
      <alignment horizontal="center" vertical="center"/>
      <protection locked="0"/>
    </xf>
    <xf numFmtId="0" fontId="70" fillId="0" borderId="43" xfId="2" applyBorder="1" applyAlignment="1" applyProtection="1">
      <alignment horizontal="center" vertical="center"/>
      <protection locked="0"/>
    </xf>
    <xf numFmtId="0" fontId="27" fillId="0" borderId="0" xfId="2" applyFont="1">
      <alignment vertical="center"/>
    </xf>
    <xf numFmtId="0" fontId="22" fillId="4" borderId="9" xfId="2" applyFont="1" applyFill="1" applyBorder="1" applyAlignment="1" applyProtection="1">
      <alignment horizontal="center" vertical="center" wrapText="1"/>
      <protection hidden="1"/>
    </xf>
    <xf numFmtId="0" fontId="22" fillId="4" borderId="49" xfId="2" applyFont="1" applyFill="1" applyBorder="1" applyAlignment="1" applyProtection="1">
      <alignment horizontal="center" vertical="center" wrapText="1"/>
      <protection hidden="1"/>
    </xf>
    <xf numFmtId="0" fontId="22" fillId="4" borderId="19" xfId="2" applyFont="1" applyFill="1" applyBorder="1" applyAlignment="1" applyProtection="1">
      <alignment horizontal="center" vertical="center" wrapText="1"/>
      <protection hidden="1"/>
    </xf>
    <xf numFmtId="0" fontId="22" fillId="4" borderId="10" xfId="2" applyFont="1" applyFill="1" applyBorder="1" applyAlignment="1" applyProtection="1">
      <alignment horizontal="center" vertical="center" wrapText="1"/>
      <protection hidden="1"/>
    </xf>
    <xf numFmtId="0" fontId="1" fillId="0" borderId="43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49" fontId="1" fillId="0" borderId="44" xfId="2" applyNumberFormat="1" applyFont="1" applyBorder="1" applyAlignment="1" applyProtection="1">
      <alignment horizontal="center" vertical="center"/>
      <protection hidden="1"/>
    </xf>
    <xf numFmtId="0" fontId="1" fillId="0" borderId="50" xfId="2" applyFont="1" applyBorder="1" applyAlignment="1" applyProtection="1">
      <alignment horizontal="center" vertical="center"/>
      <protection hidden="1"/>
    </xf>
    <xf numFmtId="49" fontId="1" fillId="0" borderId="51" xfId="2" applyNumberFormat="1" applyFont="1" applyBorder="1" applyAlignment="1" applyProtection="1">
      <alignment horizontal="center" vertical="center"/>
      <protection hidden="1"/>
    </xf>
    <xf numFmtId="0" fontId="4" fillId="0" borderId="22" xfId="2" applyFont="1" applyBorder="1" applyAlignment="1" applyProtection="1">
      <alignment horizontal="center" vertical="center"/>
      <protection hidden="1"/>
    </xf>
    <xf numFmtId="0" fontId="70" fillId="0" borderId="52" xfId="2" applyBorder="1">
      <alignment vertical="center"/>
    </xf>
    <xf numFmtId="0" fontId="28" fillId="0" borderId="54" xfId="2" applyFont="1" applyBorder="1" applyAlignment="1" applyProtection="1">
      <alignment horizontal="center" vertical="center"/>
      <protection hidden="1"/>
    </xf>
    <xf numFmtId="0" fontId="70" fillId="0" borderId="11" xfId="2" applyBorder="1">
      <alignment vertical="center"/>
    </xf>
    <xf numFmtId="0" fontId="70" fillId="0" borderId="12" xfId="2" applyBorder="1">
      <alignment vertical="center"/>
    </xf>
    <xf numFmtId="0" fontId="22" fillId="4" borderId="58" xfId="2" applyFont="1" applyFill="1" applyBorder="1" applyAlignment="1" applyProtection="1">
      <alignment horizontal="center" vertical="center" wrapText="1"/>
      <protection hidden="1"/>
    </xf>
    <xf numFmtId="0" fontId="22" fillId="4" borderId="23" xfId="2" applyFont="1" applyFill="1" applyBorder="1" applyAlignment="1" applyProtection="1">
      <alignment horizontal="center" vertical="center" wrapText="1"/>
      <protection hidden="1"/>
    </xf>
    <xf numFmtId="0" fontId="1" fillId="0" borderId="44" xfId="2" applyFont="1" applyBorder="1" applyAlignment="1" applyProtection="1">
      <alignment horizontal="center" vertical="center"/>
      <protection hidden="1"/>
    </xf>
    <xf numFmtId="0" fontId="26" fillId="0" borderId="6" xfId="2" applyFont="1" applyBorder="1" applyAlignment="1" applyProtection="1">
      <alignment horizontal="center" vertical="center" wrapText="1"/>
      <protection hidden="1"/>
    </xf>
    <xf numFmtId="0" fontId="1" fillId="0" borderId="16" xfId="2" applyFont="1" applyBorder="1" applyAlignment="1" applyProtection="1">
      <alignment horizontal="center" vertical="center"/>
      <protection hidden="1"/>
    </xf>
    <xf numFmtId="0" fontId="1" fillId="0" borderId="51" xfId="2" applyFont="1" applyBorder="1" applyAlignment="1" applyProtection="1">
      <alignment horizontal="center" vertical="center"/>
      <protection hidden="1"/>
    </xf>
    <xf numFmtId="0" fontId="26" fillId="0" borderId="22" xfId="2" applyFont="1" applyBorder="1" applyAlignment="1" applyProtection="1">
      <alignment horizontal="center" vertical="center" wrapText="1"/>
      <protection hidden="1"/>
    </xf>
    <xf numFmtId="0" fontId="1" fillId="0" borderId="26" xfId="2" applyFont="1" applyBorder="1" applyAlignment="1" applyProtection="1">
      <alignment horizontal="center" vertical="center"/>
      <protection hidden="1"/>
    </xf>
    <xf numFmtId="0" fontId="29" fillId="0" borderId="26" xfId="2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>
      <alignment vertical="center" wrapText="1"/>
    </xf>
    <xf numFmtId="0" fontId="1" fillId="0" borderId="0" xfId="2" applyFont="1">
      <alignment vertical="center"/>
    </xf>
    <xf numFmtId="0" fontId="70" fillId="0" borderId="0" xfId="2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0" borderId="0" xfId="2" applyFont="1">
      <alignment vertical="center"/>
    </xf>
    <xf numFmtId="0" fontId="4" fillId="0" borderId="0" xfId="2" applyFont="1">
      <alignment vertical="center"/>
    </xf>
    <xf numFmtId="0" fontId="7" fillId="10" borderId="5" xfId="2" applyFont="1" applyFill="1" applyBorder="1" applyAlignment="1">
      <alignment horizontal="center" vertical="center" wrapText="1"/>
    </xf>
    <xf numFmtId="0" fontId="7" fillId="10" borderId="6" xfId="2" applyFont="1" applyFill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1" xfId="2" applyFont="1" applyBorder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9" fillId="0" borderId="11" xfId="2" applyFont="1" applyBorder="1">
      <alignment vertical="center"/>
    </xf>
    <xf numFmtId="0" fontId="32" fillId="10" borderId="43" xfId="2" applyFont="1" applyFill="1" applyBorder="1" applyAlignment="1">
      <alignment horizontal="center" vertical="center" wrapText="1"/>
    </xf>
    <xf numFmtId="0" fontId="7" fillId="10" borderId="43" xfId="2" applyFont="1" applyFill="1" applyBorder="1" applyAlignment="1">
      <alignment horizontal="center" vertical="center" wrapText="1"/>
    </xf>
    <xf numFmtId="176" fontId="33" fillId="0" borderId="43" xfId="2" applyNumberFormat="1" applyFont="1" applyBorder="1" applyAlignment="1">
      <alignment horizontal="center" vertical="center" wrapText="1"/>
    </xf>
    <xf numFmtId="176" fontId="7" fillId="0" borderId="43" xfId="2" applyNumberFormat="1" applyFont="1" applyBorder="1" applyAlignment="1">
      <alignment horizontal="center" vertical="center" wrapText="1"/>
    </xf>
    <xf numFmtId="177" fontId="7" fillId="0" borderId="43" xfId="2" applyNumberFormat="1" applyFont="1" applyBorder="1" applyAlignment="1">
      <alignment horizontal="center" vertical="center" wrapText="1"/>
    </xf>
    <xf numFmtId="0" fontId="32" fillId="10" borderId="16" xfId="2" applyFont="1" applyFill="1" applyBorder="1" applyAlignment="1">
      <alignment horizontal="center" vertical="center" wrapText="1"/>
    </xf>
    <xf numFmtId="0" fontId="4" fillId="0" borderId="17" xfId="2" applyFont="1" applyBorder="1" applyAlignment="1" applyProtection="1">
      <alignment horizontal="center" vertical="center"/>
      <protection locked="0"/>
    </xf>
    <xf numFmtId="177" fontId="8" fillId="0" borderId="16" xfId="2" applyNumberFormat="1" applyFont="1" applyBorder="1" applyAlignment="1">
      <alignment horizontal="center" vertical="center"/>
    </xf>
    <xf numFmtId="0" fontId="4" fillId="0" borderId="3" xfId="2" applyFont="1" applyBorder="1" applyAlignment="1" applyProtection="1">
      <alignment horizontal="center" vertical="center"/>
      <protection locked="0"/>
    </xf>
    <xf numFmtId="178" fontId="4" fillId="0" borderId="59" xfId="2" applyNumberFormat="1" applyFont="1" applyBorder="1" applyAlignment="1">
      <alignment horizontal="center" vertical="center"/>
    </xf>
    <xf numFmtId="0" fontId="4" fillId="0" borderId="21" xfId="2" applyFont="1" applyBorder="1" applyAlignment="1" applyProtection="1">
      <alignment horizontal="center" vertical="center"/>
      <protection locked="0"/>
    </xf>
    <xf numFmtId="0" fontId="16" fillId="0" borderId="0" xfId="2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24" xfId="2" applyFont="1" applyBorder="1" applyAlignment="1">
      <alignment horizontal="left" vertical="center"/>
    </xf>
    <xf numFmtId="0" fontId="70" fillId="0" borderId="24" xfId="2" applyBorder="1">
      <alignment vertical="center"/>
    </xf>
    <xf numFmtId="0" fontId="35" fillId="0" borderId="0" xfId="0" applyFont="1" applyAlignment="1" applyProtection="1">
      <alignment horizontal="left" vertical="top"/>
      <protection hidden="1"/>
    </xf>
    <xf numFmtId="0" fontId="35" fillId="0" borderId="0" xfId="0" applyFont="1" applyProtection="1">
      <alignment vertical="center"/>
      <protection hidden="1"/>
    </xf>
    <xf numFmtId="0" fontId="36" fillId="0" borderId="0" xfId="0" applyFont="1" applyAlignment="1" applyProtection="1">
      <alignment horizontal="left" vertical="top"/>
      <protection hidden="1"/>
    </xf>
    <xf numFmtId="0" fontId="35" fillId="0" borderId="0" xfId="0" applyFont="1" applyAlignment="1" applyProtection="1">
      <alignment horizontal="left" vertical="center"/>
      <protection hidden="1"/>
    </xf>
    <xf numFmtId="0" fontId="37" fillId="0" borderId="0" xfId="0" applyFont="1" applyAlignment="1" applyProtection="1">
      <alignment horizontal="left" vertical="center"/>
      <protection hidden="1"/>
    </xf>
    <xf numFmtId="179" fontId="38" fillId="0" borderId="0" xfId="0" applyNumberFormat="1" applyFont="1" applyAlignment="1" applyProtection="1">
      <alignment vertical="center" shrinkToFit="1"/>
      <protection hidden="1"/>
    </xf>
    <xf numFmtId="0" fontId="40" fillId="0" borderId="60" xfId="0" applyFont="1" applyBorder="1" applyAlignment="1" applyProtection="1">
      <alignment horizontal="center" vertical="center" wrapText="1"/>
      <protection hidden="1"/>
    </xf>
    <xf numFmtId="0" fontId="40" fillId="0" borderId="61" xfId="0" applyFont="1" applyBorder="1" applyAlignment="1" applyProtection="1">
      <alignment horizontal="center" vertical="center" wrapText="1"/>
      <protection hidden="1"/>
    </xf>
    <xf numFmtId="0" fontId="40" fillId="0" borderId="64" xfId="0" applyFont="1" applyBorder="1" applyAlignment="1" applyProtection="1">
      <alignment horizontal="center" vertical="center" wrapText="1"/>
      <protection hidden="1"/>
    </xf>
    <xf numFmtId="0" fontId="41" fillId="0" borderId="9" xfId="0" applyFont="1" applyBorder="1" applyAlignment="1" applyProtection="1">
      <alignment horizontal="center"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179" fontId="6" fillId="0" borderId="10" xfId="0" applyNumberFormat="1" applyFont="1" applyBorder="1" applyAlignment="1" applyProtection="1">
      <alignment horizontal="center" vertical="center" shrinkToFit="1"/>
      <protection hidden="1"/>
    </xf>
    <xf numFmtId="0" fontId="42" fillId="0" borderId="10" xfId="0" applyFont="1" applyBorder="1" applyAlignment="1" applyProtection="1">
      <alignment horizontal="center" vertical="center"/>
      <protection hidden="1"/>
    </xf>
    <xf numFmtId="0" fontId="43" fillId="0" borderId="58" xfId="1" applyFont="1" applyFill="1" applyBorder="1" applyAlignment="1" applyProtection="1">
      <alignment horizontal="center" vertical="center"/>
      <protection locked="0"/>
    </xf>
    <xf numFmtId="0" fontId="6" fillId="0" borderId="65" xfId="0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44" fillId="0" borderId="10" xfId="0" applyFont="1" applyBorder="1" applyAlignment="1" applyProtection="1">
      <alignment horizontal="center" vertical="center"/>
      <protection hidden="1"/>
    </xf>
    <xf numFmtId="0" fontId="6" fillId="0" borderId="44" xfId="0" applyFont="1" applyBorder="1" applyAlignment="1" applyProtection="1">
      <alignment horizontal="center" vertical="center"/>
      <protection hidden="1"/>
    </xf>
    <xf numFmtId="14" fontId="6" fillId="0" borderId="6" xfId="0" applyNumberFormat="1" applyFont="1" applyBorder="1" applyAlignment="1" applyProtection="1">
      <alignment horizontal="center" vertical="center"/>
      <protection hidden="1"/>
    </xf>
    <xf numFmtId="0" fontId="46" fillId="0" borderId="0" xfId="1" applyFont="1" applyFill="1" applyBorder="1" applyAlignment="1" applyProtection="1">
      <alignment horizontal="center" vertical="center" shrinkToFit="1"/>
      <protection hidden="1"/>
    </xf>
    <xf numFmtId="179" fontId="47" fillId="0" borderId="0" xfId="0" applyNumberFormat="1" applyFont="1" applyAlignment="1" applyProtection="1">
      <alignment vertical="center" shrinkToFit="1"/>
      <protection hidden="1"/>
    </xf>
    <xf numFmtId="179" fontId="49" fillId="0" borderId="0" xfId="0" applyNumberFormat="1" applyFont="1" applyAlignment="1" applyProtection="1">
      <alignment vertical="center" shrinkToFit="1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52" fillId="0" borderId="0" xfId="0" applyFont="1" applyAlignment="1" applyProtection="1">
      <alignment horizontal="left" vertical="top"/>
      <protection hidden="1"/>
    </xf>
    <xf numFmtId="0" fontId="21" fillId="0" borderId="43" xfId="0" applyFont="1" applyBorder="1" applyAlignment="1" applyProtection="1">
      <alignment horizontal="center" vertical="center"/>
      <protection hidden="1"/>
    </xf>
    <xf numFmtId="0" fontId="21" fillId="0" borderId="44" xfId="0" applyFont="1" applyBorder="1" applyAlignment="1" applyProtection="1">
      <alignment horizontal="center" vertical="center"/>
      <protection hidden="1"/>
    </xf>
    <xf numFmtId="0" fontId="15" fillId="0" borderId="59" xfId="0" applyFont="1" applyBorder="1" applyAlignment="1" applyProtection="1">
      <alignment horizontal="center" vertical="center"/>
      <protection hidden="1"/>
    </xf>
    <xf numFmtId="0" fontId="15" fillId="0" borderId="66" xfId="0" applyFont="1" applyBorder="1" applyAlignment="1" applyProtection="1">
      <alignment horizontal="center" vertical="center"/>
      <protection hidden="1"/>
    </xf>
    <xf numFmtId="0" fontId="15" fillId="0" borderId="67" xfId="0" applyFont="1" applyBorder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 vertical="center" wrapText="1"/>
      <protection hidden="1"/>
    </xf>
    <xf numFmtId="0" fontId="51" fillId="0" borderId="11" xfId="0" applyFont="1" applyBorder="1" applyAlignment="1" applyProtection="1">
      <alignment horizontal="left" vertical="top" wrapText="1"/>
      <protection hidden="1"/>
    </xf>
    <xf numFmtId="0" fontId="35" fillId="0" borderId="0" xfId="0" applyFont="1" applyAlignment="1" applyProtection="1">
      <alignment horizontal="left" vertical="top" wrapText="1"/>
      <protection hidden="1"/>
    </xf>
    <xf numFmtId="0" fontId="35" fillId="0" borderId="24" xfId="0" applyFont="1" applyBorder="1" applyAlignment="1" applyProtection="1">
      <alignment horizontal="left" vertical="top" wrapText="1"/>
      <protection hidden="1"/>
    </xf>
    <xf numFmtId="0" fontId="35" fillId="0" borderId="11" xfId="0" applyFont="1" applyBorder="1" applyAlignment="1" applyProtection="1">
      <alignment horizontal="left" vertical="top" wrapText="1"/>
      <protection hidden="1"/>
    </xf>
    <xf numFmtId="0" fontId="35" fillId="0" borderId="12" xfId="0" applyFont="1" applyBorder="1" applyAlignment="1" applyProtection="1">
      <alignment horizontal="left" vertical="top" wrapText="1"/>
      <protection hidden="1"/>
    </xf>
    <xf numFmtId="0" fontId="35" fillId="0" borderId="13" xfId="0" applyFont="1" applyBorder="1" applyAlignment="1" applyProtection="1">
      <alignment horizontal="left" vertical="top" wrapText="1"/>
      <protection hidden="1"/>
    </xf>
    <xf numFmtId="0" fontId="35" fillId="0" borderId="25" xfId="0" applyFont="1" applyBorder="1" applyAlignment="1" applyProtection="1">
      <alignment horizontal="left" vertical="top" wrapText="1"/>
      <protection hidden="1"/>
    </xf>
    <xf numFmtId="0" fontId="45" fillId="0" borderId="52" xfId="0" applyFont="1" applyBorder="1" applyAlignment="1" applyProtection="1">
      <alignment horizontal="center" vertical="center" wrapText="1"/>
      <protection hidden="1"/>
    </xf>
    <xf numFmtId="0" fontId="45" fillId="0" borderId="68" xfId="0" applyFont="1" applyBorder="1" applyAlignment="1" applyProtection="1">
      <alignment horizontal="center" vertical="center" wrapText="1"/>
      <protection hidden="1"/>
    </xf>
    <xf numFmtId="0" fontId="45" fillId="0" borderId="69" xfId="0" applyFont="1" applyBorder="1" applyAlignment="1" applyProtection="1">
      <alignment horizontal="center" vertical="center" wrapText="1"/>
      <protection hidden="1"/>
    </xf>
    <xf numFmtId="0" fontId="45" fillId="0" borderId="12" xfId="0" applyFont="1" applyBorder="1" applyAlignment="1" applyProtection="1">
      <alignment horizontal="center" vertical="center" wrapText="1"/>
      <protection hidden="1"/>
    </xf>
    <xf numFmtId="0" fontId="45" fillId="0" borderId="13" xfId="0" applyFont="1" applyBorder="1" applyAlignment="1" applyProtection="1">
      <alignment horizontal="center" vertical="center" wrapText="1"/>
      <protection hidden="1"/>
    </xf>
    <xf numFmtId="0" fontId="45" fillId="0" borderId="25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0" fontId="46" fillId="0" borderId="0" xfId="1" applyFont="1" applyFill="1" applyBorder="1" applyAlignment="1" applyProtection="1">
      <alignment horizontal="center" vertical="center" shrinkToFit="1"/>
      <protection hidden="1"/>
    </xf>
    <xf numFmtId="179" fontId="46" fillId="0" borderId="0" xfId="1" applyNumberFormat="1" applyFont="1" applyFill="1" applyBorder="1" applyAlignment="1" applyProtection="1">
      <alignment horizontal="center" vertical="center" shrinkToFit="1"/>
      <protection hidden="1"/>
    </xf>
    <xf numFmtId="0" fontId="48" fillId="0" borderId="0" xfId="1" applyFont="1" applyFill="1" applyAlignment="1" applyProtection="1">
      <alignment horizontal="left" vertical="center"/>
    </xf>
    <xf numFmtId="179" fontId="48" fillId="0" borderId="0" xfId="1" applyNumberFormat="1" applyFont="1" applyFill="1" applyAlignment="1" applyProtection="1">
      <alignment horizontal="left" vertical="center" shrinkToFit="1"/>
    </xf>
    <xf numFmtId="0" fontId="40" fillId="0" borderId="62" xfId="0" applyFont="1" applyBorder="1" applyAlignment="1" applyProtection="1">
      <alignment horizontal="center" vertical="center" wrapText="1"/>
      <protection hidden="1"/>
    </xf>
    <xf numFmtId="0" fontId="40" fillId="0" borderId="63" xfId="0" applyFont="1" applyBorder="1" applyAlignment="1" applyProtection="1">
      <alignment horizontal="center" vertical="center" wrapText="1"/>
      <protection hidden="1"/>
    </xf>
    <xf numFmtId="0" fontId="50" fillId="0" borderId="60" xfId="0" applyFont="1" applyBorder="1" applyAlignment="1" applyProtection="1">
      <alignment horizontal="center" vertical="center"/>
      <protection hidden="1"/>
    </xf>
    <xf numFmtId="0" fontId="50" fillId="0" borderId="70" xfId="0" applyFont="1" applyBorder="1" applyAlignment="1" applyProtection="1">
      <alignment horizontal="center" vertical="center"/>
      <protection hidden="1"/>
    </xf>
    <xf numFmtId="0" fontId="50" fillId="0" borderId="64" xfId="0" applyFont="1" applyBorder="1" applyAlignment="1" applyProtection="1">
      <alignment horizontal="center" vertical="center"/>
      <protection hidden="1"/>
    </xf>
    <xf numFmtId="0" fontId="14" fillId="0" borderId="6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4" fillId="11" borderId="0" xfId="0" applyFont="1" applyFill="1" applyAlignment="1">
      <alignment horizontal="left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13" fillId="0" borderId="6" xfId="2" applyFont="1" applyBorder="1" applyAlignment="1">
      <alignment horizontal="left" vertical="center" wrapText="1"/>
    </xf>
    <xf numFmtId="0" fontId="7" fillId="0" borderId="6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center" vertical="center" wrapText="1"/>
    </xf>
    <xf numFmtId="0" fontId="11" fillId="0" borderId="6" xfId="2" applyFont="1" applyBorder="1" applyAlignment="1">
      <alignment vertical="center" wrapText="1"/>
    </xf>
    <xf numFmtId="49" fontId="9" fillId="0" borderId="6" xfId="2" applyNumberFormat="1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17" fillId="0" borderId="24" xfId="2" applyFont="1" applyBorder="1" applyAlignment="1">
      <alignment horizontal="left" vertical="center"/>
    </xf>
    <xf numFmtId="0" fontId="30" fillId="5" borderId="12" xfId="2" applyFont="1" applyFill="1" applyBorder="1" applyAlignment="1">
      <alignment horizontal="center" vertical="center" wrapText="1"/>
    </xf>
    <xf numFmtId="0" fontId="31" fillId="5" borderId="13" xfId="2" applyFont="1" applyFill="1" applyBorder="1" applyAlignment="1">
      <alignment horizontal="center" vertical="center" wrapText="1"/>
    </xf>
    <xf numFmtId="0" fontId="31" fillId="5" borderId="25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8" fillId="0" borderId="18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14" fillId="0" borderId="43" xfId="2" applyFont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9" fillId="0" borderId="6" xfId="2" applyFont="1" applyBorder="1" applyAlignment="1">
      <alignment vertical="center" textRotation="92" wrapText="1"/>
    </xf>
    <xf numFmtId="0" fontId="9" fillId="0" borderId="6" xfId="2" applyFont="1" applyBorder="1" applyAlignment="1">
      <alignment vertical="center" textRotation="92"/>
    </xf>
    <xf numFmtId="0" fontId="14" fillId="0" borderId="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30" fillId="5" borderId="12" xfId="0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9" fillId="0" borderId="6" xfId="0" applyFont="1" applyBorder="1" applyAlignment="1">
      <alignment horizontal="center" vertical="center" textRotation="92" wrapText="1"/>
    </xf>
    <xf numFmtId="0" fontId="9" fillId="0" borderId="6" xfId="0" applyFont="1" applyBorder="1" applyAlignment="1">
      <alignment horizontal="center" vertical="center" textRotation="92"/>
    </xf>
    <xf numFmtId="0" fontId="23" fillId="0" borderId="11" xfId="2" applyFont="1" applyBorder="1" applyAlignment="1" applyProtection="1">
      <alignment horizontal="left" vertical="center"/>
      <protection hidden="1"/>
    </xf>
    <xf numFmtId="0" fontId="23" fillId="0" borderId="0" xfId="2" applyFont="1" applyAlignment="1" applyProtection="1">
      <alignment horizontal="left" vertical="center"/>
      <protection hidden="1"/>
    </xf>
    <xf numFmtId="0" fontId="70" fillId="0" borderId="0" xfId="2" applyAlignment="1" applyProtection="1">
      <alignment horizontal="left" vertical="center"/>
      <protection hidden="1"/>
    </xf>
    <xf numFmtId="0" fontId="70" fillId="0" borderId="24" xfId="2" applyBorder="1" applyAlignment="1" applyProtection="1">
      <alignment horizontal="left" vertical="center"/>
      <protection hidden="1"/>
    </xf>
    <xf numFmtId="0" fontId="24" fillId="5" borderId="12" xfId="2" applyFont="1" applyFill="1" applyBorder="1" applyAlignment="1" applyProtection="1">
      <alignment horizontal="center" vertical="center" wrapText="1"/>
      <protection hidden="1"/>
    </xf>
    <xf numFmtId="0" fontId="24" fillId="5" borderId="13" xfId="2" applyFont="1" applyFill="1" applyBorder="1" applyAlignment="1" applyProtection="1">
      <alignment horizontal="center" vertical="center" wrapText="1"/>
      <protection hidden="1"/>
    </xf>
    <xf numFmtId="0" fontId="24" fillId="5" borderId="25" xfId="2" applyFont="1" applyFill="1" applyBorder="1" applyAlignment="1" applyProtection="1">
      <alignment horizontal="center" vertical="center" wrapText="1"/>
      <protection hidden="1"/>
    </xf>
    <xf numFmtId="0" fontId="1" fillId="0" borderId="7" xfId="2" applyFont="1" applyBorder="1" applyAlignment="1" applyProtection="1">
      <alignment horizontal="center" vertical="center"/>
      <protection hidden="1"/>
    </xf>
    <xf numFmtId="0" fontId="1" fillId="0" borderId="35" xfId="2" applyFont="1" applyBorder="1" applyAlignment="1" applyProtection="1">
      <alignment horizontal="center" vertical="center"/>
      <protection hidden="1"/>
    </xf>
    <xf numFmtId="0" fontId="1" fillId="0" borderId="53" xfId="2" applyFont="1" applyBorder="1" applyAlignment="1" applyProtection="1">
      <alignment horizontal="center" vertical="center"/>
      <protection hidden="1"/>
    </xf>
    <xf numFmtId="0" fontId="1" fillId="0" borderId="55" xfId="2" applyFont="1" applyBorder="1" applyAlignment="1" applyProtection="1">
      <alignment horizontal="center" vertical="center"/>
      <protection hidden="1"/>
    </xf>
    <xf numFmtId="0" fontId="1" fillId="0" borderId="56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6" fillId="0" borderId="46" xfId="2" applyFont="1" applyBorder="1" applyAlignment="1" applyProtection="1">
      <alignment horizontal="center" vertical="center"/>
      <protection hidden="1"/>
    </xf>
    <xf numFmtId="0" fontId="16" fillId="0" borderId="41" xfId="2" applyFont="1" applyBorder="1" applyAlignment="1" applyProtection="1">
      <alignment horizontal="center" vertical="center"/>
      <protection hidden="1"/>
    </xf>
    <xf numFmtId="0" fontId="16" fillId="0" borderId="57" xfId="2" applyFont="1" applyBorder="1" applyAlignment="1" applyProtection="1">
      <alignment horizontal="center" vertical="center"/>
      <protection hidden="1"/>
    </xf>
    <xf numFmtId="0" fontId="1" fillId="0" borderId="6" xfId="2" applyFont="1" applyBorder="1" applyAlignment="1" applyProtection="1">
      <alignment horizontal="center" vertical="center" wrapText="1"/>
      <protection hidden="1"/>
    </xf>
    <xf numFmtId="0" fontId="5" fillId="2" borderId="1" xfId="2" applyFont="1" applyFill="1" applyBorder="1" applyAlignment="1" applyProtection="1">
      <alignment horizontal="center" vertical="center" wrapText="1"/>
      <protection hidden="1"/>
    </xf>
    <xf numFmtId="0" fontId="5" fillId="2" borderId="2" xfId="2" applyFont="1" applyFill="1" applyBorder="1" applyAlignment="1" applyProtection="1">
      <alignment horizontal="center" vertical="center" wrapText="1"/>
      <protection hidden="1"/>
    </xf>
    <xf numFmtId="0" fontId="5" fillId="2" borderId="14" xfId="2" applyFont="1" applyFill="1" applyBorder="1" applyAlignment="1" applyProtection="1">
      <alignment horizontal="center" vertical="center" wrapText="1"/>
      <protection hidden="1"/>
    </xf>
    <xf numFmtId="0" fontId="6" fillId="3" borderId="3" xfId="2" applyFont="1" applyFill="1" applyBorder="1" applyAlignment="1" applyProtection="1">
      <alignment horizontal="center" vertical="center" wrapText="1"/>
      <protection hidden="1"/>
    </xf>
    <xf numFmtId="0" fontId="6" fillId="3" borderId="4" xfId="2" applyFont="1" applyFill="1" applyBorder="1" applyAlignment="1" applyProtection="1">
      <alignment horizontal="center" vertical="center" wrapText="1"/>
      <protection hidden="1"/>
    </xf>
    <xf numFmtId="0" fontId="6" fillId="3" borderId="15" xfId="2" applyFont="1" applyFill="1" applyBorder="1" applyAlignment="1" applyProtection="1">
      <alignment horizontal="center" vertical="center" wrapText="1"/>
      <protection hidden="1"/>
    </xf>
    <xf numFmtId="0" fontId="8" fillId="0" borderId="43" xfId="2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/>
    </xf>
    <xf numFmtId="0" fontId="8" fillId="0" borderId="46" xfId="2" applyFont="1" applyBorder="1" applyAlignment="1">
      <alignment horizontal="center" vertical="center"/>
    </xf>
    <xf numFmtId="0" fontId="8" fillId="0" borderId="47" xfId="2" applyFont="1" applyBorder="1" applyAlignment="1">
      <alignment horizontal="center" vertical="center"/>
    </xf>
    <xf numFmtId="0" fontId="8" fillId="0" borderId="41" xfId="2" applyFont="1" applyBorder="1" applyAlignment="1">
      <alignment horizontal="center" vertical="center"/>
    </xf>
    <xf numFmtId="0" fontId="8" fillId="0" borderId="36" xfId="2" applyFont="1" applyBorder="1" applyAlignment="1">
      <alignment horizontal="center" vertical="center"/>
    </xf>
    <xf numFmtId="0" fontId="23" fillId="0" borderId="11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70" fillId="0" borderId="0" xfId="2" applyAlignment="1">
      <alignment horizontal="left" vertical="center"/>
    </xf>
    <xf numFmtId="0" fontId="70" fillId="0" borderId="24" xfId="2" applyBorder="1" applyAlignment="1">
      <alignment horizontal="left" vertical="center"/>
    </xf>
    <xf numFmtId="0" fontId="24" fillId="5" borderId="12" xfId="2" applyFont="1" applyFill="1" applyBorder="1" applyAlignment="1">
      <alignment horizontal="center" vertical="center" wrapText="1"/>
    </xf>
    <xf numFmtId="0" fontId="24" fillId="5" borderId="13" xfId="2" applyFont="1" applyFill="1" applyBorder="1" applyAlignment="1">
      <alignment horizontal="center" vertical="center" wrapText="1"/>
    </xf>
    <xf numFmtId="0" fontId="24" fillId="5" borderId="25" xfId="2" applyFont="1" applyFill="1" applyBorder="1" applyAlignment="1">
      <alignment horizontal="center" vertical="center" wrapText="1"/>
    </xf>
    <xf numFmtId="0" fontId="1" fillId="0" borderId="37" xfId="2" applyFont="1" applyBorder="1" applyAlignment="1">
      <alignment horizontal="center" vertical="center"/>
    </xf>
    <xf numFmtId="0" fontId="1" fillId="0" borderId="35" xfId="2" applyFont="1" applyBorder="1" applyAlignment="1">
      <alignment horizontal="center" vertical="center"/>
    </xf>
    <xf numFmtId="0" fontId="1" fillId="0" borderId="39" xfId="2" applyFont="1" applyBorder="1" applyAlignment="1">
      <alignment horizontal="center" vertical="center"/>
    </xf>
    <xf numFmtId="0" fontId="1" fillId="0" borderId="38" xfId="2" applyFont="1" applyBorder="1" applyAlignment="1">
      <alignment horizontal="center" vertical="center"/>
    </xf>
    <xf numFmtId="0" fontId="1" fillId="0" borderId="19" xfId="2" applyFont="1" applyBorder="1" applyAlignment="1">
      <alignment horizontal="center" vertical="center"/>
    </xf>
    <xf numFmtId="0" fontId="1" fillId="0" borderId="40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49" fontId="1" fillId="0" borderId="38" xfId="2" applyNumberFormat="1" applyFont="1" applyBorder="1" applyAlignment="1">
      <alignment horizontal="center" vertical="center"/>
    </xf>
    <xf numFmtId="49" fontId="1" fillId="0" borderId="19" xfId="2" applyNumberFormat="1" applyFont="1" applyBorder="1" applyAlignment="1">
      <alignment horizontal="center" vertical="center"/>
    </xf>
    <xf numFmtId="49" fontId="1" fillId="0" borderId="40" xfId="2" applyNumberFormat="1" applyFont="1" applyBorder="1" applyAlignment="1">
      <alignment horizontal="center" vertical="center"/>
    </xf>
    <xf numFmtId="0" fontId="16" fillId="0" borderId="38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 vertical="center"/>
    </xf>
    <xf numFmtId="0" fontId="16" fillId="0" borderId="40" xfId="2" applyFont="1" applyBorder="1" applyAlignment="1">
      <alignment horizontal="center" vertical="center"/>
    </xf>
    <xf numFmtId="0" fontId="1" fillId="0" borderId="38" xfId="2" applyFont="1" applyBorder="1" applyAlignment="1">
      <alignment horizontal="center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40" xfId="2" applyFont="1" applyBorder="1" applyAlignment="1">
      <alignment horizontal="center" vertical="center" wrapText="1"/>
    </xf>
    <xf numFmtId="0" fontId="26" fillId="0" borderId="38" xfId="2" applyFont="1" applyBorder="1" applyAlignment="1">
      <alignment horizontal="center" vertical="center" wrapText="1"/>
    </xf>
    <xf numFmtId="0" fontId="26" fillId="0" borderId="19" xfId="2" applyFont="1" applyBorder="1" applyAlignment="1">
      <alignment horizontal="center" vertical="center" wrapText="1"/>
    </xf>
    <xf numFmtId="0" fontId="26" fillId="0" borderId="40" xfId="2" applyFont="1" applyBorder="1" applyAlignment="1">
      <alignment horizontal="center" vertical="center" wrapText="1"/>
    </xf>
    <xf numFmtId="0" fontId="1" fillId="0" borderId="45" xfId="2" applyFont="1" applyBorder="1" applyAlignment="1">
      <alignment horizontal="center" vertical="center"/>
    </xf>
    <xf numFmtId="0" fontId="1" fillId="0" borderId="42" xfId="2" applyFont="1" applyBorder="1" applyAlignment="1">
      <alignment horizontal="center" vertical="center"/>
    </xf>
    <xf numFmtId="0" fontId="1" fillId="0" borderId="48" xfId="2" applyFont="1" applyBorder="1" applyAlignment="1">
      <alignment horizontal="center" vertical="center"/>
    </xf>
    <xf numFmtId="0" fontId="19" fillId="7" borderId="29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33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1" fillId="9" borderId="29" xfId="0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21" fillId="9" borderId="33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6" borderId="28" xfId="0" applyFont="1" applyFill="1" applyBorder="1" applyAlignment="1">
      <alignment horizontal="center" vertical="center" wrapText="1"/>
    </xf>
    <xf numFmtId="0" fontId="18" fillId="6" borderId="3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29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</dxfs>
  <tableStyles count="0" defaultTableStyle="TableStyleMedium2" defaultPivotStyle="PivotStyleLight16"/>
  <colors>
    <mruColors>
      <color rgb="FF70AD47"/>
      <color rgb="FFFFFFFF"/>
      <color rgb="FF094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NULL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12</xdr:row>
      <xdr:rowOff>57150</xdr:rowOff>
    </xdr:from>
    <xdr:to>
      <xdr:col>15</xdr:col>
      <xdr:colOff>18415</xdr:colOff>
      <xdr:row>18</xdr:row>
      <xdr:rowOff>168275</xdr:rowOff>
    </xdr:to>
    <xdr:pic>
      <xdr:nvPicPr>
        <xdr:cNvPr id="2" name="图片 1" descr="beb52461ec6aece2027de062fd0ccd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8268" t="3337" r="3290" b="1241"/>
        <a:stretch>
          <a:fillRect/>
        </a:stretch>
      </xdr:blipFill>
      <xdr:spPr>
        <a:xfrm>
          <a:off x="13449935" y="6216650"/>
          <a:ext cx="3656965" cy="2549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44</xdr:row>
      <xdr:rowOff>180340</xdr:rowOff>
    </xdr:from>
    <xdr:to>
      <xdr:col>137</xdr:col>
      <xdr:colOff>123190</xdr:colOff>
      <xdr:row>244</xdr:row>
      <xdr:rowOff>66041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5440" y="12437745"/>
          <a:ext cx="9525889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44</xdr:row>
      <xdr:rowOff>180340</xdr:rowOff>
    </xdr:from>
    <xdr:to>
      <xdr:col>137</xdr:col>
      <xdr:colOff>123190</xdr:colOff>
      <xdr:row>244</xdr:row>
      <xdr:rowOff>66040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5440" y="12437745"/>
          <a:ext cx="9525889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44</xdr:row>
      <xdr:rowOff>180340</xdr:rowOff>
    </xdr:from>
    <xdr:to>
      <xdr:col>136</xdr:col>
      <xdr:colOff>227965</xdr:colOff>
      <xdr:row>244</xdr:row>
      <xdr:rowOff>66040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4415" y="12437745"/>
          <a:ext cx="9525889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45</xdr:row>
      <xdr:rowOff>180340</xdr:rowOff>
    </xdr:from>
    <xdr:to>
      <xdr:col>137</xdr:col>
      <xdr:colOff>128270</xdr:colOff>
      <xdr:row>245</xdr:row>
      <xdr:rowOff>66040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5440" y="12637770"/>
          <a:ext cx="9526397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45</xdr:row>
      <xdr:rowOff>180340</xdr:rowOff>
    </xdr:from>
    <xdr:to>
      <xdr:col>137</xdr:col>
      <xdr:colOff>128270</xdr:colOff>
      <xdr:row>245</xdr:row>
      <xdr:rowOff>66040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5440" y="12637770"/>
          <a:ext cx="9526397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44</xdr:row>
      <xdr:rowOff>180340</xdr:rowOff>
    </xdr:from>
    <xdr:to>
      <xdr:col>136</xdr:col>
      <xdr:colOff>227965</xdr:colOff>
      <xdr:row>244</xdr:row>
      <xdr:rowOff>66040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4415" y="12437745"/>
          <a:ext cx="9525889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45</xdr:row>
      <xdr:rowOff>180340</xdr:rowOff>
    </xdr:from>
    <xdr:to>
      <xdr:col>137</xdr:col>
      <xdr:colOff>128270</xdr:colOff>
      <xdr:row>245</xdr:row>
      <xdr:rowOff>66040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5440" y="12637770"/>
          <a:ext cx="9526397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14605</xdr:colOff>
      <xdr:row>17</xdr:row>
      <xdr:rowOff>93345</xdr:rowOff>
    </xdr:from>
    <xdr:to>
      <xdr:col>22</xdr:col>
      <xdr:colOff>1503045</xdr:colOff>
      <xdr:row>25</xdr:row>
      <xdr:rowOff>83185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03370" y="5227955"/>
          <a:ext cx="4660265" cy="166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25</xdr:row>
      <xdr:rowOff>103505</xdr:rowOff>
    </xdr:from>
    <xdr:to>
      <xdr:col>21</xdr:col>
      <xdr:colOff>663575</xdr:colOff>
      <xdr:row>27</xdr:row>
      <xdr:rowOff>156845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4"/>
        <a:stretch>
          <a:fillRect/>
        </a:stretch>
      </xdr:blipFill>
      <xdr:spPr>
        <a:xfrm>
          <a:off x="16788765" y="6914515"/>
          <a:ext cx="3044825" cy="472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0</xdr:colOff>
      <xdr:row>27</xdr:row>
      <xdr:rowOff>167005</xdr:rowOff>
    </xdr:from>
    <xdr:to>
      <xdr:col>22</xdr:col>
      <xdr:colOff>916940</xdr:colOff>
      <xdr:row>31</xdr:row>
      <xdr:rowOff>174625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r:link="rId4"/>
        <a:stretch>
          <a:fillRect/>
        </a:stretch>
      </xdr:blipFill>
      <xdr:spPr>
        <a:xfrm>
          <a:off x="16788765" y="7397115"/>
          <a:ext cx="4088765" cy="8458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66040</xdr:colOff>
      <xdr:row>31</xdr:row>
      <xdr:rowOff>203200</xdr:rowOff>
    </xdr:from>
    <xdr:to>
      <xdr:col>22</xdr:col>
      <xdr:colOff>1111250</xdr:colOff>
      <xdr:row>34</xdr:row>
      <xdr:rowOff>55880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88130" y="8271510"/>
          <a:ext cx="4283710" cy="481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45</xdr:row>
      <xdr:rowOff>180340</xdr:rowOff>
    </xdr:from>
    <xdr:to>
      <xdr:col>137</xdr:col>
      <xdr:colOff>128270</xdr:colOff>
      <xdr:row>245</xdr:row>
      <xdr:rowOff>66040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5440" y="12637770"/>
          <a:ext cx="95263970" cy="39890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44</xdr:row>
      <xdr:rowOff>180340</xdr:rowOff>
    </xdr:from>
    <xdr:to>
      <xdr:col>135</xdr:col>
      <xdr:colOff>55880</xdr:colOff>
      <xdr:row>244</xdr:row>
      <xdr:rowOff>66040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12505690"/>
          <a:ext cx="9525889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44</xdr:row>
      <xdr:rowOff>180340</xdr:rowOff>
    </xdr:from>
    <xdr:to>
      <xdr:col>135</xdr:col>
      <xdr:colOff>55880</xdr:colOff>
      <xdr:row>244</xdr:row>
      <xdr:rowOff>66040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12505690"/>
          <a:ext cx="9525889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44</xdr:row>
      <xdr:rowOff>180340</xdr:rowOff>
    </xdr:from>
    <xdr:to>
      <xdr:col>135</xdr:col>
      <xdr:colOff>55880</xdr:colOff>
      <xdr:row>244</xdr:row>
      <xdr:rowOff>66040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12505690"/>
          <a:ext cx="95258890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44</xdr:row>
      <xdr:rowOff>180340</xdr:rowOff>
    </xdr:from>
    <xdr:to>
      <xdr:col>135</xdr:col>
      <xdr:colOff>55880</xdr:colOff>
      <xdr:row>244</xdr:row>
      <xdr:rowOff>66040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12505690"/>
          <a:ext cx="95258890" cy="39890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180340</xdr:rowOff>
    </xdr:from>
    <xdr:to>
      <xdr:col>134</xdr:col>
      <xdr:colOff>446405</xdr:colOff>
      <xdr:row>235</xdr:row>
      <xdr:rowOff>66040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12381865"/>
          <a:ext cx="95258255" cy="398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35</xdr:row>
      <xdr:rowOff>180340</xdr:rowOff>
    </xdr:from>
    <xdr:to>
      <xdr:col>134</xdr:col>
      <xdr:colOff>446405</xdr:colOff>
      <xdr:row>235</xdr:row>
      <xdr:rowOff>66040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12381865"/>
          <a:ext cx="95258255" cy="39890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itrade.youtrack.info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17track.net/zh-cn" TargetMode="External"/><Relationship Id="rId1" Type="http://schemas.openxmlformats.org/officeDocument/2006/relationships/hyperlink" Target="http://www.ozon56.net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hd.ozon56.net/index/login/logi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showGridLines="0" showRowColHeaders="0" workbookViewId="0">
      <selection activeCell="J5" sqref="J5:O5"/>
    </sheetView>
  </sheetViews>
  <sheetFormatPr defaultColWidth="6.77734375" defaultRowHeight="15" x14ac:dyDescent="0.25"/>
  <cols>
    <col min="1" max="1" width="10.109375" style="105" customWidth="1"/>
    <col min="2" max="2" width="30.88671875" style="105" customWidth="1"/>
    <col min="3" max="3" width="16.6640625" style="105" customWidth="1"/>
    <col min="4" max="4" width="17.21875" style="105" customWidth="1"/>
    <col min="5" max="5" width="14.6640625" style="105" customWidth="1"/>
    <col min="6" max="6" width="47.6640625" style="105" customWidth="1"/>
    <col min="7" max="7" width="8.5546875" style="105" customWidth="1"/>
    <col min="8" max="8" width="30.33203125" style="105" customWidth="1"/>
    <col min="9" max="9" width="3.21875" style="105" customWidth="1"/>
    <col min="10" max="10" width="11.88671875" style="105" customWidth="1"/>
    <col min="11" max="17" width="6.6640625" style="105" customWidth="1"/>
    <col min="18" max="16384" width="6.77734375" style="105"/>
  </cols>
  <sheetData>
    <row r="1" spans="1:20" ht="64.05" customHeight="1" x14ac:dyDescent="0.25">
      <c r="A1" s="108"/>
      <c r="B1" s="108"/>
      <c r="C1" s="108"/>
      <c r="D1" s="109" t="s">
        <v>0</v>
      </c>
      <c r="E1" s="108"/>
      <c r="F1" s="108"/>
      <c r="G1" s="108"/>
      <c r="H1" s="110">
        <v>45733</v>
      </c>
      <c r="I1" s="151" t="s">
        <v>1</v>
      </c>
      <c r="J1" s="152"/>
      <c r="K1" s="126"/>
      <c r="L1" s="126"/>
      <c r="M1" s="126"/>
      <c r="N1" s="126"/>
      <c r="O1" s="126"/>
      <c r="P1" s="126"/>
    </row>
    <row r="2" spans="1:20" s="106" customFormat="1" ht="46.05" customHeight="1" x14ac:dyDescent="0.25">
      <c r="A2" s="135" t="s">
        <v>2</v>
      </c>
      <c r="B2" s="135"/>
      <c r="C2" s="135"/>
      <c r="D2" s="135"/>
      <c r="E2" s="135"/>
      <c r="F2" s="135"/>
      <c r="G2" s="135"/>
      <c r="H2" s="135"/>
      <c r="J2" s="153" t="s">
        <v>3</v>
      </c>
      <c r="K2" s="153"/>
      <c r="L2" s="153"/>
      <c r="M2" s="153"/>
      <c r="N2" s="153"/>
      <c r="O2" s="153"/>
    </row>
    <row r="3" spans="1:20" s="106" customFormat="1" ht="45" customHeight="1" x14ac:dyDescent="0.25">
      <c r="A3" s="135"/>
      <c r="B3" s="135"/>
      <c r="C3" s="135"/>
      <c r="D3" s="135"/>
      <c r="E3" s="135"/>
      <c r="F3" s="135"/>
      <c r="G3" s="135"/>
      <c r="H3" s="135"/>
      <c r="J3" s="153" t="s">
        <v>4</v>
      </c>
      <c r="K3" s="153"/>
      <c r="L3" s="153"/>
      <c r="M3" s="153"/>
      <c r="N3" s="153"/>
      <c r="O3" s="153"/>
    </row>
    <row r="4" spans="1:20" ht="42" customHeight="1" x14ac:dyDescent="0.25">
      <c r="A4" s="135"/>
      <c r="B4" s="135"/>
      <c r="C4" s="135"/>
      <c r="D4" s="135"/>
      <c r="E4" s="135"/>
      <c r="F4" s="135"/>
      <c r="G4" s="135"/>
      <c r="H4" s="135"/>
      <c r="I4" s="125"/>
      <c r="J4" s="154" t="s">
        <v>5</v>
      </c>
      <c r="K4" s="154"/>
      <c r="L4" s="154"/>
      <c r="M4" s="154"/>
      <c r="N4" s="154"/>
      <c r="O4" s="154"/>
      <c r="P4" s="126"/>
    </row>
    <row r="5" spans="1:20" ht="36" customHeight="1" x14ac:dyDescent="0.25">
      <c r="A5" s="111" t="s">
        <v>6</v>
      </c>
      <c r="B5" s="112" t="s">
        <v>7</v>
      </c>
      <c r="C5" s="112" t="s">
        <v>8</v>
      </c>
      <c r="D5" s="112" t="s">
        <v>9</v>
      </c>
      <c r="E5" s="111" t="s">
        <v>10</v>
      </c>
      <c r="F5" s="155" t="s">
        <v>11</v>
      </c>
      <c r="G5" s="156"/>
      <c r="H5" s="113" t="s">
        <v>12</v>
      </c>
      <c r="I5" s="127"/>
      <c r="J5" s="157" t="s">
        <v>13</v>
      </c>
      <c r="K5" s="158"/>
      <c r="L5" s="158"/>
      <c r="M5" s="158"/>
      <c r="N5" s="158"/>
      <c r="O5" s="159"/>
    </row>
    <row r="6" spans="1:20" ht="36" customHeight="1" x14ac:dyDescent="0.25">
      <c r="A6" s="114">
        <v>1</v>
      </c>
      <c r="B6" s="115" t="s">
        <v>14</v>
      </c>
      <c r="C6" s="116">
        <v>45733</v>
      </c>
      <c r="D6" s="117" t="s">
        <v>15</v>
      </c>
      <c r="E6" s="118" t="s">
        <v>16</v>
      </c>
      <c r="F6" s="149" t="s">
        <v>17</v>
      </c>
      <c r="G6" s="149"/>
      <c r="H6" s="119" t="s">
        <v>18</v>
      </c>
      <c r="I6" s="128"/>
      <c r="J6" s="136" t="s">
        <v>19</v>
      </c>
      <c r="K6" s="137"/>
      <c r="L6" s="137"/>
      <c r="M6" s="137"/>
      <c r="N6" s="137"/>
      <c r="O6" s="138"/>
      <c r="R6" s="128"/>
      <c r="S6" s="128"/>
      <c r="T6" s="128"/>
    </row>
    <row r="7" spans="1:20" ht="36" customHeight="1" x14ac:dyDescent="0.25">
      <c r="A7" s="114">
        <v>2</v>
      </c>
      <c r="B7" s="115" t="s">
        <v>20</v>
      </c>
      <c r="C7" s="116">
        <v>45678</v>
      </c>
      <c r="D7" s="117" t="s">
        <v>21</v>
      </c>
      <c r="E7" s="118" t="s">
        <v>16</v>
      </c>
      <c r="F7" s="150" t="s">
        <v>22</v>
      </c>
      <c r="G7" s="150"/>
      <c r="H7" s="119" t="s">
        <v>18</v>
      </c>
      <c r="I7" s="128"/>
      <c r="J7" s="139"/>
      <c r="K7" s="137"/>
      <c r="L7" s="137"/>
      <c r="M7" s="137"/>
      <c r="N7" s="137"/>
      <c r="O7" s="138"/>
      <c r="R7" s="128"/>
      <c r="S7" s="128"/>
      <c r="T7" s="128"/>
    </row>
    <row r="8" spans="1:20" s="107" customFormat="1" ht="36" customHeight="1" x14ac:dyDescent="0.25">
      <c r="A8" s="114">
        <v>3</v>
      </c>
      <c r="B8" s="121" t="s">
        <v>23</v>
      </c>
      <c r="C8" s="116">
        <v>45727</v>
      </c>
      <c r="D8" s="122" t="s">
        <v>24</v>
      </c>
      <c r="E8" s="118" t="s">
        <v>16</v>
      </c>
      <c r="F8" s="130" t="s">
        <v>25</v>
      </c>
      <c r="G8" s="131"/>
      <c r="H8" s="123" t="s">
        <v>26</v>
      </c>
      <c r="I8" s="128"/>
      <c r="J8" s="139"/>
      <c r="K8" s="137"/>
      <c r="L8" s="137"/>
      <c r="M8" s="137"/>
      <c r="N8" s="137"/>
      <c r="O8" s="138"/>
      <c r="P8" s="105"/>
      <c r="Q8" s="105"/>
      <c r="R8" s="105"/>
      <c r="S8" s="105"/>
      <c r="T8" s="105"/>
    </row>
    <row r="9" spans="1:20" s="107" customFormat="1" ht="36" customHeight="1" x14ac:dyDescent="0.25">
      <c r="A9" s="114">
        <v>4</v>
      </c>
      <c r="B9" s="121" t="s">
        <v>27</v>
      </c>
      <c r="C9" s="116">
        <v>45652</v>
      </c>
      <c r="D9" s="122" t="s">
        <v>24</v>
      </c>
      <c r="E9" s="118" t="s">
        <v>16</v>
      </c>
      <c r="F9" s="130" t="s">
        <v>28</v>
      </c>
      <c r="G9" s="131"/>
      <c r="H9" s="123" t="s">
        <v>26</v>
      </c>
      <c r="I9" s="128"/>
      <c r="J9" s="139"/>
      <c r="K9" s="137"/>
      <c r="L9" s="137"/>
      <c r="M9" s="137"/>
      <c r="N9" s="137"/>
      <c r="O9" s="138"/>
      <c r="P9" s="105"/>
      <c r="Q9" s="105"/>
      <c r="R9" s="105"/>
      <c r="S9" s="105"/>
      <c r="T9" s="105"/>
    </row>
    <row r="10" spans="1:20" s="107" customFormat="1" ht="36" customHeight="1" x14ac:dyDescent="0.25">
      <c r="A10" s="114">
        <v>5</v>
      </c>
      <c r="B10" s="120" t="s">
        <v>29</v>
      </c>
      <c r="C10" s="124">
        <v>45670</v>
      </c>
      <c r="D10" s="122" t="s">
        <v>15</v>
      </c>
      <c r="E10" s="118" t="s">
        <v>16</v>
      </c>
      <c r="F10" s="130" t="s">
        <v>28</v>
      </c>
      <c r="G10" s="131"/>
      <c r="H10" s="120" t="s">
        <v>18</v>
      </c>
      <c r="I10" s="128"/>
      <c r="J10" s="139"/>
      <c r="K10" s="137"/>
      <c r="L10" s="137"/>
      <c r="M10" s="137"/>
      <c r="N10" s="137"/>
      <c r="O10" s="138"/>
      <c r="P10" s="105"/>
      <c r="Q10" s="105"/>
      <c r="R10" s="105"/>
      <c r="S10" s="105"/>
      <c r="T10" s="105"/>
    </row>
    <row r="11" spans="1:20" s="107" customFormat="1" ht="36" customHeight="1" x14ac:dyDescent="0.25">
      <c r="A11" s="114">
        <v>6</v>
      </c>
      <c r="B11" s="120" t="s">
        <v>30</v>
      </c>
      <c r="C11" s="124">
        <v>45727</v>
      </c>
      <c r="D11" s="122" t="s">
        <v>15</v>
      </c>
      <c r="E11" s="118" t="s">
        <v>16</v>
      </c>
      <c r="F11" s="130" t="s">
        <v>28</v>
      </c>
      <c r="G11" s="131"/>
      <c r="H11" s="120" t="s">
        <v>18</v>
      </c>
      <c r="I11" s="128"/>
      <c r="J11" s="139"/>
      <c r="K11" s="137"/>
      <c r="L11" s="137"/>
      <c r="M11" s="137"/>
      <c r="N11" s="137"/>
      <c r="O11" s="138"/>
      <c r="P11" s="105"/>
      <c r="Q11" s="105"/>
      <c r="R11" s="105"/>
      <c r="S11" s="105"/>
      <c r="T11" s="105"/>
    </row>
    <row r="12" spans="1:20" ht="36" customHeight="1" x14ac:dyDescent="0.25">
      <c r="A12" s="132" t="s">
        <v>31</v>
      </c>
      <c r="B12" s="133"/>
      <c r="C12" s="133"/>
      <c r="D12" s="133"/>
      <c r="E12" s="133"/>
      <c r="F12" s="133"/>
      <c r="G12" s="133"/>
      <c r="H12" s="134"/>
      <c r="I12" s="128"/>
      <c r="J12" s="140"/>
      <c r="K12" s="141"/>
      <c r="L12" s="141"/>
      <c r="M12" s="141"/>
      <c r="N12" s="141"/>
      <c r="O12" s="142"/>
    </row>
    <row r="13" spans="1:20" ht="36" customHeight="1" x14ac:dyDescent="0.25">
      <c r="A13" s="143" t="s">
        <v>32</v>
      </c>
      <c r="B13" s="144"/>
      <c r="C13" s="144"/>
      <c r="D13" s="144"/>
      <c r="E13" s="144"/>
      <c r="F13" s="144"/>
      <c r="G13" s="144"/>
      <c r="H13" s="145"/>
      <c r="I13" s="128"/>
    </row>
    <row r="14" spans="1:20" ht="36" customHeight="1" x14ac:dyDescent="0.25">
      <c r="A14" s="146"/>
      <c r="B14" s="147"/>
      <c r="C14" s="147"/>
      <c r="D14" s="147"/>
      <c r="E14" s="147"/>
      <c r="F14" s="147"/>
      <c r="G14" s="147"/>
      <c r="H14" s="148"/>
    </row>
    <row r="15" spans="1:20" ht="36" customHeight="1" x14ac:dyDescent="0.25"/>
    <row r="16" spans="1:20" ht="36" customHeight="1" x14ac:dyDescent="0.25">
      <c r="M16" s="129"/>
    </row>
    <row r="17" ht="12" customHeight="1" x14ac:dyDescent="0.25"/>
    <row r="18" ht="36" customHeight="1" x14ac:dyDescent="0.25"/>
    <row r="19" ht="36" customHeight="1" x14ac:dyDescent="0.25"/>
    <row r="20" ht="13.95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</sheetData>
  <sheetProtection algorithmName="SHA-512" hashValue="iqnSQZZuFm4gwthKfztalmEkJT1uNsgb37HxeTE9QuK9buN1DBLDLeBaGA4aWCqiqW0TG/PJmDFk+4tVPMv5Bw==" saltValue="bFcmVrplX6OvuuIY4D4XtA==" spinCount="100000" sheet="1" objects="1" selectLockedCells="1" autoFilter="0"/>
  <mergeCells count="16">
    <mergeCell ref="I1:J1"/>
    <mergeCell ref="J2:O2"/>
    <mergeCell ref="J3:O3"/>
    <mergeCell ref="J4:O4"/>
    <mergeCell ref="F5:G5"/>
    <mergeCell ref="J5:O5"/>
    <mergeCell ref="F11:G11"/>
    <mergeCell ref="A12:H12"/>
    <mergeCell ref="A2:H4"/>
    <mergeCell ref="J6:O12"/>
    <mergeCell ref="A13:H14"/>
    <mergeCell ref="F6:G6"/>
    <mergeCell ref="F7:G7"/>
    <mergeCell ref="F8:G8"/>
    <mergeCell ref="F9:G9"/>
    <mergeCell ref="F10:G10"/>
  </mergeCells>
  <phoneticPr fontId="71" type="noConversion"/>
  <conditionalFormatting sqref="A12"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23">
      <colorScale>
        <cfvo type="min"/>
        <cfvo type="max"/>
        <color rgb="FFFF7128"/>
        <color rgb="FFFFEF9C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 B7"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D6:D11">
    <cfRule type="cellIs" dxfId="28" priority="1" operator="equal">
      <formula>"暂停"</formula>
    </cfRule>
    <cfRule type="cellIs" dxfId="27" priority="2" operator="equal">
      <formula>"上调"</formula>
    </cfRule>
    <cfRule type="cellIs" dxfId="26" priority="3" operator="equal">
      <formula>"下调"</formula>
    </cfRule>
    <cfRule type="cellIs" dxfId="25" priority="4" operator="equal">
      <formula>"不变"</formula>
    </cfRule>
  </conditionalFormatting>
  <conditionalFormatting sqref="D7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D8:D11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H6:H7">
    <cfRule type="colorScale" priority="22">
      <colorScale>
        <cfvo type="min"/>
        <cfvo type="max"/>
        <color rgb="FF63BE7B"/>
        <color rgb="FFFCFCFF"/>
      </colorScale>
    </cfRule>
  </conditionalFormatting>
  <conditionalFormatting sqref="H8:H9">
    <cfRule type="colorScale" priority="6">
      <colorScale>
        <cfvo type="min"/>
        <cfvo type="max"/>
        <color rgb="FF63BE7B"/>
        <color rgb="FFFCFCFF"/>
      </colorScale>
    </cfRule>
  </conditionalFormatting>
  <conditionalFormatting sqref="H10:H11">
    <cfRule type="colorScale" priority="14">
      <colorScale>
        <cfvo type="min"/>
        <cfvo type="max"/>
        <color rgb="FF63BE7B"/>
        <color rgb="FFFCFCFF"/>
      </colorScale>
    </cfRule>
  </conditionalFormatting>
  <conditionalFormatting sqref="M1 M13:M1048576">
    <cfRule type="containsText" dxfId="24" priority="25" operator="containsText" text="欧洲空运">
      <formula>NOT(ISERROR(SEARCH("欧洲空运",M1)))</formula>
    </cfRule>
    <cfRule type="containsText" dxfId="23" priority="26" operator="containsText" text="欧洲铁路">
      <formula>NOT(ISERROR(SEARCH("欧洲铁路",M1)))</formula>
    </cfRule>
    <cfRule type="containsText" dxfId="22" priority="27" operator="containsText" text="欧洲海运">
      <formula>NOT(ISERROR(SEARCH("欧洲海运",M1)))</formula>
    </cfRule>
    <cfRule type="containsText" dxfId="21" priority="28" operator="containsText" text="英国铁路包税">
      <formula>NOT(ISERROR(SEARCH("英国铁路包税",M1)))</formula>
    </cfRule>
    <cfRule type="containsText" dxfId="20" priority="29" operator="containsText" text="英国铁路自税">
      <formula>NOT(ISERROR(SEARCH("英国铁路自税",M1)))</formula>
    </cfRule>
    <cfRule type="containsText" dxfId="19" priority="30" operator="containsText" text="英国海运包税">
      <formula>NOT(ISERROR(SEARCH("英国海运包税",M1)))</formula>
    </cfRule>
    <cfRule type="containsText" dxfId="18" priority="31" operator="containsText" text="英国海运自税">
      <formula>NOT(ISERROR(SEARCH("英国海运自税",M1)))</formula>
    </cfRule>
    <cfRule type="containsText" dxfId="17" priority="32" operator="containsText" text="英国空运包税">
      <formula>NOT(ISERROR(SEARCH("英国空运包税",M1)))</formula>
    </cfRule>
    <cfRule type="containsText" dxfId="16" priority="33" operator="containsText" text="英国空运自税">
      <formula>NOT(ISERROR(SEARCH("英国空运自税",M1)))</formula>
    </cfRule>
  </conditionalFormatting>
  <dataValidations count="1">
    <dataValidation allowBlank="1" showInputMessage="1" sqref="A1:XFD1048576" xr:uid="{00000000-0002-0000-0000-000000000000}"/>
  </dataValidations>
  <hyperlinks>
    <hyperlink ref="I1" location="整体价格表参考!I1" display="：发布日期" xr:uid="{00000000-0004-0000-0000-000000000000}"/>
    <hyperlink ref="E6" location="CEL!A1" display="点击查看" xr:uid="{00000000-0004-0000-0000-000001000000}"/>
    <hyperlink ref="E7" location="UNI!A1" display="点击查看" xr:uid="{00000000-0004-0000-0000-000002000000}"/>
    <hyperlink ref="J2" r:id="rId1" xr:uid="{00000000-0004-0000-0000-000003000000}"/>
    <hyperlink ref="J3" r:id="rId2" xr:uid="{00000000-0004-0000-0000-000004000000}"/>
    <hyperlink ref="J4" r:id="rId3" xr:uid="{00000000-0004-0000-0000-000005000000}"/>
    <hyperlink ref="J2:O2" r:id="rId4" display="跨境巴士代贴单网址：http://hd.ozon56.net/index/login/login.html" xr:uid="{00000000-0004-0000-0000-000006000000}"/>
    <hyperlink ref="E8" location="E邮宝!A1" display="点击查看" xr:uid="{00000000-0004-0000-0000-000007000000}"/>
    <hyperlink ref="E9" location="E包裹特惠!A1" display="点击查看" xr:uid="{00000000-0004-0000-0000-000008000000}"/>
    <hyperlink ref="E10" location="'WB-Yandex'!A1" display="点击查看" xr:uid="{00000000-0004-0000-0000-000009000000}"/>
    <hyperlink ref="E11" location="GUOO!A1" display="点击查看" xr:uid="{00000000-0004-0000-0000-00000A000000}"/>
  </hyperlinks>
  <pageMargins left="0.75" right="0.75" top="1" bottom="1" header="0.5" footer="0.5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X43"/>
  <sheetViews>
    <sheetView showGridLines="0" showRowColHeaders="0" zoomScale="70" zoomScaleNormal="70" workbookViewId="0">
      <pane ySplit="4" topLeftCell="A5" activePane="bottomLeft" state="frozen"/>
      <selection pane="bottomLeft" activeCell="O5" sqref="O5"/>
    </sheetView>
  </sheetViews>
  <sheetFormatPr defaultColWidth="9" defaultRowHeight="15.6" x14ac:dyDescent="0.25"/>
  <cols>
    <col min="1" max="1" width="0.88671875" style="40" customWidth="1"/>
    <col min="2" max="2" width="16.77734375" style="76" customWidth="1"/>
    <col min="3" max="3" width="23.6640625" style="40" customWidth="1"/>
    <col min="4" max="4" width="12.6640625" style="40" customWidth="1"/>
    <col min="5" max="5" width="9.6640625" style="40" customWidth="1"/>
    <col min="6" max="6" width="7.6640625" style="40" customWidth="1"/>
    <col min="7" max="7" width="14.109375" style="40" customWidth="1"/>
    <col min="8" max="8" width="21.5546875" style="77" customWidth="1"/>
    <col min="9" max="9" width="11.6640625" style="40" customWidth="1"/>
    <col min="10" max="10" width="16.6640625" style="40" customWidth="1"/>
    <col min="11" max="11" width="17.109375" style="40" customWidth="1"/>
    <col min="12" max="12" width="8.6640625" style="40" customWidth="1"/>
    <col min="13" max="13" width="23.21875" style="76" customWidth="1"/>
    <col min="14" max="16" width="8.6640625" style="76" customWidth="1"/>
    <col min="17" max="17" width="9.5546875" style="78" customWidth="1"/>
    <col min="18" max="18" width="0.88671875" style="40" customWidth="1"/>
    <col min="19" max="19" width="10.6640625" style="79" customWidth="1"/>
    <col min="20" max="20" width="9" style="40"/>
    <col min="21" max="21" width="11.6640625" style="40" customWidth="1"/>
    <col min="22" max="22" width="10.33203125" style="40" customWidth="1"/>
    <col min="23" max="23" width="31.77734375" style="40" customWidth="1"/>
    <col min="24" max="16384" width="9" style="40"/>
  </cols>
  <sheetData>
    <row r="1" spans="2:24" ht="22.05" hidden="1" customHeight="1" x14ac:dyDescent="0.25"/>
    <row r="2" spans="2:24" ht="29.1" customHeight="1" x14ac:dyDescent="0.25">
      <c r="B2" s="183" t="s">
        <v>33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5"/>
    </row>
    <row r="3" spans="2:24" ht="24.9" customHeight="1" x14ac:dyDescent="0.25">
      <c r="B3" s="186" t="s">
        <v>34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8"/>
    </row>
    <row r="4" spans="2:24" ht="33" customHeight="1" x14ac:dyDescent="0.25">
      <c r="B4" s="80" t="s">
        <v>35</v>
      </c>
      <c r="C4" s="81" t="s">
        <v>36</v>
      </c>
      <c r="D4" s="81" t="s">
        <v>37</v>
      </c>
      <c r="E4" s="81" t="s">
        <v>38</v>
      </c>
      <c r="F4" s="81" t="s">
        <v>39</v>
      </c>
      <c r="G4" s="81" t="s">
        <v>40</v>
      </c>
      <c r="H4" s="81" t="s">
        <v>41</v>
      </c>
      <c r="I4" s="81" t="s">
        <v>42</v>
      </c>
      <c r="J4" s="81" t="s">
        <v>43</v>
      </c>
      <c r="K4" s="81" t="s">
        <v>44</v>
      </c>
      <c r="L4" s="81" t="s">
        <v>45</v>
      </c>
      <c r="M4" s="81" t="s">
        <v>46</v>
      </c>
      <c r="N4" s="90" t="s">
        <v>47</v>
      </c>
      <c r="O4" s="91" t="s">
        <v>48</v>
      </c>
      <c r="P4" s="91" t="s">
        <v>49</v>
      </c>
      <c r="Q4" s="95" t="s">
        <v>50</v>
      </c>
      <c r="R4" s="47"/>
      <c r="S4" s="96">
        <v>6</v>
      </c>
      <c r="T4" s="189" t="s">
        <v>51</v>
      </c>
      <c r="U4" s="190"/>
    </row>
    <row r="5" spans="2:24" s="75" customFormat="1" ht="31.2" x14ac:dyDescent="0.25">
      <c r="B5" s="182" t="s">
        <v>52</v>
      </c>
      <c r="C5" s="82" t="s">
        <v>53</v>
      </c>
      <c r="D5" s="82" t="s">
        <v>54</v>
      </c>
      <c r="E5" s="83" t="s">
        <v>55</v>
      </c>
      <c r="F5" s="195" t="s">
        <v>56</v>
      </c>
      <c r="G5" s="84" t="s">
        <v>57</v>
      </c>
      <c r="H5" s="85" t="s">
        <v>58</v>
      </c>
      <c r="I5" s="172" t="s">
        <v>59</v>
      </c>
      <c r="J5" s="168" t="s">
        <v>60</v>
      </c>
      <c r="K5" s="169" t="s">
        <v>61</v>
      </c>
      <c r="L5" s="164" t="s">
        <v>62</v>
      </c>
      <c r="M5" s="167" t="s">
        <v>63</v>
      </c>
      <c r="N5" s="92">
        <f t="shared" ref="N5:N34" si="0">IF(AND(O5&gt;$S$4,O5&lt;&gt;""),O5,$S$4)</f>
        <v>6</v>
      </c>
      <c r="O5" s="93" t="str">
        <f>IF(AND($S$8&gt;90,P5&lt;100),$R$5*$R$6*$R$7/10000,"")</f>
        <v/>
      </c>
      <c r="P5" s="94" t="str">
        <f>IF(AND($S$9&lt;=1500,$S$4&lt;=0.5,($S$6+$S$7+$S$5)&lt;=90,$S$6&lt;=60,$S$7&lt;=60,$S$5&lt;=60),$S$4/($S$5*$S$6*$S$7/1000000),"")</f>
        <v/>
      </c>
      <c r="Q5" s="97" t="str">
        <f>IF(AND($S$9&lt;=1500,$S$4&lt;=0.5,($S$5+$S$6+$S$7)&lt;=90,$S$5&lt;=60,$S$6&lt;=60,$S$7&lt;=60),N5*45+3,"")</f>
        <v/>
      </c>
      <c r="S5" s="98">
        <v>70</v>
      </c>
      <c r="T5" s="160" t="s">
        <v>64</v>
      </c>
      <c r="U5" s="161"/>
    </row>
    <row r="6" spans="2:24" s="75" customFormat="1" ht="31.2" x14ac:dyDescent="0.25">
      <c r="B6" s="182"/>
      <c r="C6" s="82" t="s">
        <v>65</v>
      </c>
      <c r="D6" s="82" t="s">
        <v>66</v>
      </c>
      <c r="E6" s="83" t="s">
        <v>55</v>
      </c>
      <c r="F6" s="196"/>
      <c r="G6" s="84" t="s">
        <v>67</v>
      </c>
      <c r="H6" s="85" t="s">
        <v>68</v>
      </c>
      <c r="I6" s="172"/>
      <c r="J6" s="168"/>
      <c r="K6" s="169"/>
      <c r="L6" s="165"/>
      <c r="M6" s="167"/>
      <c r="N6" s="92">
        <f t="shared" si="0"/>
        <v>6</v>
      </c>
      <c r="O6" s="93" t="str">
        <f>IF(AND($S$8&gt;90,P6&lt;80),$R$5*$R$6*$R$7/12500,"")</f>
        <v/>
      </c>
      <c r="P6" s="94" t="str">
        <f>IF(AND($S$9&lt;=1500,$S$4&lt;=0.5,($S$6+$S$7+$S$5)&lt;=90,$S$6&lt;=60,$S$7&lt;=60,$S$5&lt;=60),$S$4/($S$5*$S$6*$S$7/1000000),"")</f>
        <v/>
      </c>
      <c r="Q6" s="97" t="str">
        <f>IF(AND($S$9&lt;=1500,$S$4&lt;=0.5,($S$5+$S$6+$S$7)&lt;=90,$S$5&lt;=60,$S$6&lt;=60,$S$7&lt;=60),N5*35+3,"")</f>
        <v/>
      </c>
      <c r="S6" s="98">
        <v>30</v>
      </c>
      <c r="T6" s="160"/>
      <c r="U6" s="161"/>
    </row>
    <row r="7" spans="2:24" s="75" customFormat="1" ht="31.2" x14ac:dyDescent="0.25">
      <c r="B7" s="182"/>
      <c r="C7" s="82" t="s">
        <v>69</v>
      </c>
      <c r="D7" s="82" t="s">
        <v>70</v>
      </c>
      <c r="E7" s="83" t="s">
        <v>55</v>
      </c>
      <c r="F7" s="196"/>
      <c r="G7" s="84" t="s">
        <v>71</v>
      </c>
      <c r="H7" s="85" t="s">
        <v>72</v>
      </c>
      <c r="I7" s="172"/>
      <c r="J7" s="168"/>
      <c r="K7" s="169"/>
      <c r="L7" s="165"/>
      <c r="M7" s="167"/>
      <c r="N7" s="92">
        <f t="shared" si="0"/>
        <v>6</v>
      </c>
      <c r="O7" s="93" t="str">
        <f>IF(AND($S$8&gt;90,P7&lt;70),$R$5*$R$6*$R$7/14200,"")</f>
        <v/>
      </c>
      <c r="P7" s="94" t="str">
        <f>IF(AND($S$9&lt;=1500,$S$4&lt;=0.5,($S$6+$S$7+$S$5)&lt;=90,$S$6&lt;=60,$S$7&lt;=60,$S$5&lt;=60),$S$4/($S$5*$S$6*$S$7/1000000),"")</f>
        <v/>
      </c>
      <c r="Q7" s="97" t="str">
        <f>IF(AND($S$9&lt;=1500,$S$4&lt;=0.5,($S$5+$S$6+$S$7)&lt;=90,$S$5&lt;=60,$S$6&lt;=60,$S$7&lt;=60),N6*25+3,"")</f>
        <v/>
      </c>
      <c r="S7" s="98">
        <v>30</v>
      </c>
      <c r="T7" s="160"/>
      <c r="U7" s="161"/>
    </row>
    <row r="8" spans="2:24" s="75" customFormat="1" ht="46.8" x14ac:dyDescent="0.25">
      <c r="B8" s="182" t="s">
        <v>73</v>
      </c>
      <c r="C8" s="82" t="s">
        <v>74</v>
      </c>
      <c r="D8" s="82" t="s">
        <v>75</v>
      </c>
      <c r="E8" s="83" t="s">
        <v>55</v>
      </c>
      <c r="F8" s="196"/>
      <c r="G8" s="84" t="s">
        <v>57</v>
      </c>
      <c r="H8" s="85" t="s">
        <v>76</v>
      </c>
      <c r="I8" s="173" t="s">
        <v>77</v>
      </c>
      <c r="J8" s="168" t="s">
        <v>60</v>
      </c>
      <c r="K8" s="169" t="s">
        <v>78</v>
      </c>
      <c r="L8" s="165"/>
      <c r="M8" s="167" t="s">
        <v>79</v>
      </c>
      <c r="N8" s="92">
        <f t="shared" si="0"/>
        <v>6</v>
      </c>
      <c r="O8" s="93" t="str">
        <f>IF(AND($S$8&gt;90,P8&lt;100),$S$5*$S$6*$S$7/10000,"")</f>
        <v/>
      </c>
      <c r="P8" s="94" t="str">
        <f>IF(AND($S$9&lt;=1500,$S$4&gt;0.5,$S$4&lt;=25,($S$5+$S$6+$S$7)&lt;=150,$S$5&lt;=60,$S$6&lt;=60,$S$7&lt;=60),$S$4/($S$5*$S$6*$S$7/1000000),"")</f>
        <v/>
      </c>
      <c r="Q8" s="97" t="str">
        <f>IF(AND($S$9&lt;=1500,$S$4&gt;0.5,$S$4&lt;=25,($S$5+$S$6+$S$7)&lt;=150,$S$5&lt;=60,$S$6&lt;=60,$S$7&lt;=60),N8*33+23,"")</f>
        <v/>
      </c>
      <c r="S8" s="99">
        <f>S5+S6+S7</f>
        <v>130</v>
      </c>
      <c r="T8" s="191" t="s">
        <v>80</v>
      </c>
      <c r="U8" s="192"/>
    </row>
    <row r="9" spans="2:24" s="75" customFormat="1" ht="46.8" x14ac:dyDescent="0.25">
      <c r="B9" s="182"/>
      <c r="C9" s="82" t="s">
        <v>81</v>
      </c>
      <c r="D9" s="82" t="s">
        <v>82</v>
      </c>
      <c r="E9" s="83" t="s">
        <v>55</v>
      </c>
      <c r="F9" s="196"/>
      <c r="G9" s="84" t="s">
        <v>67</v>
      </c>
      <c r="H9" s="85" t="s">
        <v>83</v>
      </c>
      <c r="I9" s="173"/>
      <c r="J9" s="168"/>
      <c r="K9" s="169"/>
      <c r="L9" s="165"/>
      <c r="M9" s="167"/>
      <c r="N9" s="92">
        <f t="shared" si="0"/>
        <v>6</v>
      </c>
      <c r="O9" s="93" t="str">
        <f>IF(AND($S$8&gt;90,P9&lt;100),$S$5*$S$6*$S$7/12500,"")</f>
        <v/>
      </c>
      <c r="P9" s="94" t="str">
        <f>IF(AND($S$9&lt;=1500,$S$4&gt;0.5,$S$4&lt;=25,($S$5+$S$6+$S$7)&lt;=150,$S$5&lt;=60,$S$6&lt;=60,$S$7&lt;=60),$S$4/($S$5*$S$6*$S$7/1000000),"")</f>
        <v/>
      </c>
      <c r="Q9" s="97" t="str">
        <f>IF(AND($S$9&lt;=1500,$S$4&gt;0.5,$S$4&lt;=25,($S$5+$S$6+$S$7)&lt;=150,$S$5&lt;=60,$S$6&lt;=60,$S$7&lt;=60),N9*25+23,"")</f>
        <v/>
      </c>
      <c r="S9" s="100">
        <v>8000</v>
      </c>
      <c r="T9" s="193" t="s">
        <v>84</v>
      </c>
      <c r="U9" s="194"/>
    </row>
    <row r="10" spans="2:24" s="75" customFormat="1" ht="33" customHeight="1" x14ac:dyDescent="0.25">
      <c r="B10" s="182"/>
      <c r="C10" s="82" t="s">
        <v>85</v>
      </c>
      <c r="D10" s="82" t="s">
        <v>86</v>
      </c>
      <c r="E10" s="83" t="s">
        <v>55</v>
      </c>
      <c r="F10" s="196"/>
      <c r="G10" s="84" t="s">
        <v>71</v>
      </c>
      <c r="H10" s="85" t="s">
        <v>87</v>
      </c>
      <c r="I10" s="173"/>
      <c r="J10" s="168"/>
      <c r="K10" s="169"/>
      <c r="L10" s="165"/>
      <c r="M10" s="167"/>
      <c r="N10" s="92">
        <f t="shared" si="0"/>
        <v>6</v>
      </c>
      <c r="O10" s="93" t="str">
        <f>IF(AND($S$8&gt;90,P10&lt;100),$S$5*$S$6*$S$7/14200,"")</f>
        <v/>
      </c>
      <c r="P10" s="94" t="str">
        <f>IF(AND($S$9&lt;=1500,$S$4&gt;0.5,$S$4&lt;=25,($S$5+$S$6+$S$7)&lt;=150,$S$5&lt;=60,$S$6&lt;=60,$S$7&lt;=60),$S$4/($S$5*$S$6*$S$7/1000000),"")</f>
        <v/>
      </c>
      <c r="Q10" s="97" t="str">
        <f>IF(AND($S$9&lt;=1500,$S$4&gt;0.5,$S$4&lt;=25,($S$5+$S$6+$S$7)&lt;=150,$S$5&lt;=60,$S$6&lt;=60,$S$7&lt;=60),N10*17+23,"")</f>
        <v/>
      </c>
      <c r="S10" s="162" t="s">
        <v>88</v>
      </c>
      <c r="T10" s="162"/>
      <c r="U10" s="162"/>
      <c r="V10" s="162"/>
      <c r="W10" s="162"/>
    </row>
    <row r="11" spans="2:24" s="75" customFormat="1" ht="16.5" customHeight="1" x14ac:dyDescent="0.25">
      <c r="B11" s="182" t="s">
        <v>89</v>
      </c>
      <c r="C11" s="174" t="s">
        <v>90</v>
      </c>
      <c r="D11" s="83" t="s">
        <v>91</v>
      </c>
      <c r="E11" s="83" t="s">
        <v>55</v>
      </c>
      <c r="F11" s="196"/>
      <c r="G11" s="171" t="s">
        <v>57</v>
      </c>
      <c r="H11" s="85" t="s">
        <v>92</v>
      </c>
      <c r="I11" s="172" t="s">
        <v>93</v>
      </c>
      <c r="J11" s="168" t="s">
        <v>94</v>
      </c>
      <c r="K11" s="169" t="s">
        <v>78</v>
      </c>
      <c r="L11" s="165"/>
      <c r="M11" s="167" t="s">
        <v>95</v>
      </c>
      <c r="N11" s="92">
        <f t="shared" si="0"/>
        <v>6</v>
      </c>
      <c r="O11" s="93" t="str">
        <f>IF(AND($S$8&gt;90,P11&lt;100),$S$5*$S$6*$S$7/10000,"")</f>
        <v/>
      </c>
      <c r="P11" s="94" t="str">
        <f t="shared" ref="P11:P16" si="1">IF(AND($S$9&gt;1500,$S$9&lt;=7000,$S$4&lt;=2,($S$5+$S$6+$S$7)&lt;=150,$S$5&lt;=60,$S$6&lt;=60,$S$7&lt;=60),$S$4/($S$5*$S$6*$S$7/1000000),"")</f>
        <v/>
      </c>
      <c r="Q11" s="97" t="str">
        <f>IF(AND($S$9&gt;1500,$S$9&lt;=7000,$S$4&lt;=2,($S$5+$S$6+$S$7)&lt;=150,$S$5&lt;=60,$S$6&lt;=60,$S$7&lt;=60),N11*45+16,"")</f>
        <v/>
      </c>
      <c r="S11" s="162"/>
      <c r="T11" s="162"/>
      <c r="U11" s="162"/>
      <c r="V11" s="162"/>
      <c r="W11" s="162"/>
      <c r="X11" s="101"/>
    </row>
    <row r="12" spans="2:24" s="75" customFormat="1" ht="16.5" customHeight="1" x14ac:dyDescent="0.25">
      <c r="B12" s="182"/>
      <c r="C12" s="174"/>
      <c r="D12" s="83" t="s">
        <v>96</v>
      </c>
      <c r="E12" s="83" t="s">
        <v>97</v>
      </c>
      <c r="F12" s="196"/>
      <c r="G12" s="171"/>
      <c r="H12" s="85" t="s">
        <v>98</v>
      </c>
      <c r="I12" s="172"/>
      <c r="J12" s="168"/>
      <c r="K12" s="169"/>
      <c r="L12" s="165"/>
      <c r="M12" s="167"/>
      <c r="N12" s="92">
        <f t="shared" si="0"/>
        <v>6</v>
      </c>
      <c r="O12" s="93" t="str">
        <f>IF(AND($S$8&gt;90,P12&lt;100),$S$5*$S$6*$S$7/10000,"")</f>
        <v/>
      </c>
      <c r="P12" s="94" t="str">
        <f t="shared" si="1"/>
        <v/>
      </c>
      <c r="Q12" s="97" t="str">
        <f>IF(AND($S$9&gt;1500,$S$9&lt;=7000,$S$4&lt;=2,($S$5+$S$6+$S$7)&lt;=150,$S$5&lt;=60,$S$6&lt;=60,$S$7&lt;=60),N12*45+19.5,"")</f>
        <v/>
      </c>
      <c r="S12" s="102" t="s">
        <v>99</v>
      </c>
      <c r="T12" s="23"/>
      <c r="U12" s="23"/>
      <c r="V12" s="23"/>
      <c r="W12" s="23"/>
      <c r="X12" s="101"/>
    </row>
    <row r="13" spans="2:24" s="75" customFormat="1" ht="18" customHeight="1" x14ac:dyDescent="0.25">
      <c r="B13" s="182"/>
      <c r="C13" s="174" t="s">
        <v>100</v>
      </c>
      <c r="D13" s="83" t="s">
        <v>101</v>
      </c>
      <c r="E13" s="83" t="s">
        <v>55</v>
      </c>
      <c r="F13" s="196"/>
      <c r="G13" s="171" t="s">
        <v>67</v>
      </c>
      <c r="H13" s="85" t="s">
        <v>102</v>
      </c>
      <c r="I13" s="172"/>
      <c r="J13" s="168"/>
      <c r="K13" s="169"/>
      <c r="L13" s="165"/>
      <c r="M13" s="167"/>
      <c r="N13" s="92">
        <f t="shared" si="0"/>
        <v>6</v>
      </c>
      <c r="O13" s="93" t="str">
        <f>IF(AND($S$8&gt;90,P13&lt;80),$S$5*$S$6*$S$7/12500,"")</f>
        <v/>
      </c>
      <c r="P13" s="94" t="str">
        <f t="shared" si="1"/>
        <v/>
      </c>
      <c r="Q13" s="97" t="str">
        <f>IF(AND($S$9&gt;1500,$S$9&lt;=7000,$S$4&lt;=2,($S$5+$S$6+$S$7)&lt;=150,$S$5&lt;=60,$S$6&lt;=60,$S$7&lt;=60),N13*35+16,"")</f>
        <v/>
      </c>
      <c r="S13" s="102" t="s">
        <v>103</v>
      </c>
      <c r="T13" s="23"/>
      <c r="U13" s="23"/>
      <c r="V13" s="23"/>
      <c r="W13" s="23"/>
    </row>
    <row r="14" spans="2:24" s="75" customFormat="1" ht="18" customHeight="1" x14ac:dyDescent="0.25">
      <c r="B14" s="182"/>
      <c r="C14" s="174"/>
      <c r="D14" s="83" t="s">
        <v>104</v>
      </c>
      <c r="E14" s="83" t="s">
        <v>97</v>
      </c>
      <c r="F14" s="196"/>
      <c r="G14" s="171"/>
      <c r="H14" s="85" t="s">
        <v>105</v>
      </c>
      <c r="I14" s="172"/>
      <c r="J14" s="168"/>
      <c r="K14" s="169"/>
      <c r="L14" s="165"/>
      <c r="M14" s="167"/>
      <c r="N14" s="92">
        <f t="shared" si="0"/>
        <v>6</v>
      </c>
      <c r="O14" s="93" t="str">
        <f>IF(AND($S$8&gt;90,P14&lt;80),$S$5*$S$6*$S$7/12500,"")</f>
        <v/>
      </c>
      <c r="P14" s="94" t="str">
        <f t="shared" si="1"/>
        <v/>
      </c>
      <c r="Q14" s="97" t="str">
        <f>IF(AND($S$9&gt;1500,$S$9&lt;=7000,$S$4&lt;=2,($S$5+$S$6+$S$7)&lt;=150,$S$5&lt;=60,$S$6&lt;=60,$S$7&lt;=60),N14*35+19.5,"")</f>
        <v/>
      </c>
      <c r="S14" s="102" t="s">
        <v>106</v>
      </c>
      <c r="T14" s="23"/>
      <c r="U14" s="23"/>
      <c r="V14" s="23"/>
      <c r="W14" s="23"/>
    </row>
    <row r="15" spans="2:24" s="75" customFormat="1" ht="16.5" customHeight="1" x14ac:dyDescent="0.25">
      <c r="B15" s="182"/>
      <c r="C15" s="174" t="s">
        <v>107</v>
      </c>
      <c r="D15" s="83" t="s">
        <v>108</v>
      </c>
      <c r="E15" s="83" t="s">
        <v>55</v>
      </c>
      <c r="F15" s="196"/>
      <c r="G15" s="171" t="s">
        <v>71</v>
      </c>
      <c r="H15" s="85" t="s">
        <v>109</v>
      </c>
      <c r="I15" s="172"/>
      <c r="J15" s="168"/>
      <c r="K15" s="169"/>
      <c r="L15" s="165"/>
      <c r="M15" s="167"/>
      <c r="N15" s="92">
        <f t="shared" si="0"/>
        <v>6</v>
      </c>
      <c r="O15" s="93" t="str">
        <f>IF(AND($S$8&gt;90,P15&lt;70),$S$5*$S$6*$S$7/14200,"")</f>
        <v/>
      </c>
      <c r="P15" s="94" t="str">
        <f t="shared" si="1"/>
        <v/>
      </c>
      <c r="Q15" s="97" t="str">
        <f>IF(AND($S$9&gt;1500,$S$9&lt;=7000,$S$4&lt;=2,($S$5+$S$6+$S$7)&lt;=150,$S$5&lt;=60,$S$6&lt;=60,$S$7&lt;=60),N15*25+16,"")</f>
        <v/>
      </c>
      <c r="S15" s="102" t="s">
        <v>110</v>
      </c>
      <c r="T15" s="23"/>
      <c r="U15" s="23"/>
      <c r="V15" s="1"/>
      <c r="W15" s="1"/>
    </row>
    <row r="16" spans="2:24" s="75" customFormat="1" ht="16.5" customHeight="1" x14ac:dyDescent="0.25">
      <c r="B16" s="182"/>
      <c r="C16" s="174"/>
      <c r="D16" s="83" t="s">
        <v>111</v>
      </c>
      <c r="E16" s="83" t="s">
        <v>97</v>
      </c>
      <c r="F16" s="196"/>
      <c r="G16" s="171"/>
      <c r="H16" s="85" t="s">
        <v>112</v>
      </c>
      <c r="I16" s="172"/>
      <c r="J16" s="168"/>
      <c r="K16" s="170"/>
      <c r="L16" s="165"/>
      <c r="M16" s="167"/>
      <c r="N16" s="92">
        <f t="shared" si="0"/>
        <v>6</v>
      </c>
      <c r="O16" s="93" t="str">
        <f>IF(AND($S$8&gt;90,P16&lt;70),$S$5*$S$6*$S$7/14200,"")</f>
        <v/>
      </c>
      <c r="P16" s="94" t="str">
        <f t="shared" si="1"/>
        <v/>
      </c>
      <c r="Q16" s="97" t="str">
        <f>IF(AND($S$9&gt;1500,$S$9&lt;=7000,$S$4&lt;=2,($S$5+$S$6+$S$7)&lt;=150,$S$5&lt;=60,$S$6&lt;=60,$S$7&lt;=60),N16*25+19.5,"")</f>
        <v/>
      </c>
      <c r="S16" s="163" t="s">
        <v>113</v>
      </c>
      <c r="T16" s="163"/>
      <c r="U16" s="163"/>
      <c r="V16" s="163"/>
      <c r="W16" s="163"/>
    </row>
    <row r="17" spans="2:23" s="75" customFormat="1" ht="16.2" x14ac:dyDescent="0.25">
      <c r="B17" s="182" t="s">
        <v>114</v>
      </c>
      <c r="C17" s="174" t="s">
        <v>115</v>
      </c>
      <c r="D17" s="83" t="s">
        <v>116</v>
      </c>
      <c r="E17" s="83" t="s">
        <v>55</v>
      </c>
      <c r="F17" s="196"/>
      <c r="G17" s="171" t="s">
        <v>57</v>
      </c>
      <c r="H17" s="85" t="s">
        <v>117</v>
      </c>
      <c r="I17" s="172" t="s">
        <v>118</v>
      </c>
      <c r="J17" s="168" t="s">
        <v>94</v>
      </c>
      <c r="K17" s="169" t="s">
        <v>119</v>
      </c>
      <c r="L17" s="165"/>
      <c r="M17" s="167" t="s">
        <v>120</v>
      </c>
      <c r="N17" s="92">
        <f t="shared" si="0"/>
        <v>6</v>
      </c>
      <c r="O17" s="93" t="str">
        <f>IF(AND($S$8&gt;90,P17&lt;100),$S$5*$S$6*$S$7/10000,"")</f>
        <v/>
      </c>
      <c r="P17" s="94" t="str">
        <f t="shared" ref="P17:P22" si="2">IF(AND($S$9&gt;1500,$S$9&lt;=7000,$S$4&gt;2,$S$4&lt;=25,($S$5+$S$6+$S$7)&lt;=250,$S$5&lt;=150,$S$6&lt;=150,$S$7&lt;=150),$S$4/($S$5*$S$6*$S$7/1000000),"")</f>
        <v/>
      </c>
      <c r="Q17" s="97" t="str">
        <f>IF(AND($S$9&gt;1500,$S$9&lt;=7000,$S$4&gt;2,$S$4&lt;=25,($S$5+$S$6+$S$7)&lt;=250,$S$5&lt;=150,$S$6&lt;=150,$S$7&lt;=150),N17*33+36,"")</f>
        <v/>
      </c>
      <c r="S17" s="163"/>
      <c r="T17" s="163"/>
      <c r="U17" s="163"/>
      <c r="V17" s="163"/>
      <c r="W17" s="163"/>
    </row>
    <row r="18" spans="2:23" s="75" customFormat="1" ht="16.2" x14ac:dyDescent="0.25">
      <c r="B18" s="182"/>
      <c r="C18" s="174"/>
      <c r="D18" s="83" t="s">
        <v>121</v>
      </c>
      <c r="E18" s="83" t="s">
        <v>97</v>
      </c>
      <c r="F18" s="196"/>
      <c r="G18" s="171"/>
      <c r="H18" s="85" t="s">
        <v>122</v>
      </c>
      <c r="I18" s="172"/>
      <c r="J18" s="168"/>
      <c r="K18" s="169"/>
      <c r="L18" s="165"/>
      <c r="M18" s="167"/>
      <c r="N18" s="92">
        <f t="shared" si="0"/>
        <v>6</v>
      </c>
      <c r="O18" s="93" t="str">
        <f>IF(AND($S$8&gt;90,P18&lt;100),$S$5*$S$6*$S$7/10000,"")</f>
        <v/>
      </c>
      <c r="P18" s="94" t="str">
        <f t="shared" si="2"/>
        <v/>
      </c>
      <c r="Q18" s="97" t="str">
        <f>IF(AND($S$9&gt;1500,$S$9&lt;=7000,$S$4&gt;2,$S$4&lt;=25,($S$5+$S$6+$S$7)&lt;=250,$S$5&lt;=150,$S$6&lt;=150,$S$7&lt;=150),N18*33+39.5,"")</f>
        <v/>
      </c>
      <c r="S18" s="79"/>
    </row>
    <row r="19" spans="2:23" s="75" customFormat="1" ht="16.2" x14ac:dyDescent="0.25">
      <c r="B19" s="182"/>
      <c r="C19" s="174" t="s">
        <v>123</v>
      </c>
      <c r="D19" s="83" t="s">
        <v>124</v>
      </c>
      <c r="E19" s="83" t="s">
        <v>55</v>
      </c>
      <c r="F19" s="196"/>
      <c r="G19" s="171" t="s">
        <v>67</v>
      </c>
      <c r="H19" s="85" t="s">
        <v>125</v>
      </c>
      <c r="I19" s="172"/>
      <c r="J19" s="168"/>
      <c r="K19" s="169"/>
      <c r="L19" s="165"/>
      <c r="M19" s="167"/>
      <c r="N19" s="92">
        <f t="shared" si="0"/>
        <v>6</v>
      </c>
      <c r="O19" s="93" t="str">
        <f>IF(AND($S$8&gt;90,P19&lt;100),$S$5*$S$6*$S$7/12500,"")</f>
        <v/>
      </c>
      <c r="P19" s="94" t="str">
        <f t="shared" si="2"/>
        <v/>
      </c>
      <c r="Q19" s="97" t="str">
        <f>IF(AND($S$9&gt;1500,$S$9&lt;=7000,$S$4&gt;2,$S$4&lt;=25,($S$5+$S$6+$S$7)&lt;=250,$S$5&lt;=150,$S$6&lt;=150,$S$7&lt;=150),N19*25+36,"")</f>
        <v/>
      </c>
      <c r="S19" s="79"/>
    </row>
    <row r="20" spans="2:23" s="75" customFormat="1" ht="16.2" x14ac:dyDescent="0.25">
      <c r="B20" s="182"/>
      <c r="C20" s="174"/>
      <c r="D20" s="83" t="s">
        <v>126</v>
      </c>
      <c r="E20" s="83" t="s">
        <v>97</v>
      </c>
      <c r="F20" s="196"/>
      <c r="G20" s="171"/>
      <c r="H20" s="85" t="s">
        <v>127</v>
      </c>
      <c r="I20" s="172"/>
      <c r="J20" s="168"/>
      <c r="K20" s="169"/>
      <c r="L20" s="165"/>
      <c r="M20" s="167"/>
      <c r="N20" s="92">
        <f t="shared" si="0"/>
        <v>6</v>
      </c>
      <c r="O20" s="93" t="str">
        <f>IF(AND($S$8&gt;90,P20&lt;100),$S$5*$S$6*$S$7/12500,"")</f>
        <v/>
      </c>
      <c r="P20" s="94" t="str">
        <f t="shared" si="2"/>
        <v/>
      </c>
      <c r="Q20" s="97" t="str">
        <f>IF(AND($S$9&gt;1500,$S$9&lt;=7000,$S$4&gt;2,$S$4&lt;=25,($S$5+$S$6+$S$7)&lt;=250,$S$5&lt;=150,$S$6&lt;=150,$S$7&lt;=150),N20*25+39.5,"")</f>
        <v/>
      </c>
      <c r="S20" s="79"/>
    </row>
    <row r="21" spans="2:23" s="75" customFormat="1" ht="16.2" x14ac:dyDescent="0.25">
      <c r="B21" s="182"/>
      <c r="C21" s="174" t="s">
        <v>128</v>
      </c>
      <c r="D21" s="83" t="s">
        <v>129</v>
      </c>
      <c r="E21" s="83" t="s">
        <v>55</v>
      </c>
      <c r="F21" s="196"/>
      <c r="G21" s="171" t="s">
        <v>71</v>
      </c>
      <c r="H21" s="85" t="s">
        <v>130</v>
      </c>
      <c r="I21" s="172"/>
      <c r="J21" s="168"/>
      <c r="K21" s="169"/>
      <c r="L21" s="165"/>
      <c r="M21" s="167"/>
      <c r="N21" s="92">
        <f t="shared" si="0"/>
        <v>6</v>
      </c>
      <c r="O21" s="93" t="str">
        <f>IF(AND($S$8&gt;90,P21&lt;100),$S$5*$S$6*$S$7/14200,"")</f>
        <v/>
      </c>
      <c r="P21" s="94" t="str">
        <f t="shared" si="2"/>
        <v/>
      </c>
      <c r="Q21" s="97" t="str">
        <f>IF(AND($S$9&gt;1500,$S$9&lt;=7000,$S$4&gt;2,$S$4&lt;=25,($S$5+$S$6+$S$7)&lt;=250,$S$5&lt;=150,$S$6&lt;=150,$S$7&lt;=150),N21*17+36,"")</f>
        <v/>
      </c>
      <c r="S21" s="79"/>
    </row>
    <row r="22" spans="2:23" s="75" customFormat="1" ht="16.2" x14ac:dyDescent="0.25">
      <c r="B22" s="182"/>
      <c r="C22" s="174"/>
      <c r="D22" s="83" t="s">
        <v>131</v>
      </c>
      <c r="E22" s="83" t="s">
        <v>97</v>
      </c>
      <c r="F22" s="196"/>
      <c r="G22" s="171"/>
      <c r="H22" s="85" t="s">
        <v>132</v>
      </c>
      <c r="I22" s="172"/>
      <c r="J22" s="168"/>
      <c r="K22" s="170"/>
      <c r="L22" s="165"/>
      <c r="M22" s="167"/>
      <c r="N22" s="92">
        <f t="shared" si="0"/>
        <v>6</v>
      </c>
      <c r="O22" s="93" t="str">
        <f>IF(AND($S$8&gt;90,P22&lt;100),$S$5*$S$6*$S$7/14200,"")</f>
        <v/>
      </c>
      <c r="P22" s="94" t="str">
        <f t="shared" si="2"/>
        <v/>
      </c>
      <c r="Q22" s="97" t="str">
        <f>IF(AND($S$9&gt;1500,$S$9&lt;=7000,$S$4&gt;2,$S$4&lt;=25,($S$5+$S$6+$S$7)&lt;=250,$S$5&lt;=150,$S$6&lt;=150,$S$7&lt;=150),N22*17+39.5,"")</f>
        <v/>
      </c>
      <c r="S22" s="79"/>
    </row>
    <row r="23" spans="2:23" s="75" customFormat="1" ht="16.2" x14ac:dyDescent="0.25">
      <c r="B23" s="182" t="s">
        <v>133</v>
      </c>
      <c r="C23" s="174" t="s">
        <v>134</v>
      </c>
      <c r="D23" s="83" t="s">
        <v>135</v>
      </c>
      <c r="E23" s="83" t="s">
        <v>55</v>
      </c>
      <c r="F23" s="196"/>
      <c r="G23" s="171" t="s">
        <v>57</v>
      </c>
      <c r="H23" s="85" t="s">
        <v>136</v>
      </c>
      <c r="I23" s="172" t="s">
        <v>137</v>
      </c>
      <c r="J23" s="168" t="s">
        <v>138</v>
      </c>
      <c r="K23" s="169" t="s">
        <v>119</v>
      </c>
      <c r="L23" s="165"/>
      <c r="M23" s="167" t="s">
        <v>139</v>
      </c>
      <c r="N23" s="92">
        <f t="shared" si="0"/>
        <v>6</v>
      </c>
      <c r="O23" s="93" t="str">
        <f>IF(AND($S$8&gt;90,P23&lt;100),$S$5*$S$6*$S$7/10000,"")</f>
        <v/>
      </c>
      <c r="P23" s="94" t="str">
        <f t="shared" ref="P23:P28" si="3">IF(AND($S$9&gt;=7001,$S$9&lt;=250000,$S$4&lt;=5,($S$5+$S$6+$S$7)&lt;=250,$S$5&lt;=150,$S$6&lt;=150,$S$7&lt;=150),$S$4/($S$5*$S$6*$S$7/1000000),"")</f>
        <v/>
      </c>
      <c r="Q23" s="97" t="str">
        <f>IF(AND($S$9&gt;=7001,$S$9&lt;=250000,$S$4&lt;=5,($S$5+$S$6+$S$7)&lt;=250,$S$5&lt;=150,$S$6&lt;=150,$S$7&lt;=150),N23*45+22,"")</f>
        <v/>
      </c>
      <c r="S23" s="79"/>
    </row>
    <row r="24" spans="2:23" s="75" customFormat="1" ht="16.2" x14ac:dyDescent="0.25">
      <c r="B24" s="182"/>
      <c r="C24" s="174"/>
      <c r="D24" s="83" t="s">
        <v>140</v>
      </c>
      <c r="E24" s="83" t="s">
        <v>97</v>
      </c>
      <c r="F24" s="196"/>
      <c r="G24" s="171"/>
      <c r="H24" s="85" t="s">
        <v>141</v>
      </c>
      <c r="I24" s="172"/>
      <c r="J24" s="168"/>
      <c r="K24" s="169"/>
      <c r="L24" s="165"/>
      <c r="M24" s="167"/>
      <c r="N24" s="92">
        <f t="shared" si="0"/>
        <v>6</v>
      </c>
      <c r="O24" s="93" t="str">
        <f>IF(AND($S$8&gt;90,P24&lt;100),$S$5*$S$6*$S$7/10000,"")</f>
        <v/>
      </c>
      <c r="P24" s="94" t="str">
        <f t="shared" si="3"/>
        <v/>
      </c>
      <c r="Q24" s="97" t="str">
        <f>IF(AND($S$9&gt;=7001,$S$9&lt;=250000,$S$4&lt;=5,($S$5+$S$6+$S$7)&lt;=250,$S$5&lt;=150,$S$6&lt;=150,$S$7&lt;=150),N24*45+25.5,"")</f>
        <v/>
      </c>
      <c r="S24" s="79"/>
    </row>
    <row r="25" spans="2:23" s="75" customFormat="1" ht="16.2" x14ac:dyDescent="0.25">
      <c r="B25" s="182"/>
      <c r="C25" s="174" t="s">
        <v>142</v>
      </c>
      <c r="D25" s="83" t="s">
        <v>143</v>
      </c>
      <c r="E25" s="83" t="s">
        <v>55</v>
      </c>
      <c r="F25" s="196"/>
      <c r="G25" s="171" t="s">
        <v>67</v>
      </c>
      <c r="H25" s="85" t="s">
        <v>144</v>
      </c>
      <c r="I25" s="172"/>
      <c r="J25" s="168"/>
      <c r="K25" s="169"/>
      <c r="L25" s="165"/>
      <c r="M25" s="167"/>
      <c r="N25" s="92">
        <f t="shared" si="0"/>
        <v>6</v>
      </c>
      <c r="O25" s="93" t="str">
        <f>IF(AND($S$8&gt;90,P26&lt;100),$S$5*$S$6*$S$7/12500,"")</f>
        <v/>
      </c>
      <c r="P25" s="94" t="str">
        <f t="shared" si="3"/>
        <v/>
      </c>
      <c r="Q25" s="97" t="str">
        <f>IF(AND($S$9&gt;=7001,$S$9&lt;=250000,$S$4&lt;=5,($S$5+$S$6+$S$7)&lt;=250,$S$5&lt;=150,$S$6&lt;=150,$S$7&lt;=150),N25*35+22,"")</f>
        <v/>
      </c>
      <c r="S25" s="79"/>
    </row>
    <row r="26" spans="2:23" s="75" customFormat="1" ht="16.2" x14ac:dyDescent="0.25">
      <c r="B26" s="182"/>
      <c r="C26" s="174"/>
      <c r="D26" s="83" t="s">
        <v>145</v>
      </c>
      <c r="E26" s="83" t="s">
        <v>97</v>
      </c>
      <c r="F26" s="196"/>
      <c r="G26" s="171"/>
      <c r="H26" s="85" t="s">
        <v>146</v>
      </c>
      <c r="I26" s="172"/>
      <c r="J26" s="168"/>
      <c r="K26" s="169"/>
      <c r="L26" s="165"/>
      <c r="M26" s="167"/>
      <c r="N26" s="92">
        <f t="shared" si="0"/>
        <v>6</v>
      </c>
      <c r="O26" s="93" t="str">
        <f>IF(AND($S$8&gt;90,P26&lt;100),$S$5*$S$6*$S$7/12500,"")</f>
        <v/>
      </c>
      <c r="P26" s="94" t="str">
        <f t="shared" si="3"/>
        <v/>
      </c>
      <c r="Q26" s="97" t="str">
        <f>IF(AND($S$9&gt;=7001,$S$9&lt;=250000,$S$4&lt;=5,($S$5+$S$6+$S$7)&lt;=250,$S$5&lt;=150,$S$6&lt;=150,$S$7&lt;=150),N26*35+25.5,"")</f>
        <v/>
      </c>
      <c r="S26" s="79"/>
    </row>
    <row r="27" spans="2:23" s="75" customFormat="1" ht="16.2" x14ac:dyDescent="0.25">
      <c r="B27" s="182"/>
      <c r="C27" s="174" t="s">
        <v>147</v>
      </c>
      <c r="D27" s="83" t="s">
        <v>148</v>
      </c>
      <c r="E27" s="83" t="s">
        <v>55</v>
      </c>
      <c r="F27" s="196"/>
      <c r="G27" s="171" t="s">
        <v>71</v>
      </c>
      <c r="H27" s="85" t="s">
        <v>149</v>
      </c>
      <c r="I27" s="172"/>
      <c r="J27" s="168"/>
      <c r="K27" s="169"/>
      <c r="L27" s="165"/>
      <c r="M27" s="167"/>
      <c r="N27" s="92">
        <f t="shared" si="0"/>
        <v>6</v>
      </c>
      <c r="O27" s="93" t="str">
        <f>IF(AND($S$8&gt;90,P27&lt;70),$S$5*$S$6*$S$7/14200,"")</f>
        <v/>
      </c>
      <c r="P27" s="94" t="str">
        <f t="shared" si="3"/>
        <v/>
      </c>
      <c r="Q27" s="97" t="str">
        <f>IF(AND($S$9&gt;=7001,$S$9&lt;=250000,$S$4&lt;=5,($S$5+$S$6+$S$7)&lt;=250,$S$5&lt;=150,$S$6&lt;=150,$S$7&lt;=150),N27*25+22,"")</f>
        <v/>
      </c>
      <c r="S27" s="79"/>
    </row>
    <row r="28" spans="2:23" s="75" customFormat="1" ht="16.2" x14ac:dyDescent="0.25">
      <c r="B28" s="182"/>
      <c r="C28" s="174"/>
      <c r="D28" s="83" t="s">
        <v>150</v>
      </c>
      <c r="E28" s="83" t="s">
        <v>97</v>
      </c>
      <c r="F28" s="196"/>
      <c r="G28" s="171"/>
      <c r="H28" s="85" t="s">
        <v>151</v>
      </c>
      <c r="I28" s="172"/>
      <c r="J28" s="168"/>
      <c r="K28" s="170"/>
      <c r="L28" s="165"/>
      <c r="M28" s="167"/>
      <c r="N28" s="92">
        <f t="shared" si="0"/>
        <v>6</v>
      </c>
      <c r="O28" s="93" t="str">
        <f>IF(AND($S$8&gt;90,P28&lt;70),$S$5*$S$6*$S$7/14200,"")</f>
        <v/>
      </c>
      <c r="P28" s="94" t="str">
        <f t="shared" si="3"/>
        <v/>
      </c>
      <c r="Q28" s="97" t="str">
        <f>IF(AND($S$9&gt;=7001,$S$9&lt;=250000,$S$4&lt;=5,($S$5+$S$6+$S$7)&lt;=250,$S$5&lt;=150,$S$6&lt;=150,$S$7&lt;=150),N28*25+25.5,"")</f>
        <v/>
      </c>
      <c r="S28" s="79"/>
    </row>
    <row r="29" spans="2:23" s="75" customFormat="1" ht="16.2" x14ac:dyDescent="0.25">
      <c r="B29" s="182" t="s">
        <v>152</v>
      </c>
      <c r="C29" s="174" t="s">
        <v>153</v>
      </c>
      <c r="D29" s="83" t="s">
        <v>154</v>
      </c>
      <c r="E29" s="83" t="s">
        <v>55</v>
      </c>
      <c r="F29" s="196"/>
      <c r="G29" s="171" t="s">
        <v>57</v>
      </c>
      <c r="H29" s="85" t="s">
        <v>155</v>
      </c>
      <c r="I29" s="172" t="s">
        <v>156</v>
      </c>
      <c r="J29" s="168" t="s">
        <v>138</v>
      </c>
      <c r="K29" s="169" t="s">
        <v>157</v>
      </c>
      <c r="L29" s="165"/>
      <c r="M29" s="167" t="s">
        <v>158</v>
      </c>
      <c r="N29" s="92">
        <f t="shared" si="0"/>
        <v>6.3</v>
      </c>
      <c r="O29" s="93">
        <f>IF(AND($S$8&gt;90,P29&lt;100),$S$5*$S$6*$S$7/10000,"")</f>
        <v>6.3</v>
      </c>
      <c r="P29" s="94">
        <f t="shared" ref="P29:P34" si="4">IF(AND($S$9&gt;=7001,$S$9&lt;=250000,$S$4&gt;5,$S$4&lt;=25,($S$5+$S$6+$S$7)&lt;=310,$S$5&lt;=150,$S$6&lt;=150,$S$7&lt;=150),$S$4/($S$5*$S$6*$S$7/1000000),"")</f>
        <v>95.238095238095198</v>
      </c>
      <c r="Q29" s="97">
        <f>IF(AND($S$9&gt;=7001,$S$9&lt;=250000,$S$4&gt;5,$S$4&lt;=25,($S$5+$S$6+$S$7)&lt;=310,$S$5&lt;=150,$S$6&lt;=150,$S$7&lt;=150),N29*33+62,"")</f>
        <v>269.89999999999998</v>
      </c>
      <c r="S29" s="79"/>
    </row>
    <row r="30" spans="2:23" s="75" customFormat="1" ht="16.2" x14ac:dyDescent="0.25">
      <c r="B30" s="182"/>
      <c r="C30" s="174"/>
      <c r="D30" s="83" t="s">
        <v>159</v>
      </c>
      <c r="E30" s="83" t="s">
        <v>97</v>
      </c>
      <c r="F30" s="196"/>
      <c r="G30" s="171"/>
      <c r="H30" s="85" t="s">
        <v>160</v>
      </c>
      <c r="I30" s="172"/>
      <c r="J30" s="168"/>
      <c r="K30" s="169"/>
      <c r="L30" s="165"/>
      <c r="M30" s="167"/>
      <c r="N30" s="92">
        <f t="shared" si="0"/>
        <v>6.3</v>
      </c>
      <c r="O30" s="93">
        <f>IF(AND($S$8&gt;90,P30&lt;100),$S$5*$S$6*$S$7/10000,"")</f>
        <v>6.3</v>
      </c>
      <c r="P30" s="94">
        <f t="shared" si="4"/>
        <v>95.238095238095198</v>
      </c>
      <c r="Q30" s="97">
        <f>IF(AND($S$9&gt;=7001,$S$9&lt;=250000,$S$4&gt;5,$S$4&lt;=25,($S$5+$S$6+$S$7)&lt;=310,$S$5&lt;=150,$S$6&lt;=150,$S$7&lt;=150),N30*33+65.5,"")</f>
        <v>273.39999999999998</v>
      </c>
      <c r="S30" s="79"/>
    </row>
    <row r="31" spans="2:23" s="75" customFormat="1" ht="16.2" x14ac:dyDescent="0.25">
      <c r="B31" s="182"/>
      <c r="C31" s="174" t="s">
        <v>161</v>
      </c>
      <c r="D31" s="83" t="s">
        <v>162</v>
      </c>
      <c r="E31" s="83" t="s">
        <v>55</v>
      </c>
      <c r="F31" s="196"/>
      <c r="G31" s="171" t="s">
        <v>67</v>
      </c>
      <c r="H31" s="85" t="s">
        <v>163</v>
      </c>
      <c r="I31" s="172"/>
      <c r="J31" s="168"/>
      <c r="K31" s="169"/>
      <c r="L31" s="165"/>
      <c r="M31" s="167"/>
      <c r="N31" s="92">
        <f t="shared" si="0"/>
        <v>6</v>
      </c>
      <c r="O31" s="93" t="str">
        <f>IF(AND($S$8&gt;90,P31&lt;80),$S$5*$S$6*$S$7/12500,"")</f>
        <v/>
      </c>
      <c r="P31" s="94">
        <f t="shared" si="4"/>
        <v>95.238095238095198</v>
      </c>
      <c r="Q31" s="97">
        <f>IF(AND($S$9&gt;=7001,$S$9&lt;=250000,$S$4&gt;5,$S$4&lt;=25,($S$5+$S$6+$S$7)&lt;=310,$S$5&lt;=150,$S$6&lt;=150,$S$7&lt;=150),N31*28+62,"")</f>
        <v>230</v>
      </c>
      <c r="S31" s="79"/>
    </row>
    <row r="32" spans="2:23" s="75" customFormat="1" ht="16.2" x14ac:dyDescent="0.25">
      <c r="B32" s="182"/>
      <c r="C32" s="174"/>
      <c r="D32" s="83" t="s">
        <v>164</v>
      </c>
      <c r="E32" s="83" t="s">
        <v>97</v>
      </c>
      <c r="F32" s="196"/>
      <c r="G32" s="171"/>
      <c r="H32" s="85" t="s">
        <v>165</v>
      </c>
      <c r="I32" s="172"/>
      <c r="J32" s="168"/>
      <c r="K32" s="169"/>
      <c r="L32" s="165"/>
      <c r="M32" s="167"/>
      <c r="N32" s="92">
        <f t="shared" si="0"/>
        <v>6</v>
      </c>
      <c r="O32" s="93" t="str">
        <f>IF(AND($S$8&gt;90,P32&lt;80),$S$5*$S$6*$S$7/12500,"")</f>
        <v/>
      </c>
      <c r="P32" s="94">
        <f t="shared" si="4"/>
        <v>95.238095238095198</v>
      </c>
      <c r="Q32" s="97">
        <f>IF(AND($S$9&gt;=7001,$S$9&lt;=250000,$S$4&gt;5,$S$4&lt;=25,($S$5+$S$6+$S$7)&lt;=310,$S$5&lt;=150,$S$6&lt;=150,$S$7&lt;=150),N32*28+65.5,"")</f>
        <v>233.5</v>
      </c>
      <c r="S32" s="79"/>
    </row>
    <row r="33" spans="2:21" s="75" customFormat="1" ht="16.2" x14ac:dyDescent="0.25">
      <c r="B33" s="182"/>
      <c r="C33" s="174" t="s">
        <v>166</v>
      </c>
      <c r="D33" s="83" t="s">
        <v>167</v>
      </c>
      <c r="E33" s="83" t="s">
        <v>55</v>
      </c>
      <c r="F33" s="196"/>
      <c r="G33" s="171" t="s">
        <v>71</v>
      </c>
      <c r="H33" s="85" t="s">
        <v>168</v>
      </c>
      <c r="I33" s="172"/>
      <c r="J33" s="168"/>
      <c r="K33" s="169"/>
      <c r="L33" s="165"/>
      <c r="M33" s="167"/>
      <c r="N33" s="92">
        <f t="shared" si="0"/>
        <v>6</v>
      </c>
      <c r="O33" s="93" t="str">
        <f>IF(AND($S$8&gt;90,P33&lt;70),$S$5*$S$6*$S$7/14200,"")</f>
        <v/>
      </c>
      <c r="P33" s="94">
        <f t="shared" si="4"/>
        <v>95.238095238095198</v>
      </c>
      <c r="Q33" s="97">
        <f>IF(AND($S$9&gt;=7001,$S$9&lt;=250000,$S$4&gt;5,$S$4&lt;=25,($S$5+$S$6+$S$7)&lt;=310,$S$5&lt;=150,$S$6&lt;=150,$S$7&lt;=150),N33*23+62,"")</f>
        <v>200</v>
      </c>
      <c r="S33" s="79"/>
    </row>
    <row r="34" spans="2:21" s="75" customFormat="1" ht="16.2" x14ac:dyDescent="0.25">
      <c r="B34" s="182"/>
      <c r="C34" s="174"/>
      <c r="D34" s="83" t="s">
        <v>169</v>
      </c>
      <c r="E34" s="83" t="s">
        <v>97</v>
      </c>
      <c r="F34" s="196"/>
      <c r="G34" s="171"/>
      <c r="H34" s="85" t="s">
        <v>170</v>
      </c>
      <c r="I34" s="172"/>
      <c r="J34" s="168"/>
      <c r="K34" s="170"/>
      <c r="L34" s="166"/>
      <c r="M34" s="167"/>
      <c r="N34" s="92">
        <f t="shared" si="0"/>
        <v>6</v>
      </c>
      <c r="O34" s="93" t="str">
        <f>IF(AND($S$8&gt;90,P34&lt;70),$S$5*$S$6*$S$7/14200,"")</f>
        <v/>
      </c>
      <c r="P34" s="94">
        <f t="shared" si="4"/>
        <v>95.238095238095198</v>
      </c>
      <c r="Q34" s="97">
        <f>IF(AND($S$9&gt;=7001,$S$9&lt;=250000,$S$4&gt;5,$S$4&lt;=25,($S$5+$S$6+$S$7)&lt;=310,$S$5&lt;=150,$S$6&lt;=150,$S$7&lt;=150),N34*23+65.5,"")</f>
        <v>203.5</v>
      </c>
      <c r="S34" s="79"/>
    </row>
    <row r="35" spans="2:21" x14ac:dyDescent="0.25">
      <c r="B35" s="175" t="s">
        <v>171</v>
      </c>
      <c r="C35" s="176"/>
      <c r="D35" s="176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8"/>
      <c r="T35" s="75"/>
      <c r="U35" s="75"/>
    </row>
    <row r="36" spans="2:21" x14ac:dyDescent="0.25">
      <c r="B36" s="175" t="s">
        <v>172</v>
      </c>
      <c r="C36" s="176"/>
      <c r="D36" s="176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8"/>
    </row>
    <row r="37" spans="2:21" x14ac:dyDescent="0.25">
      <c r="B37" s="86" t="s">
        <v>173</v>
      </c>
      <c r="C37" s="87"/>
      <c r="D37" s="87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103"/>
    </row>
    <row r="38" spans="2:21" x14ac:dyDescent="0.25">
      <c r="B38" s="89" t="s">
        <v>174</v>
      </c>
      <c r="H38" s="40"/>
      <c r="M38" s="40"/>
      <c r="N38" s="40"/>
      <c r="O38" s="40"/>
      <c r="P38" s="40"/>
      <c r="Q38" s="104"/>
    </row>
    <row r="39" spans="2:21" x14ac:dyDescent="0.25">
      <c r="B39" s="89" t="s">
        <v>175</v>
      </c>
      <c r="H39" s="40"/>
      <c r="M39" s="40"/>
      <c r="N39" s="40"/>
      <c r="O39" s="40"/>
      <c r="P39" s="40"/>
      <c r="Q39" s="104"/>
    </row>
    <row r="40" spans="2:21" x14ac:dyDescent="0.25">
      <c r="B40" s="89" t="s">
        <v>176</v>
      </c>
      <c r="H40" s="40"/>
      <c r="M40" s="40"/>
      <c r="N40" s="40"/>
      <c r="O40" s="40"/>
      <c r="P40" s="40"/>
      <c r="Q40" s="104"/>
    </row>
    <row r="41" spans="2:21" x14ac:dyDescent="0.25">
      <c r="B41" s="89" t="s">
        <v>177</v>
      </c>
      <c r="H41" s="40"/>
      <c r="M41" s="40"/>
      <c r="N41" s="40"/>
      <c r="O41" s="40"/>
      <c r="P41" s="40"/>
      <c r="Q41" s="104"/>
    </row>
    <row r="42" spans="2:21" ht="99" customHeight="1" x14ac:dyDescent="0.25">
      <c r="B42" s="179" t="s">
        <v>178</v>
      </c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1"/>
    </row>
    <row r="43" spans="2:21" ht="50.1" customHeight="1" x14ac:dyDescent="0.25"/>
  </sheetData>
  <sheetProtection algorithmName="SHA-512" hashValue="eQFE9ZD/zRVGq48VNL4Hw2F0svvp4qhGz7wpD5XqnL1C7Nt8vH3Ve7/EIhNQSsH5xXQqEhk3i9Kgh7X8r5jXYQ==" saltValue="rRoAguiuAlpiI3Ek7WtdDA==" spinCount="100000" sheet="1" objects="1" selectLockedCells="1" autoFilter="0"/>
  <mergeCells count="67">
    <mergeCell ref="B2:Q2"/>
    <mergeCell ref="B3:Q3"/>
    <mergeCell ref="T4:U4"/>
    <mergeCell ref="T8:U8"/>
    <mergeCell ref="T9:U9"/>
    <mergeCell ref="F5:F34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B35:Q35"/>
    <mergeCell ref="B36:Q36"/>
    <mergeCell ref="B42:Q42"/>
    <mergeCell ref="B5:B7"/>
    <mergeCell ref="B8:B10"/>
    <mergeCell ref="B11:B16"/>
    <mergeCell ref="B17:B22"/>
    <mergeCell ref="B23:B28"/>
    <mergeCell ref="B29:B34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G31:G32"/>
    <mergeCell ref="G33:G34"/>
    <mergeCell ref="I5:I7"/>
    <mergeCell ref="I8:I10"/>
    <mergeCell ref="I11:I16"/>
    <mergeCell ref="I17:I22"/>
    <mergeCell ref="I23:I28"/>
    <mergeCell ref="I29:I34"/>
    <mergeCell ref="J29:J34"/>
    <mergeCell ref="K5:K7"/>
    <mergeCell ref="K8:K10"/>
    <mergeCell ref="K11:K16"/>
    <mergeCell ref="K17:K22"/>
    <mergeCell ref="K23:K28"/>
    <mergeCell ref="K29:K34"/>
    <mergeCell ref="J5:J7"/>
    <mergeCell ref="J8:J10"/>
    <mergeCell ref="J11:J16"/>
    <mergeCell ref="J17:J22"/>
    <mergeCell ref="J23:J28"/>
    <mergeCell ref="T5:U7"/>
    <mergeCell ref="S10:W11"/>
    <mergeCell ref="S16:W17"/>
    <mergeCell ref="L5:L34"/>
    <mergeCell ref="M5:M7"/>
    <mergeCell ref="M8:M10"/>
    <mergeCell ref="M11:M16"/>
    <mergeCell ref="M17:M22"/>
    <mergeCell ref="M23:M28"/>
    <mergeCell ref="M29:M34"/>
  </mergeCells>
  <phoneticPr fontId="71" type="noConversion"/>
  <conditionalFormatting sqref="C5:O5 P5:Q34 C6:K34 M6:O34">
    <cfRule type="expression" dxfId="15" priority="1">
      <formula>$Q5=SMALL($Q$5:$Q$34,2)</formula>
    </cfRule>
    <cfRule type="expression" dxfId="14" priority="2">
      <formula>$Q5=SMALL($Q$5:$Q$34,1)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42"/>
  <sheetViews>
    <sheetView showGridLines="0" tabSelected="1" zoomScale="70" zoomScaleNormal="70" workbookViewId="0">
      <pane ySplit="4" topLeftCell="A5" activePane="bottomLeft" state="frozen"/>
      <selection pane="bottomLeft" activeCell="O4" sqref="O4"/>
    </sheetView>
  </sheetViews>
  <sheetFormatPr defaultColWidth="9" defaultRowHeight="15.6" x14ac:dyDescent="0.25"/>
  <cols>
    <col min="1" max="1" width="0.88671875" customWidth="1"/>
    <col min="2" max="2" width="18.6640625" style="2" customWidth="1"/>
    <col min="3" max="3" width="23.6640625" customWidth="1"/>
    <col min="4" max="4" width="7.6640625" customWidth="1"/>
    <col min="5" max="5" width="9.6640625" customWidth="1"/>
    <col min="6" max="6" width="7.6640625" customWidth="1"/>
    <col min="7" max="7" width="14.109375" customWidth="1"/>
    <col min="8" max="8" width="24.77734375" style="3" customWidth="1"/>
    <col min="9" max="9" width="12.6640625" customWidth="1"/>
    <col min="10" max="10" width="26.88671875" customWidth="1"/>
    <col min="11" max="11" width="15.21875" customWidth="1"/>
    <col min="12" max="12" width="22" style="2" customWidth="1"/>
    <col min="13" max="13" width="15.5546875" style="4" customWidth="1"/>
    <col min="14" max="14" width="0.88671875" customWidth="1"/>
    <col min="15" max="15" width="10.6640625" style="5" customWidth="1"/>
    <col min="17" max="17" width="11.6640625" customWidth="1"/>
    <col min="18" max="18" width="10.33203125" customWidth="1"/>
    <col min="19" max="19" width="31.77734375" customWidth="1"/>
  </cols>
  <sheetData>
    <row r="1" spans="2:20" ht="5.0999999999999996" customHeight="1" x14ac:dyDescent="0.25"/>
    <row r="2" spans="2:20" ht="29.1" customHeight="1" x14ac:dyDescent="0.25">
      <c r="B2" s="222" t="s">
        <v>179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4"/>
    </row>
    <row r="3" spans="2:20" ht="24.9" customHeight="1" x14ac:dyDescent="0.25">
      <c r="B3" s="225" t="s">
        <v>34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7"/>
    </row>
    <row r="4" spans="2:20" ht="46.8" x14ac:dyDescent="0.25">
      <c r="B4" s="6" t="s">
        <v>35</v>
      </c>
      <c r="C4" s="7" t="s">
        <v>36</v>
      </c>
      <c r="D4" s="7"/>
      <c r="E4" s="7" t="s">
        <v>38</v>
      </c>
      <c r="F4" s="7" t="s">
        <v>39</v>
      </c>
      <c r="G4" s="7" t="s">
        <v>40</v>
      </c>
      <c r="H4" s="7" t="s">
        <v>41</v>
      </c>
      <c r="I4" s="7" t="s">
        <v>42</v>
      </c>
      <c r="J4" s="7" t="s">
        <v>180</v>
      </c>
      <c r="K4" s="7" t="s">
        <v>44</v>
      </c>
      <c r="L4" s="7" t="s">
        <v>46</v>
      </c>
      <c r="M4" s="16" t="s">
        <v>50</v>
      </c>
      <c r="N4" s="17"/>
      <c r="O4" s="18">
        <v>2.9166666666666665</v>
      </c>
      <c r="P4" s="228" t="s">
        <v>51</v>
      </c>
      <c r="Q4" s="229"/>
    </row>
    <row r="5" spans="2:20" s="1" customFormat="1" ht="36" customHeight="1" x14ac:dyDescent="0.25">
      <c r="B5" s="218" t="s">
        <v>181</v>
      </c>
      <c r="C5" s="8" t="s">
        <v>53</v>
      </c>
      <c r="D5" s="8" t="s">
        <v>182</v>
      </c>
      <c r="E5" s="9" t="s">
        <v>55</v>
      </c>
      <c r="F5" s="233" t="s">
        <v>56</v>
      </c>
      <c r="G5" s="10" t="s">
        <v>183</v>
      </c>
      <c r="H5" s="11" t="s">
        <v>184</v>
      </c>
      <c r="I5" s="209" t="s">
        <v>59</v>
      </c>
      <c r="J5" s="74" t="s">
        <v>185</v>
      </c>
      <c r="K5" s="199" t="s">
        <v>61</v>
      </c>
      <c r="L5" s="201" t="s">
        <v>186</v>
      </c>
      <c r="M5" s="20" t="str">
        <f>IF(OR($O$8&gt;1500,$O$4&gt;0.5,$O$4&lt;=0,AND(SUM($O$5:$O$7)&gt;90),$O5&gt;60,$O6&gt;60,$O7&gt;60),"无价格",$O4*45+3)</f>
        <v>无价格</v>
      </c>
      <c r="O5" s="21">
        <v>20.100000000000001</v>
      </c>
      <c r="P5" s="197" t="s">
        <v>64</v>
      </c>
      <c r="Q5" s="198"/>
    </row>
    <row r="6" spans="2:20" s="1" customFormat="1" ht="31.2" x14ac:dyDescent="0.25">
      <c r="B6" s="218"/>
      <c r="C6" s="8" t="s">
        <v>187</v>
      </c>
      <c r="D6" s="8" t="s">
        <v>188</v>
      </c>
      <c r="E6" s="9" t="s">
        <v>55</v>
      </c>
      <c r="F6" s="234"/>
      <c r="G6" s="10" t="s">
        <v>189</v>
      </c>
      <c r="H6" s="11" t="s">
        <v>190</v>
      </c>
      <c r="I6" s="209"/>
      <c r="J6" s="206" t="s">
        <v>191</v>
      </c>
      <c r="K6" s="199"/>
      <c r="L6" s="201"/>
      <c r="M6" s="20" t="str">
        <f>IF(OR($O$8&gt;1500,$O$4&gt;0.5,$O$4&lt;=0,AND(SUM($O$5:$O$7)&gt;90),$O5&gt;60,$O6&gt;60,$O7&gt;60),"无价格",$O4*35+3)</f>
        <v>无价格</v>
      </c>
      <c r="O6" s="21">
        <v>55.1</v>
      </c>
      <c r="P6" s="197"/>
      <c r="Q6" s="198"/>
    </row>
    <row r="7" spans="2:20" s="1" customFormat="1" ht="31.2" x14ac:dyDescent="0.25">
      <c r="B7" s="218"/>
      <c r="C7" s="8" t="s">
        <v>69</v>
      </c>
      <c r="D7" s="8" t="s">
        <v>192</v>
      </c>
      <c r="E7" s="9" t="s">
        <v>55</v>
      </c>
      <c r="F7" s="234"/>
      <c r="G7" s="10" t="s">
        <v>71</v>
      </c>
      <c r="H7" s="11" t="s">
        <v>193</v>
      </c>
      <c r="I7" s="209"/>
      <c r="J7" s="208"/>
      <c r="K7" s="199"/>
      <c r="L7" s="201"/>
      <c r="M7" s="20" t="str">
        <f>IF(OR($O$8&gt;1500,$O$4&gt;0.5,$O$4&lt;=0,AND(SUM($O$5:$O$7)&gt;90),$O5&gt;60,$O6&gt;60,$O7&gt;60),"无价格",$O4*25+3)</f>
        <v>无价格</v>
      </c>
      <c r="O7" s="21">
        <v>32.1</v>
      </c>
      <c r="P7" s="197"/>
      <c r="Q7" s="198"/>
    </row>
    <row r="8" spans="2:20" s="1" customFormat="1" ht="46.8" x14ac:dyDescent="0.25">
      <c r="B8" s="218" t="s">
        <v>194</v>
      </c>
      <c r="C8" s="8" t="s">
        <v>74</v>
      </c>
      <c r="D8" s="8" t="s">
        <v>182</v>
      </c>
      <c r="E8" s="9" t="s">
        <v>55</v>
      </c>
      <c r="F8" s="234"/>
      <c r="G8" s="10" t="s">
        <v>183</v>
      </c>
      <c r="H8" s="11" t="s">
        <v>195</v>
      </c>
      <c r="I8" s="210" t="s">
        <v>77</v>
      </c>
      <c r="J8" s="74" t="s">
        <v>185</v>
      </c>
      <c r="K8" s="199" t="s">
        <v>196</v>
      </c>
      <c r="L8" s="202" t="s">
        <v>197</v>
      </c>
      <c r="M8" s="20" t="str">
        <f>IF(OR($O$8&gt;1500,$O$4&gt;25,$O$4&lt;0.5,AND(SUM($O$5:$O$7)&gt;150),$O5&gt;60,$O6&gt;60,$O7&gt;60),"无价格",$O4*33+23)</f>
        <v>无价格</v>
      </c>
      <c r="O8" s="22">
        <v>5526.8850000000002</v>
      </c>
      <c r="P8" s="230" t="s">
        <v>84</v>
      </c>
      <c r="Q8" s="231"/>
    </row>
    <row r="9" spans="2:20" s="1" customFormat="1" ht="46.8" x14ac:dyDescent="0.25">
      <c r="B9" s="218"/>
      <c r="C9" s="8" t="s">
        <v>81</v>
      </c>
      <c r="D9" s="8" t="s">
        <v>188</v>
      </c>
      <c r="E9" s="9" t="s">
        <v>55</v>
      </c>
      <c r="F9" s="234"/>
      <c r="G9" s="10" t="s">
        <v>189</v>
      </c>
      <c r="H9" s="11" t="s">
        <v>198</v>
      </c>
      <c r="I9" s="210"/>
      <c r="J9" s="206" t="s">
        <v>191</v>
      </c>
      <c r="K9" s="199"/>
      <c r="L9" s="203"/>
      <c r="M9" s="20" t="str">
        <f>IF(OR($O$8&gt;1500,$O$4&gt;25,$O$4&lt;0.5,AND(SUM($O$5:$O$7)&gt;150),$O5&gt;60,$O6&gt;60,$O7&gt;60),"无价格",$O4*25+23)</f>
        <v>无价格</v>
      </c>
      <c r="O9" s="5"/>
    </row>
    <row r="10" spans="2:20" s="1" customFormat="1" ht="46.8" x14ac:dyDescent="0.25">
      <c r="B10" s="218"/>
      <c r="C10" s="8" t="s">
        <v>85</v>
      </c>
      <c r="D10" s="8" t="s">
        <v>192</v>
      </c>
      <c r="E10" s="9" t="s">
        <v>55</v>
      </c>
      <c r="F10" s="234"/>
      <c r="G10" s="10" t="s">
        <v>71</v>
      </c>
      <c r="H10" s="11" t="s">
        <v>199</v>
      </c>
      <c r="I10" s="210"/>
      <c r="J10" s="208"/>
      <c r="K10" s="199"/>
      <c r="L10" s="204"/>
      <c r="M10" s="20" t="str">
        <f>IF(OR($O$8&gt;1500,$O$4&gt;25,$O$4&lt;0.5,AND(SUM($O$5:$O$7)&gt;150),$O5&gt;60,$O6&gt;60,$O7&gt;60),"无价格",$O4*17+23)</f>
        <v>无价格</v>
      </c>
      <c r="O10" s="232" t="s">
        <v>88</v>
      </c>
      <c r="P10" s="232"/>
      <c r="Q10" s="232"/>
      <c r="R10" s="232"/>
      <c r="S10" s="232"/>
    </row>
    <row r="11" spans="2:20" s="1" customFormat="1" ht="16.5" customHeight="1" x14ac:dyDescent="0.25">
      <c r="B11" s="218" t="s">
        <v>200</v>
      </c>
      <c r="C11" s="219" t="s">
        <v>90</v>
      </c>
      <c r="D11" s="220" t="s">
        <v>182</v>
      </c>
      <c r="E11" s="9" t="s">
        <v>55</v>
      </c>
      <c r="F11" s="234"/>
      <c r="G11" s="221" t="s">
        <v>183</v>
      </c>
      <c r="H11" s="11" t="s">
        <v>201</v>
      </c>
      <c r="I11" s="209" t="s">
        <v>93</v>
      </c>
      <c r="J11" s="206" t="s">
        <v>185</v>
      </c>
      <c r="K11" s="199" t="s">
        <v>196</v>
      </c>
      <c r="L11" s="201" t="s">
        <v>202</v>
      </c>
      <c r="M11" s="20" t="str">
        <f>IF(OR($O$8&lt;=1500,$O$8&gt;7000,$O$4&gt;2,$O$4&lt;0,AND(SUM($O$5:$O$7)&gt;150),$O5&gt;60,$O6&gt;60,$O7&gt;60),"无价格",$O4*45+16)</f>
        <v>无价格</v>
      </c>
      <c r="O11" s="205" t="s">
        <v>99</v>
      </c>
      <c r="P11" s="205"/>
      <c r="Q11" s="205"/>
      <c r="R11" s="205"/>
      <c r="S11" s="205"/>
      <c r="T11" s="205"/>
    </row>
    <row r="12" spans="2:20" s="1" customFormat="1" ht="16.5" customHeight="1" x14ac:dyDescent="0.25">
      <c r="B12" s="218"/>
      <c r="C12" s="219"/>
      <c r="D12" s="220"/>
      <c r="E12" s="9" t="s">
        <v>97</v>
      </c>
      <c r="F12" s="234"/>
      <c r="G12" s="221"/>
      <c r="H12" s="11" t="s">
        <v>203</v>
      </c>
      <c r="I12" s="209"/>
      <c r="J12" s="208"/>
      <c r="K12" s="199"/>
      <c r="L12" s="201"/>
      <c r="M12" s="20" t="str">
        <f>IF(OR($O$8&lt;=1500,$O$8&gt;7000,$O$4&gt;2,$O$4&lt;0,AND(SUM($O$5:$O$7)&gt;150),$O5&gt;60,$O6&gt;60,$O7&gt;60),"无价格",$O4*45+19.5)</f>
        <v>无价格</v>
      </c>
      <c r="O12" s="205" t="s">
        <v>103</v>
      </c>
      <c r="P12" s="205"/>
      <c r="Q12" s="205"/>
      <c r="R12" s="205"/>
      <c r="S12" s="205"/>
      <c r="T12" s="205"/>
    </row>
    <row r="13" spans="2:20" s="1" customFormat="1" ht="17.399999999999999" x14ac:dyDescent="0.25">
      <c r="B13" s="218"/>
      <c r="C13" s="219" t="s">
        <v>100</v>
      </c>
      <c r="D13" s="220" t="s">
        <v>188</v>
      </c>
      <c r="E13" s="9" t="s">
        <v>55</v>
      </c>
      <c r="F13" s="234"/>
      <c r="G13" s="221" t="s">
        <v>189</v>
      </c>
      <c r="H13" s="11" t="s">
        <v>204</v>
      </c>
      <c r="I13" s="209"/>
      <c r="J13" s="206" t="s">
        <v>191</v>
      </c>
      <c r="K13" s="199"/>
      <c r="L13" s="201"/>
      <c r="M13" s="20" t="str">
        <f>IF(OR($O$8&lt;=1500,$O$8&gt;7000,$O$4&gt;2,$O$4&lt;0,AND(SUM($O$5:$O$7)&gt;150),$O5&gt;60,$O6&gt;60,$O7&gt;60),"无价格",$O4*35+16)</f>
        <v>无价格</v>
      </c>
      <c r="O13" s="205" t="s">
        <v>106</v>
      </c>
      <c r="P13" s="205"/>
      <c r="Q13" s="205"/>
      <c r="R13" s="205"/>
      <c r="S13" s="205"/>
    </row>
    <row r="14" spans="2:20" s="1" customFormat="1" ht="17.399999999999999" x14ac:dyDescent="0.25">
      <c r="B14" s="218"/>
      <c r="C14" s="219"/>
      <c r="D14" s="220"/>
      <c r="E14" s="9" t="s">
        <v>97</v>
      </c>
      <c r="F14" s="234"/>
      <c r="G14" s="221"/>
      <c r="H14" s="11" t="s">
        <v>205</v>
      </c>
      <c r="I14" s="209"/>
      <c r="J14" s="207"/>
      <c r="K14" s="199"/>
      <c r="L14" s="201"/>
      <c r="M14" s="20" t="str">
        <f>IF(OR($O$8&lt;=1500,$O$8&gt;7000,$O$4&gt;2,$O$4&lt;0,AND(SUM($O$5:$O$7)&gt;150),$O5&gt;60,$O6&gt;60,$O7&gt;60),"无价格",$O4*35+19.5)</f>
        <v>无价格</v>
      </c>
      <c r="O14" s="205" t="s">
        <v>110</v>
      </c>
      <c r="P14" s="205"/>
      <c r="Q14" s="205"/>
      <c r="R14" s="205"/>
      <c r="S14" s="205"/>
    </row>
    <row r="15" spans="2:20" s="1" customFormat="1" ht="16.5" customHeight="1" x14ac:dyDescent="0.25">
      <c r="B15" s="218"/>
      <c r="C15" s="219" t="s">
        <v>107</v>
      </c>
      <c r="D15" s="220" t="s">
        <v>192</v>
      </c>
      <c r="E15" s="9" t="s">
        <v>55</v>
      </c>
      <c r="F15" s="234"/>
      <c r="G15" s="221" t="s">
        <v>71</v>
      </c>
      <c r="H15" s="11" t="s">
        <v>206</v>
      </c>
      <c r="I15" s="209"/>
      <c r="J15" s="207"/>
      <c r="K15" s="199"/>
      <c r="L15" s="201"/>
      <c r="M15" s="20" t="str">
        <f>IF(OR($O$8&lt;=1500,$O$8&gt;7000,$O$4&gt;2,$O$4&lt;0,AND(SUM($O$5:$O$7)&gt;150),$O5&gt;60,$O6&gt;60,$O7&gt;60),"无价格",$O4*25+16)</f>
        <v>无价格</v>
      </c>
      <c r="O15" s="24"/>
      <c r="P15" s="24"/>
      <c r="Q15" s="24"/>
    </row>
    <row r="16" spans="2:20" s="1" customFormat="1" ht="16.2" x14ac:dyDescent="0.25">
      <c r="B16" s="218"/>
      <c r="C16" s="219"/>
      <c r="D16" s="220"/>
      <c r="E16" s="9" t="s">
        <v>97</v>
      </c>
      <c r="F16" s="234"/>
      <c r="G16" s="221"/>
      <c r="H16" s="11" t="s">
        <v>207</v>
      </c>
      <c r="I16" s="209"/>
      <c r="J16" s="208"/>
      <c r="K16" s="200"/>
      <c r="L16" s="201"/>
      <c r="M16" s="20" t="str">
        <f>IF(OR($O$8&lt;=1500,$O$8&gt;7000,$O$4&gt;2,$O$4&lt;0,AND(SUM($O$5:$O$7)&gt;150),$O5&gt;60,$O6&gt;60,$O7&gt;60),"无价格",$O4*25+19.5)</f>
        <v>无价格</v>
      </c>
      <c r="O16" s="5"/>
    </row>
    <row r="17" spans="2:15" s="1" customFormat="1" ht="16.2" x14ac:dyDescent="0.25">
      <c r="B17" s="218" t="s">
        <v>208</v>
      </c>
      <c r="C17" s="219" t="s">
        <v>115</v>
      </c>
      <c r="D17" s="220" t="s">
        <v>182</v>
      </c>
      <c r="E17" s="9" t="s">
        <v>55</v>
      </c>
      <c r="F17" s="234"/>
      <c r="G17" s="221" t="s">
        <v>57</v>
      </c>
      <c r="H17" s="11" t="s">
        <v>209</v>
      </c>
      <c r="I17" s="209" t="s">
        <v>118</v>
      </c>
      <c r="J17" s="206" t="s">
        <v>185</v>
      </c>
      <c r="K17" s="199" t="s">
        <v>210</v>
      </c>
      <c r="L17" s="201" t="s">
        <v>211</v>
      </c>
      <c r="M17" s="20">
        <f>IF(OR($O$8&lt;=1500,$O$8&gt;7000,$O$4&gt;25,$O$4&lt;2,AND(SUM($O$5:$O$7)&gt;250),$O5&gt;150,$O6&gt;150,$O7&gt;150),"无价格",$O4*33+36)</f>
        <v>132.25</v>
      </c>
      <c r="O17" s="5"/>
    </row>
    <row r="18" spans="2:15" s="1" customFormat="1" ht="16.2" x14ac:dyDescent="0.25">
      <c r="B18" s="218"/>
      <c r="C18" s="219"/>
      <c r="D18" s="220"/>
      <c r="E18" s="9" t="s">
        <v>97</v>
      </c>
      <c r="F18" s="234"/>
      <c r="G18" s="221"/>
      <c r="H18" s="11" t="s">
        <v>212</v>
      </c>
      <c r="I18" s="209"/>
      <c r="J18" s="208"/>
      <c r="K18" s="199"/>
      <c r="L18" s="201"/>
      <c r="M18" s="20">
        <f>IF(OR($O$8&lt;=1500,$O$8&gt;7000,$O$4&gt;25,$O$4&lt;2,AND(SUM($O$5:$O$7)&gt;250),$O5&gt;150,$O6&gt;150,$O7&gt;150),"无价格",$O4*33+39.5)</f>
        <v>135.75</v>
      </c>
      <c r="O18" s="5"/>
    </row>
    <row r="19" spans="2:15" s="1" customFormat="1" ht="16.2" x14ac:dyDescent="0.25">
      <c r="B19" s="218"/>
      <c r="C19" s="219" t="s">
        <v>123</v>
      </c>
      <c r="D19" s="220" t="s">
        <v>188</v>
      </c>
      <c r="E19" s="9" t="s">
        <v>55</v>
      </c>
      <c r="F19" s="234"/>
      <c r="G19" s="221" t="s">
        <v>213</v>
      </c>
      <c r="H19" s="11" t="s">
        <v>214</v>
      </c>
      <c r="I19" s="209"/>
      <c r="J19" s="206" t="s">
        <v>191</v>
      </c>
      <c r="K19" s="199"/>
      <c r="L19" s="201"/>
      <c r="M19" s="20">
        <f>IF(OR($O$8&lt;=1500,$O$8&gt;7000,$O$4&gt;25,$O$4&lt;2,AND(SUM($O$5:$O$7)&gt;250),$O5&gt;150,$O6&gt;150,$O7&gt;150),"无价格",$O4*25+36)</f>
        <v>108.91666666666666</v>
      </c>
      <c r="O19" s="5"/>
    </row>
    <row r="20" spans="2:15" s="1" customFormat="1" ht="16.2" x14ac:dyDescent="0.25">
      <c r="B20" s="218"/>
      <c r="C20" s="219"/>
      <c r="D20" s="220"/>
      <c r="E20" s="9" t="s">
        <v>97</v>
      </c>
      <c r="F20" s="234"/>
      <c r="G20" s="221"/>
      <c r="H20" s="11" t="s">
        <v>215</v>
      </c>
      <c r="I20" s="209"/>
      <c r="J20" s="207"/>
      <c r="K20" s="199"/>
      <c r="L20" s="201"/>
      <c r="M20" s="20">
        <f>IF(OR($O$8&lt;=1500,$O$8&gt;7000,$O$4&gt;25,$O$4&lt;2,AND(SUM($O$5:$O$7)&gt;250),$O5&gt;150,$O6&gt;150,$O7&gt;150),"无价格",$O4*25+39.5)</f>
        <v>112.41666666666666</v>
      </c>
      <c r="O20" s="5"/>
    </row>
    <row r="21" spans="2:15" s="1" customFormat="1" ht="16.2" x14ac:dyDescent="0.25">
      <c r="B21" s="218"/>
      <c r="C21" s="219" t="s">
        <v>128</v>
      </c>
      <c r="D21" s="220" t="s">
        <v>192</v>
      </c>
      <c r="E21" s="9" t="s">
        <v>55</v>
      </c>
      <c r="F21" s="234"/>
      <c r="G21" s="221" t="s">
        <v>216</v>
      </c>
      <c r="H21" s="11" t="s">
        <v>217</v>
      </c>
      <c r="I21" s="209"/>
      <c r="J21" s="207"/>
      <c r="K21" s="199"/>
      <c r="L21" s="201"/>
      <c r="M21" s="20">
        <f>IF(OR($O$8&lt;=1500,$O$8&gt;7000,$O$4&gt;25,$O$4&lt;2,AND(SUM($O$5:$O$7)&gt;250),$O5&gt;150,$O6&gt;150,$O7&gt;150),"无价格",$O4*17+36)</f>
        <v>85.583333333333329</v>
      </c>
      <c r="O21" s="5"/>
    </row>
    <row r="22" spans="2:15" s="1" customFormat="1" ht="16.2" x14ac:dyDescent="0.25">
      <c r="B22" s="218"/>
      <c r="C22" s="219"/>
      <c r="D22" s="220"/>
      <c r="E22" s="9" t="s">
        <v>97</v>
      </c>
      <c r="F22" s="234"/>
      <c r="G22" s="221"/>
      <c r="H22" s="11" t="s">
        <v>218</v>
      </c>
      <c r="I22" s="209"/>
      <c r="J22" s="208"/>
      <c r="K22" s="200"/>
      <c r="L22" s="201"/>
      <c r="M22" s="20">
        <f>IF(OR($O$8&lt;=1500,$O$8&gt;7000,$O$4&gt;25,$O$4&lt;2,AND(SUM($O$5:$O$7)&gt;250),$O5&gt;150,$O6&gt;150,$O7&gt;150),"无价格",$O4*17+39.5)</f>
        <v>89.083333333333329</v>
      </c>
      <c r="O22" s="5"/>
    </row>
    <row r="23" spans="2:15" s="1" customFormat="1" ht="16.2" x14ac:dyDescent="0.25">
      <c r="B23" s="218" t="s">
        <v>219</v>
      </c>
      <c r="C23" s="219" t="s">
        <v>134</v>
      </c>
      <c r="D23" s="220" t="s">
        <v>182</v>
      </c>
      <c r="E23" s="9" t="s">
        <v>55</v>
      </c>
      <c r="F23" s="234"/>
      <c r="G23" s="221" t="s">
        <v>57</v>
      </c>
      <c r="H23" s="11" t="s">
        <v>220</v>
      </c>
      <c r="I23" s="209" t="s">
        <v>137</v>
      </c>
      <c r="J23" s="206" t="s">
        <v>185</v>
      </c>
      <c r="K23" s="199" t="s">
        <v>210</v>
      </c>
      <c r="L23" s="201" t="s">
        <v>221</v>
      </c>
      <c r="M23" s="20" t="str">
        <f>IF(OR($O$8&lt;=7000,$O$8&gt;250000,$O$4&gt;5,AND(SUM($O$5:$O$7)&gt;250),$O5&gt;150,$O6&gt;150,$O7&gt;150),"无价格",$O4*45+22)</f>
        <v>无价格</v>
      </c>
      <c r="O23" s="5"/>
    </row>
    <row r="24" spans="2:15" s="1" customFormat="1" ht="16.2" x14ac:dyDescent="0.25">
      <c r="B24" s="218"/>
      <c r="C24" s="219"/>
      <c r="D24" s="220"/>
      <c r="E24" s="9" t="s">
        <v>97</v>
      </c>
      <c r="F24" s="234"/>
      <c r="G24" s="221"/>
      <c r="H24" s="11" t="s">
        <v>222</v>
      </c>
      <c r="I24" s="209"/>
      <c r="J24" s="208"/>
      <c r="K24" s="199"/>
      <c r="L24" s="201"/>
      <c r="M24" s="20" t="str">
        <f>IF(OR($O$8&lt;=7000,$O$8&gt;250000,$O$4&gt;5,AND(SUM($O$5:$O$7)&gt;250),$O5&gt;150,$O6&gt;150,$O7&gt;150),"无价格",$O4*45+25)</f>
        <v>无价格</v>
      </c>
      <c r="O24" s="5"/>
    </row>
    <row r="25" spans="2:15" s="1" customFormat="1" ht="16.2" x14ac:dyDescent="0.25">
      <c r="B25" s="218"/>
      <c r="C25" s="219" t="s">
        <v>223</v>
      </c>
      <c r="D25" s="220" t="s">
        <v>188</v>
      </c>
      <c r="E25" s="9" t="s">
        <v>55</v>
      </c>
      <c r="F25" s="234"/>
      <c r="G25" s="221" t="s">
        <v>213</v>
      </c>
      <c r="H25" s="11" t="s">
        <v>224</v>
      </c>
      <c r="I25" s="209"/>
      <c r="J25" s="206" t="s">
        <v>191</v>
      </c>
      <c r="K25" s="199"/>
      <c r="L25" s="201"/>
      <c r="M25" s="20" t="str">
        <f>IF(OR($O$8&lt;=7000,$O$8&gt;250000,$O$4&gt;5,AND(SUM($O$5:$O$7)&gt;250),$O5&gt;150,$O6&gt;150,$O7&gt;150),"无价格",$O4*35+22)</f>
        <v>无价格</v>
      </c>
      <c r="O25" s="5"/>
    </row>
    <row r="26" spans="2:15" s="1" customFormat="1" ht="16.2" x14ac:dyDescent="0.25">
      <c r="B26" s="218"/>
      <c r="C26" s="219"/>
      <c r="D26" s="220"/>
      <c r="E26" s="9" t="s">
        <v>97</v>
      </c>
      <c r="F26" s="234"/>
      <c r="G26" s="221"/>
      <c r="H26" s="11" t="s">
        <v>225</v>
      </c>
      <c r="I26" s="209"/>
      <c r="J26" s="207"/>
      <c r="K26" s="199"/>
      <c r="L26" s="201"/>
      <c r="M26" s="20" t="str">
        <f>IF(OR($O$8&lt;=7000,$O$8&gt;250000,$O$4&gt;5,AND(SUM($O$5:$O$7)&gt;250),$O5&gt;150,$O6&gt;150,$O7&gt;150),"无价格",$O4*35+25)</f>
        <v>无价格</v>
      </c>
      <c r="O26" s="5"/>
    </row>
    <row r="27" spans="2:15" s="1" customFormat="1" ht="16.2" x14ac:dyDescent="0.25">
      <c r="B27" s="218"/>
      <c r="C27" s="219" t="s">
        <v>147</v>
      </c>
      <c r="D27" s="220" t="s">
        <v>192</v>
      </c>
      <c r="E27" s="9" t="s">
        <v>55</v>
      </c>
      <c r="F27" s="234"/>
      <c r="G27" s="221" t="s">
        <v>226</v>
      </c>
      <c r="H27" s="11" t="s">
        <v>227</v>
      </c>
      <c r="I27" s="209"/>
      <c r="J27" s="207"/>
      <c r="K27" s="199"/>
      <c r="L27" s="201"/>
      <c r="M27" s="20" t="str">
        <f>IF(OR($O$8&lt;=7000,$O$8&gt;250000,$O$4&gt;5,AND(SUM($O$5:$O$7)&gt;250),$O5&gt;150,$O6&gt;150,$O7&gt;150),"无价格",$O4*25+22)</f>
        <v>无价格</v>
      </c>
      <c r="O27" s="5"/>
    </row>
    <row r="28" spans="2:15" s="1" customFormat="1" ht="16.2" x14ac:dyDescent="0.25">
      <c r="B28" s="218"/>
      <c r="C28" s="219"/>
      <c r="D28" s="220"/>
      <c r="E28" s="9" t="s">
        <v>97</v>
      </c>
      <c r="F28" s="234"/>
      <c r="G28" s="221"/>
      <c r="H28" s="11" t="s">
        <v>228</v>
      </c>
      <c r="I28" s="209"/>
      <c r="J28" s="208"/>
      <c r="K28" s="200"/>
      <c r="L28" s="201"/>
      <c r="M28" s="20" t="str">
        <f>IF(OR($O$8&lt;=7000,$O$8&gt;250000,$O$4&gt;5,AND(SUM($O$5:$O$7)&gt;250),$O5&gt;150,$O6&gt;150,$O7&gt;150),"无价格",$O4*25+25)</f>
        <v>无价格</v>
      </c>
      <c r="O28" s="5"/>
    </row>
    <row r="29" spans="2:15" s="1" customFormat="1" ht="16.2" x14ac:dyDescent="0.25">
      <c r="B29" s="218" t="s">
        <v>229</v>
      </c>
      <c r="C29" s="219" t="s">
        <v>153</v>
      </c>
      <c r="D29" s="220" t="s">
        <v>182</v>
      </c>
      <c r="E29" s="9" t="s">
        <v>55</v>
      </c>
      <c r="F29" s="234"/>
      <c r="G29" s="221" t="s">
        <v>57</v>
      </c>
      <c r="H29" s="11" t="s">
        <v>230</v>
      </c>
      <c r="I29" s="209" t="s">
        <v>156</v>
      </c>
      <c r="J29" s="206" t="s">
        <v>185</v>
      </c>
      <c r="K29" s="199" t="s">
        <v>231</v>
      </c>
      <c r="L29" s="201" t="s">
        <v>232</v>
      </c>
      <c r="M29" s="20" t="str">
        <f>IF(OR($O$8&lt;=7000,$O$8&gt;250000,$O$4&gt;25,$O$4&lt;5,AND(SUM($O$5:$O$7)&gt;310),$O5&gt;150,$O6&gt;150,$O7&gt;150),"无价格",$O4*33+62)</f>
        <v>无价格</v>
      </c>
      <c r="O29" s="5"/>
    </row>
    <row r="30" spans="2:15" s="1" customFormat="1" ht="16.2" x14ac:dyDescent="0.25">
      <c r="B30" s="218"/>
      <c r="C30" s="219"/>
      <c r="D30" s="220"/>
      <c r="E30" s="9" t="s">
        <v>97</v>
      </c>
      <c r="F30" s="234"/>
      <c r="G30" s="221"/>
      <c r="H30" s="11" t="s">
        <v>233</v>
      </c>
      <c r="I30" s="209"/>
      <c r="J30" s="208"/>
      <c r="K30" s="199"/>
      <c r="L30" s="201"/>
      <c r="M30" s="20" t="str">
        <f>IF(OR($O$8&lt;=7000,$O$8&gt;250000,$O$4&gt;25,$O$4&lt;5,AND(SUM($O$5:$O$7)&gt;310),$O5&gt;150,$O6&gt;150,$O7&gt;150),"无价格",$O4*33+65.5)</f>
        <v>无价格</v>
      </c>
      <c r="O30" s="5"/>
    </row>
    <row r="31" spans="2:15" s="1" customFormat="1" ht="16.2" x14ac:dyDescent="0.25">
      <c r="B31" s="218"/>
      <c r="C31" s="219" t="s">
        <v>161</v>
      </c>
      <c r="D31" s="220" t="s">
        <v>188</v>
      </c>
      <c r="E31" s="9" t="s">
        <v>55</v>
      </c>
      <c r="F31" s="234"/>
      <c r="G31" s="221" t="s">
        <v>213</v>
      </c>
      <c r="H31" s="11" t="s">
        <v>234</v>
      </c>
      <c r="I31" s="209"/>
      <c r="J31" s="206" t="s">
        <v>191</v>
      </c>
      <c r="K31" s="199"/>
      <c r="L31" s="201"/>
      <c r="M31" s="20" t="str">
        <f>IF(OR($O$8&lt;=7000,$O$8&gt;250000,$O$4&gt;25,$O$4&lt;5,AND(SUM($O$5:$O$7)&gt;310),$O5&gt;150,$O6&gt;150,$O7&gt;150),"无价格",$O4*28+62)</f>
        <v>无价格</v>
      </c>
      <c r="O31" s="5"/>
    </row>
    <row r="32" spans="2:15" s="1" customFormat="1" ht="16.2" x14ac:dyDescent="0.25">
      <c r="B32" s="218"/>
      <c r="C32" s="219"/>
      <c r="D32" s="220"/>
      <c r="E32" s="9" t="s">
        <v>97</v>
      </c>
      <c r="F32" s="234"/>
      <c r="G32" s="221"/>
      <c r="H32" s="11" t="s">
        <v>235</v>
      </c>
      <c r="I32" s="209"/>
      <c r="J32" s="207"/>
      <c r="K32" s="199"/>
      <c r="L32" s="201"/>
      <c r="M32" s="20" t="str">
        <f>IF(OR($O$8&lt;=7000,$O$8&gt;250000,$O$4&gt;25,$O$4&lt;5,AND(SUM($O$5:$O$7)&gt;310),$O5&gt;150,$O6&gt;150,$O7&gt;150),"无价格",$O4*28+65.5)</f>
        <v>无价格</v>
      </c>
      <c r="O32" s="5"/>
    </row>
    <row r="33" spans="2:15" s="1" customFormat="1" ht="16.2" x14ac:dyDescent="0.25">
      <c r="B33" s="218"/>
      <c r="C33" s="219" t="s">
        <v>166</v>
      </c>
      <c r="D33" s="220" t="s">
        <v>192</v>
      </c>
      <c r="E33" s="9" t="s">
        <v>55</v>
      </c>
      <c r="F33" s="234"/>
      <c r="G33" s="221" t="s">
        <v>216</v>
      </c>
      <c r="H33" s="11" t="s">
        <v>236</v>
      </c>
      <c r="I33" s="209"/>
      <c r="J33" s="207"/>
      <c r="K33" s="199"/>
      <c r="L33" s="201"/>
      <c r="M33" s="20" t="str">
        <f>IF(OR($O$8&lt;=7000,$O$8&gt;250000,$O$4&gt;25,$O$4&lt;5,AND(SUM($O$5:$O$7)&gt;310),$O5&gt;150,$O6&gt;150,$O7&gt;150),"无价格",$O4*23+62)</f>
        <v>无价格</v>
      </c>
      <c r="O33" s="5"/>
    </row>
    <row r="34" spans="2:15" s="1" customFormat="1" ht="16.2" x14ac:dyDescent="0.25">
      <c r="B34" s="218"/>
      <c r="C34" s="219"/>
      <c r="D34" s="220"/>
      <c r="E34" s="9" t="s">
        <v>97</v>
      </c>
      <c r="F34" s="234"/>
      <c r="G34" s="221"/>
      <c r="H34" s="11" t="s">
        <v>237</v>
      </c>
      <c r="I34" s="209"/>
      <c r="J34" s="208"/>
      <c r="K34" s="200"/>
      <c r="L34" s="201"/>
      <c r="M34" s="20" t="str">
        <f>IF(OR($O$8&lt;=7000,$O$8&gt;250000,$O$4&gt;25,$O$4&lt;5,AND(SUM($O$5:$O$7)&gt;310),$O5&gt;150,$O6&gt;150,$O7&gt;150),"无价格",$O4*23+65.5)</f>
        <v>无价格</v>
      </c>
      <c r="O34" s="5"/>
    </row>
    <row r="35" spans="2:15" x14ac:dyDescent="0.25">
      <c r="B35" s="211" t="s">
        <v>171</v>
      </c>
      <c r="C35" s="212"/>
      <c r="D35" s="212"/>
      <c r="E35" s="213"/>
      <c r="F35" s="213"/>
      <c r="G35" s="213"/>
      <c r="H35" s="213"/>
      <c r="I35" s="213"/>
      <c r="J35" s="213"/>
      <c r="K35" s="213"/>
      <c r="L35" s="213"/>
      <c r="M35" s="214"/>
    </row>
    <row r="36" spans="2:15" x14ac:dyDescent="0.25">
      <c r="B36" s="211" t="s">
        <v>172</v>
      </c>
      <c r="C36" s="212"/>
      <c r="D36" s="212"/>
      <c r="E36" s="213"/>
      <c r="F36" s="213"/>
      <c r="G36" s="213"/>
      <c r="H36" s="213"/>
      <c r="I36" s="213"/>
      <c r="J36" s="213"/>
      <c r="K36" s="213"/>
      <c r="L36" s="213"/>
      <c r="M36" s="214"/>
    </row>
    <row r="37" spans="2:15" x14ac:dyDescent="0.25">
      <c r="B37" s="12" t="s">
        <v>173</v>
      </c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25"/>
    </row>
    <row r="38" spans="2:15" x14ac:dyDescent="0.25">
      <c r="B38" s="15" t="s">
        <v>238</v>
      </c>
      <c r="H38"/>
      <c r="L38"/>
      <c r="M38" s="26"/>
    </row>
    <row r="39" spans="2:15" x14ac:dyDescent="0.25">
      <c r="B39" s="15" t="s">
        <v>175</v>
      </c>
      <c r="H39"/>
      <c r="L39"/>
      <c r="M39" s="26"/>
    </row>
    <row r="40" spans="2:15" x14ac:dyDescent="0.25">
      <c r="B40" s="15" t="s">
        <v>176</v>
      </c>
      <c r="H40"/>
      <c r="L40"/>
      <c r="M40" s="26"/>
    </row>
    <row r="41" spans="2:15" ht="97.05" customHeight="1" x14ac:dyDescent="0.25">
      <c r="B41" s="215" t="s">
        <v>239</v>
      </c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7"/>
    </row>
    <row r="42" spans="2:15" ht="50.1" customHeight="1" x14ac:dyDescent="0.25"/>
  </sheetData>
  <sheetProtection algorithmName="SHA-512" hashValue="FVte5VmwYagOV/0CXslyeYlGJVaX7ux5JSTMLzFl+B6V41M2XCJ0ovVTbMzJo/eJ8xJZsQ9O2tJtx+NcBSxLdg==" saltValue="53eoLUXvx7K2GOyGJLX7pg==" spinCount="100000" sheet="1" objects="1" selectLockedCells="1" autoFilter="0"/>
  <mergeCells count="84">
    <mergeCell ref="B2:M2"/>
    <mergeCell ref="B3:M3"/>
    <mergeCell ref="P4:Q4"/>
    <mergeCell ref="P8:Q8"/>
    <mergeCell ref="O10:S10"/>
    <mergeCell ref="F5:F34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D11:D12"/>
    <mergeCell ref="D13:D14"/>
    <mergeCell ref="D15:D16"/>
    <mergeCell ref="D17:D18"/>
    <mergeCell ref="D19:D20"/>
    <mergeCell ref="O14:S14"/>
    <mergeCell ref="B35:M35"/>
    <mergeCell ref="C27:C28"/>
    <mergeCell ref="C29:C30"/>
    <mergeCell ref="C31:C32"/>
    <mergeCell ref="C33:C34"/>
    <mergeCell ref="D21:D22"/>
    <mergeCell ref="D23:D24"/>
    <mergeCell ref="D25:D26"/>
    <mergeCell ref="D27:D28"/>
    <mergeCell ref="D29:D30"/>
    <mergeCell ref="D31:D32"/>
    <mergeCell ref="D33:D34"/>
    <mergeCell ref="G31:G32"/>
    <mergeCell ref="G33:G34"/>
    <mergeCell ref="I29:I34"/>
    <mergeCell ref="B36:M36"/>
    <mergeCell ref="B41:M41"/>
    <mergeCell ref="B5:B7"/>
    <mergeCell ref="B8:B10"/>
    <mergeCell ref="B11:B16"/>
    <mergeCell ref="B17:B22"/>
    <mergeCell ref="B23:B28"/>
    <mergeCell ref="B29:B34"/>
    <mergeCell ref="C11:C12"/>
    <mergeCell ref="C13:C14"/>
    <mergeCell ref="C15:C16"/>
    <mergeCell ref="C17:C18"/>
    <mergeCell ref="C19:C20"/>
    <mergeCell ref="C21:C22"/>
    <mergeCell ref="C23:C24"/>
    <mergeCell ref="C25:C26"/>
    <mergeCell ref="I5:I7"/>
    <mergeCell ref="I8:I10"/>
    <mergeCell ref="I11:I16"/>
    <mergeCell ref="I17:I22"/>
    <mergeCell ref="I23:I28"/>
    <mergeCell ref="J6:J7"/>
    <mergeCell ref="J9:J10"/>
    <mergeCell ref="J11:J12"/>
    <mergeCell ref="J13:J16"/>
    <mergeCell ref="J17:J18"/>
    <mergeCell ref="J19:J22"/>
    <mergeCell ref="J23:J24"/>
    <mergeCell ref="J25:J28"/>
    <mergeCell ref="J29:J30"/>
    <mergeCell ref="J31:J34"/>
    <mergeCell ref="P5:Q7"/>
    <mergeCell ref="K29:K34"/>
    <mergeCell ref="L5:L7"/>
    <mergeCell ref="L8:L10"/>
    <mergeCell ref="L11:L16"/>
    <mergeCell ref="L17:L22"/>
    <mergeCell ref="L23:L28"/>
    <mergeCell ref="L29:L34"/>
    <mergeCell ref="K5:K7"/>
    <mergeCell ref="K8:K10"/>
    <mergeCell ref="K11:K16"/>
    <mergeCell ref="K17:K22"/>
    <mergeCell ref="K23:K28"/>
    <mergeCell ref="O11:T11"/>
    <mergeCell ref="O12:T12"/>
    <mergeCell ref="O13:S13"/>
  </mergeCells>
  <phoneticPr fontId="71" type="noConversion"/>
  <conditionalFormatting sqref="C5:K6 M5:M10 C7:I7 K7 C8:K9 C10:I10 K10 C11:M11 C12:I12 K12:M12 C13:M13 C14:I16 K14:M16 C17:M17 C18:I18 K18:M18 C19:M19 C20:I22 K20:M22 C23:M23 C24:I24 K24:M24 C25:M25 C26:I28 K26:M28 C29:M29 C30:I30 K30:M30 C31:M31 C32:I34 K32:M34">
    <cfRule type="expression" dxfId="13" priority="5">
      <formula>$M5=SMALL($M$5:$M$34,2)</formula>
    </cfRule>
    <cfRule type="expression" dxfId="12" priority="6">
      <formula>$M5=SMALL($M$5:$M$34,1)</formula>
    </cfRule>
  </conditionalFormatting>
  <conditionalFormatting sqref="L5:L7">
    <cfRule type="expression" dxfId="11" priority="1">
      <formula>$N5=SMALL($N$5:$N$34,2)</formula>
    </cfRule>
    <cfRule type="expression" dxfId="10" priority="2">
      <formula>$N5=SMALL($N$5:$N$34,1)</formula>
    </cfRule>
  </conditionalFormatting>
  <conditionalFormatting sqref="L8">
    <cfRule type="expression" dxfId="9" priority="3">
      <formula>$M8=SMALL($M$5:$M$34,2)</formula>
    </cfRule>
    <cfRule type="expression" dxfId="8" priority="4">
      <formula>$M8=SMALL($M$5:$M$34,1)</formula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8"/>
  <sheetViews>
    <sheetView showGridLines="0" zoomScale="90" zoomScaleNormal="90" workbookViewId="0">
      <selection activeCell="O5" sqref="O5:P7"/>
    </sheetView>
  </sheetViews>
  <sheetFormatPr defaultColWidth="9" defaultRowHeight="13.8" x14ac:dyDescent="0.25"/>
  <cols>
    <col min="1" max="1" width="0.88671875" style="40" customWidth="1"/>
    <col min="2" max="2" width="10.21875" style="40" customWidth="1"/>
    <col min="3" max="3" width="23" style="40" customWidth="1"/>
    <col min="4" max="4" width="13.21875" style="40" customWidth="1"/>
    <col min="5" max="5" width="14.6640625" style="40" customWidth="1"/>
    <col min="6" max="6" width="23.33203125" style="40" customWidth="1"/>
    <col min="7" max="7" width="9.21875" style="40" customWidth="1"/>
    <col min="8" max="8" width="9.33203125" style="40" customWidth="1"/>
    <col min="9" max="9" width="25.109375" style="40" customWidth="1"/>
    <col min="10" max="10" width="8.6640625" style="40" customWidth="1"/>
    <col min="11" max="11" width="20.6640625" style="40" customWidth="1"/>
    <col min="12" max="12" width="12.88671875" style="40" customWidth="1"/>
    <col min="13" max="13" width="0.88671875" style="40" customWidth="1"/>
    <col min="14" max="14" width="9.21875" style="40" customWidth="1"/>
    <col min="15" max="15" width="9" style="40"/>
    <col min="16" max="16" width="7.6640625" style="40" customWidth="1"/>
    <col min="17" max="16384" width="9" style="40"/>
  </cols>
  <sheetData>
    <row r="1" spans="1:16" ht="5.0999999999999996" customHeight="1" x14ac:dyDescent="0.25"/>
    <row r="2" spans="1:16" ht="29.1" customHeight="1" x14ac:dyDescent="0.25">
      <c r="B2" s="252" t="s">
        <v>240</v>
      </c>
      <c r="C2" s="253"/>
      <c r="D2" s="253"/>
      <c r="E2" s="253"/>
      <c r="F2" s="253"/>
      <c r="G2" s="253"/>
      <c r="H2" s="253"/>
      <c r="I2" s="253"/>
      <c r="J2" s="253"/>
      <c r="K2" s="253"/>
      <c r="L2" s="254"/>
      <c r="N2" s="44" t="s">
        <v>241</v>
      </c>
    </row>
    <row r="3" spans="1:16" ht="24.9" customHeight="1" x14ac:dyDescent="0.25">
      <c r="B3" s="255" t="s">
        <v>34</v>
      </c>
      <c r="C3" s="256"/>
      <c r="D3" s="256"/>
      <c r="E3" s="256"/>
      <c r="F3" s="256"/>
      <c r="G3" s="256"/>
      <c r="H3" s="256"/>
      <c r="I3" s="256"/>
      <c r="J3" s="256"/>
      <c r="K3" s="256"/>
      <c r="L3" s="257"/>
    </row>
    <row r="4" spans="1:16" ht="33" customHeight="1" x14ac:dyDescent="0.25">
      <c r="B4" s="51" t="s">
        <v>35</v>
      </c>
      <c r="C4" s="52" t="s">
        <v>36</v>
      </c>
      <c r="D4" s="53" t="s">
        <v>38</v>
      </c>
      <c r="E4" s="54" t="s">
        <v>242</v>
      </c>
      <c r="F4" s="54" t="s">
        <v>41</v>
      </c>
      <c r="G4" s="54" t="s">
        <v>243</v>
      </c>
      <c r="H4" s="54" t="s">
        <v>43</v>
      </c>
      <c r="I4" s="53" t="s">
        <v>44</v>
      </c>
      <c r="J4" s="54" t="s">
        <v>244</v>
      </c>
      <c r="K4" s="65" t="s">
        <v>245</v>
      </c>
      <c r="L4" s="66" t="s">
        <v>50</v>
      </c>
      <c r="M4" s="47"/>
      <c r="N4" s="48">
        <v>1</v>
      </c>
      <c r="O4" s="258" t="s">
        <v>51</v>
      </c>
      <c r="P4" s="259"/>
    </row>
    <row r="5" spans="1:16" ht="52.95" customHeight="1" x14ac:dyDescent="0.25">
      <c r="B5" s="242" t="s">
        <v>246</v>
      </c>
      <c r="C5" s="55" t="s">
        <v>247</v>
      </c>
      <c r="D5" s="247" t="s">
        <v>55</v>
      </c>
      <c r="E5" s="57" t="s">
        <v>248</v>
      </c>
      <c r="F5" s="56" t="s">
        <v>249</v>
      </c>
      <c r="G5" s="56" t="s">
        <v>250</v>
      </c>
      <c r="H5" s="248" t="s">
        <v>251</v>
      </c>
      <c r="I5" s="251" t="s">
        <v>252</v>
      </c>
      <c r="J5" s="67" t="s">
        <v>253</v>
      </c>
      <c r="K5" s="68" t="s">
        <v>254</v>
      </c>
      <c r="L5" s="69">
        <f>IF(OR($N$4&gt;5,SUM($N$5:$N$7)&gt;90),"超过渠道限制",$N$4*23+11)</f>
        <v>34</v>
      </c>
      <c r="N5" s="49">
        <v>10</v>
      </c>
      <c r="O5" s="260" t="s">
        <v>64</v>
      </c>
      <c r="P5" s="261"/>
    </row>
    <row r="6" spans="1:16" ht="52.95" customHeight="1" x14ac:dyDescent="0.25">
      <c r="B6" s="243"/>
      <c r="C6" s="58" t="s">
        <v>255</v>
      </c>
      <c r="D6" s="247"/>
      <c r="E6" s="59" t="s">
        <v>248</v>
      </c>
      <c r="F6" s="60" t="s">
        <v>256</v>
      </c>
      <c r="G6" s="60" t="s">
        <v>250</v>
      </c>
      <c r="H6" s="249"/>
      <c r="I6" s="251"/>
      <c r="J6" s="70" t="s">
        <v>253</v>
      </c>
      <c r="K6" s="71" t="s">
        <v>257</v>
      </c>
      <c r="L6" s="72">
        <f>IF(OR($N$4&gt;5,SUM($N$5:$N$7)&gt;90),"超过渠道限制",$N$4*34+1.7)</f>
        <v>35.700000000000003</v>
      </c>
      <c r="N6" s="49">
        <v>10</v>
      </c>
      <c r="O6" s="262"/>
      <c r="P6" s="263"/>
    </row>
    <row r="7" spans="1:16" ht="52.95" customHeight="1" x14ac:dyDescent="0.25">
      <c r="B7" s="243"/>
      <c r="C7" s="58" t="s">
        <v>258</v>
      </c>
      <c r="D7" s="247"/>
      <c r="E7" s="59" t="s">
        <v>259</v>
      </c>
      <c r="F7" s="60" t="s">
        <v>260</v>
      </c>
      <c r="G7" s="60" t="s">
        <v>250</v>
      </c>
      <c r="H7" s="249"/>
      <c r="I7" s="251"/>
      <c r="J7" s="70" t="s">
        <v>261</v>
      </c>
      <c r="K7" s="71" t="s">
        <v>262</v>
      </c>
      <c r="L7" s="72">
        <f>IF(OR($N$4&gt;5,SUM($N$5:$N$7)&gt;90),"超过渠道限制",$N$4*46.75+1.7)</f>
        <v>48.45</v>
      </c>
      <c r="N7" s="49">
        <v>10</v>
      </c>
      <c r="O7" s="262"/>
      <c r="P7" s="263"/>
    </row>
    <row r="8" spans="1:16" ht="55.05" customHeight="1" x14ac:dyDescent="0.25">
      <c r="A8" s="61"/>
      <c r="B8" s="244" t="s">
        <v>246</v>
      </c>
      <c r="C8" s="62" t="s">
        <v>263</v>
      </c>
      <c r="D8" s="247"/>
      <c r="E8" s="59" t="s">
        <v>248</v>
      </c>
      <c r="F8" s="60" t="s">
        <v>264</v>
      </c>
      <c r="G8" s="60" t="s">
        <v>93</v>
      </c>
      <c r="H8" s="249"/>
      <c r="I8" s="251"/>
      <c r="J8" s="70" t="s">
        <v>253</v>
      </c>
      <c r="K8" s="71" t="s">
        <v>265</v>
      </c>
      <c r="L8" s="72">
        <f>IF(OR($N$4&gt;2,SUM($N$5:$N$7)&gt;90),"超过渠道限制",$N$4*31.5+14.4)</f>
        <v>45.9</v>
      </c>
      <c r="N8" s="48">
        <v>600</v>
      </c>
      <c r="O8" s="258" t="s">
        <v>266</v>
      </c>
      <c r="P8" s="259"/>
    </row>
    <row r="9" spans="1:16" ht="49.05" customHeight="1" x14ac:dyDescent="0.25">
      <c r="A9" s="63"/>
      <c r="B9" s="245"/>
      <c r="C9" s="62" t="s">
        <v>267</v>
      </c>
      <c r="D9" s="247"/>
      <c r="E9" s="59" t="s">
        <v>259</v>
      </c>
      <c r="F9" s="60" t="s">
        <v>268</v>
      </c>
      <c r="G9" s="60" t="s">
        <v>268</v>
      </c>
      <c r="H9" s="249"/>
      <c r="I9" s="251"/>
      <c r="J9" s="70" t="s">
        <v>261</v>
      </c>
      <c r="K9" s="71" t="s">
        <v>269</v>
      </c>
      <c r="L9" s="73" t="s">
        <v>268</v>
      </c>
    </row>
    <row r="10" spans="1:16" ht="48" customHeight="1" x14ac:dyDescent="0.25">
      <c r="A10" s="63"/>
      <c r="B10" s="245"/>
      <c r="C10" s="62" t="s">
        <v>270</v>
      </c>
      <c r="D10" s="247"/>
      <c r="E10" s="59" t="s">
        <v>259</v>
      </c>
      <c r="F10" s="60" t="s">
        <v>271</v>
      </c>
      <c r="G10" s="60" t="s">
        <v>93</v>
      </c>
      <c r="H10" s="249"/>
      <c r="I10" s="251"/>
      <c r="J10" s="70" t="s">
        <v>261</v>
      </c>
      <c r="K10" s="71" t="s">
        <v>269</v>
      </c>
      <c r="L10" s="72">
        <f>IF(OR($N$4&gt;2,SUM($N$5:$N$7)&gt;90),"超过渠道限制",$N$4*39.5+8)</f>
        <v>47.5</v>
      </c>
    </row>
    <row r="11" spans="1:16" ht="48" customHeight="1" x14ac:dyDescent="0.25">
      <c r="A11" s="63"/>
      <c r="B11" s="245"/>
      <c r="C11" s="62" t="s">
        <v>272</v>
      </c>
      <c r="D11" s="247"/>
      <c r="E11" s="59" t="s">
        <v>259</v>
      </c>
      <c r="F11" s="60" t="s">
        <v>273</v>
      </c>
      <c r="G11" s="60" t="s">
        <v>93</v>
      </c>
      <c r="H11" s="249"/>
      <c r="I11" s="251"/>
      <c r="J11" s="70" t="s">
        <v>261</v>
      </c>
      <c r="K11" s="71" t="s">
        <v>269</v>
      </c>
      <c r="L11" s="72">
        <f>IF(OR($N$4&gt;2,SUM($N$5:$N$7)&gt;90),"超过渠道限制",$N$4*49+25)</f>
        <v>74</v>
      </c>
    </row>
    <row r="12" spans="1:16" ht="48" customHeight="1" x14ac:dyDescent="0.25">
      <c r="A12" s="63"/>
      <c r="B12" s="245"/>
      <c r="C12" s="62" t="s">
        <v>274</v>
      </c>
      <c r="D12" s="247"/>
      <c r="E12" s="59" t="s">
        <v>259</v>
      </c>
      <c r="F12" s="60" t="s">
        <v>275</v>
      </c>
      <c r="G12" s="60" t="s">
        <v>93</v>
      </c>
      <c r="H12" s="249"/>
      <c r="I12" s="251"/>
      <c r="J12" s="70" t="s">
        <v>261</v>
      </c>
      <c r="K12" s="71" t="s">
        <v>269</v>
      </c>
      <c r="L12" s="72">
        <f>IF(OR($N$4&gt;2,SUM($N$5:$N$7)&gt;90),"超过渠道限制",$N$4*71+25)</f>
        <v>96</v>
      </c>
    </row>
    <row r="13" spans="1:16" ht="48" customHeight="1" x14ac:dyDescent="0.25">
      <c r="A13" s="64"/>
      <c r="B13" s="246"/>
      <c r="C13" s="62" t="s">
        <v>276</v>
      </c>
      <c r="D13" s="247"/>
      <c r="E13" s="59" t="s">
        <v>259</v>
      </c>
      <c r="F13" s="60" t="s">
        <v>277</v>
      </c>
      <c r="G13" s="60" t="s">
        <v>93</v>
      </c>
      <c r="H13" s="250"/>
      <c r="I13" s="251"/>
      <c r="J13" s="70" t="s">
        <v>261</v>
      </c>
      <c r="K13" s="71" t="s">
        <v>269</v>
      </c>
      <c r="L13" s="72">
        <f>IF(OR($N$4&gt;2,SUM($N$5:$N$7)&gt;90),"超过渠道限制",$N$4*52+25)</f>
        <v>77</v>
      </c>
    </row>
    <row r="14" spans="1:16" ht="20.399999999999999" x14ac:dyDescent="0.25">
      <c r="B14" s="235" t="s">
        <v>278</v>
      </c>
      <c r="C14" s="236"/>
      <c r="D14" s="237"/>
      <c r="E14" s="237"/>
      <c r="F14" s="237"/>
      <c r="G14" s="237"/>
      <c r="H14" s="237"/>
      <c r="I14" s="237"/>
      <c r="J14" s="237"/>
      <c r="K14" s="237"/>
      <c r="L14" s="238"/>
    </row>
    <row r="15" spans="1:16" ht="17.399999999999999" x14ac:dyDescent="0.25">
      <c r="B15" s="235" t="s">
        <v>279</v>
      </c>
      <c r="C15" s="236"/>
      <c r="D15" s="237"/>
      <c r="E15" s="237"/>
      <c r="F15" s="237"/>
      <c r="G15" s="237"/>
      <c r="H15" s="237"/>
      <c r="I15" s="237"/>
      <c r="J15" s="237"/>
      <c r="K15" s="237"/>
      <c r="L15" s="238"/>
    </row>
    <row r="16" spans="1:16" ht="17.399999999999999" x14ac:dyDescent="0.25">
      <c r="B16" s="235" t="s">
        <v>280</v>
      </c>
      <c r="C16" s="236"/>
      <c r="D16" s="237"/>
      <c r="E16" s="237"/>
      <c r="F16" s="237"/>
      <c r="G16" s="237"/>
      <c r="H16" s="237"/>
      <c r="I16" s="237"/>
      <c r="J16" s="237"/>
      <c r="K16" s="237"/>
      <c r="L16" s="238"/>
    </row>
    <row r="17" spans="2:14" ht="17.399999999999999" x14ac:dyDescent="0.25">
      <c r="B17" s="235" t="s">
        <v>281</v>
      </c>
      <c r="C17" s="236"/>
      <c r="D17" s="237"/>
      <c r="E17" s="237"/>
      <c r="F17" s="237"/>
      <c r="G17" s="237"/>
      <c r="H17" s="237"/>
      <c r="I17" s="237"/>
      <c r="J17" s="237"/>
      <c r="K17" s="237"/>
      <c r="L17" s="238"/>
    </row>
    <row r="18" spans="2:14" ht="94.95" customHeight="1" x14ac:dyDescent="0.25">
      <c r="B18" s="239" t="s">
        <v>239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1"/>
      <c r="N18" s="50"/>
    </row>
    <row r="19" spans="2:14" ht="33" customHeight="1" x14ac:dyDescent="0.25"/>
    <row r="20" spans="2:14" ht="33" customHeight="1" x14ac:dyDescent="0.25"/>
    <row r="21" spans="2:14" ht="39.9" customHeight="1" x14ac:dyDescent="0.25"/>
    <row r="22" spans="2:14" ht="39.9" customHeight="1" x14ac:dyDescent="0.25"/>
    <row r="23" spans="2:14" ht="27" customHeight="1" x14ac:dyDescent="0.25"/>
    <row r="24" spans="2:14" ht="21.9" customHeight="1" x14ac:dyDescent="0.25"/>
    <row r="25" spans="2:14" ht="21.9" customHeight="1" x14ac:dyDescent="0.25"/>
    <row r="26" spans="2:14" ht="21.9" customHeight="1" x14ac:dyDescent="0.25"/>
    <row r="27" spans="2:14" ht="50.1" customHeight="1" x14ac:dyDescent="0.25"/>
    <row r="28" spans="2:14" ht="50.1" customHeight="1" x14ac:dyDescent="0.25"/>
  </sheetData>
  <sheetProtection algorithmName="SHA-512" hashValue="Zh47ctG7N1BenkiHOFaK3jN0FbDi645n0g6zGGZPi+otuPTc9Wt/mUvejGyDl8NYIlEmomsOAs/5v6gb4pM6cw==" saltValue="yLGpfXvCetT1B9yuk5ZM7g==" spinCount="100000" sheet="1" objects="1" selectLockedCells="1" autoFilter="0"/>
  <mergeCells count="15">
    <mergeCell ref="B2:L2"/>
    <mergeCell ref="B3:L3"/>
    <mergeCell ref="O4:P4"/>
    <mergeCell ref="O8:P8"/>
    <mergeCell ref="B14:L14"/>
    <mergeCell ref="O5:P7"/>
    <mergeCell ref="B15:L15"/>
    <mergeCell ref="B16:L16"/>
    <mergeCell ref="B17:L17"/>
    <mergeCell ref="B18:L18"/>
    <mergeCell ref="B5:B7"/>
    <mergeCell ref="B8:B13"/>
    <mergeCell ref="D5:D13"/>
    <mergeCell ref="H5:H13"/>
    <mergeCell ref="I5:I13"/>
  </mergeCells>
  <phoneticPr fontId="7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23"/>
  <sheetViews>
    <sheetView showGridLines="0" showRowColHeaders="0" workbookViewId="0">
      <selection activeCell="O5" sqref="O5:P7"/>
    </sheetView>
  </sheetViews>
  <sheetFormatPr defaultColWidth="9" defaultRowHeight="13.8" x14ac:dyDescent="0.25"/>
  <cols>
    <col min="1" max="1" width="0.88671875" style="40" customWidth="1"/>
    <col min="2" max="2" width="10.21875" style="40" customWidth="1"/>
    <col min="3" max="3" width="23" style="40" customWidth="1"/>
    <col min="4" max="4" width="13.21875" style="40" customWidth="1"/>
    <col min="5" max="5" width="14.6640625" style="40" customWidth="1"/>
    <col min="6" max="6" width="23.33203125" style="40" customWidth="1"/>
    <col min="7" max="7" width="9.21875" style="40" customWidth="1"/>
    <col min="8" max="8" width="9.33203125" style="40" customWidth="1"/>
    <col min="9" max="9" width="25.109375" style="40" customWidth="1"/>
    <col min="10" max="10" width="8.6640625" style="40" customWidth="1"/>
    <col min="11" max="11" width="20.6640625" style="40" customWidth="1"/>
    <col min="12" max="12" width="12.88671875" style="40" customWidth="1"/>
    <col min="13" max="13" width="0.88671875" style="40" customWidth="1"/>
    <col min="14" max="14" width="9.21875" style="40" customWidth="1"/>
    <col min="15" max="15" width="9" style="40"/>
    <col min="16" max="16" width="7.6640625" style="40" customWidth="1"/>
    <col min="17" max="16384" width="9" style="40"/>
  </cols>
  <sheetData>
    <row r="1" spans="2:16" ht="5.0999999999999996" customHeight="1" x14ac:dyDescent="0.25"/>
    <row r="2" spans="2:16" ht="29.1" customHeight="1" x14ac:dyDescent="0.25">
      <c r="B2" s="183" t="s">
        <v>282</v>
      </c>
      <c r="C2" s="184"/>
      <c r="D2" s="184"/>
      <c r="E2" s="184"/>
      <c r="F2" s="184"/>
      <c r="G2" s="184"/>
      <c r="H2" s="184"/>
      <c r="I2" s="184"/>
      <c r="J2" s="184"/>
      <c r="K2" s="184"/>
      <c r="L2" s="185"/>
      <c r="N2" s="44" t="s">
        <v>283</v>
      </c>
    </row>
    <row r="3" spans="2:16" ht="24.9" customHeight="1" x14ac:dyDescent="0.25">
      <c r="B3" s="186" t="s">
        <v>34</v>
      </c>
      <c r="C3" s="187"/>
      <c r="D3" s="187"/>
      <c r="E3" s="187"/>
      <c r="F3" s="187"/>
      <c r="G3" s="187"/>
      <c r="H3" s="187"/>
      <c r="I3" s="187"/>
      <c r="J3" s="187"/>
      <c r="K3" s="187"/>
      <c r="L3" s="188"/>
    </row>
    <row r="4" spans="2:16" ht="33" customHeight="1" x14ac:dyDescent="0.25">
      <c r="B4" s="41" t="s">
        <v>35</v>
      </c>
      <c r="C4" s="42" t="s">
        <v>36</v>
      </c>
      <c r="D4" s="43" t="s">
        <v>38</v>
      </c>
      <c r="E4" s="43" t="s">
        <v>242</v>
      </c>
      <c r="F4" s="43" t="s">
        <v>41</v>
      </c>
      <c r="G4" s="43" t="s">
        <v>243</v>
      </c>
      <c r="H4" s="43" t="s">
        <v>43</v>
      </c>
      <c r="I4" s="43" t="s">
        <v>44</v>
      </c>
      <c r="J4" s="43" t="s">
        <v>244</v>
      </c>
      <c r="K4" s="45" t="s">
        <v>245</v>
      </c>
      <c r="L4" s="46" t="s">
        <v>50</v>
      </c>
      <c r="M4" s="47"/>
      <c r="N4" s="48">
        <v>10</v>
      </c>
      <c r="O4" s="258" t="s">
        <v>51</v>
      </c>
      <c r="P4" s="259"/>
    </row>
    <row r="5" spans="2:16" ht="52.95" customHeight="1" x14ac:dyDescent="0.25">
      <c r="B5" s="271" t="s">
        <v>284</v>
      </c>
      <c r="C5" s="274" t="s">
        <v>285</v>
      </c>
      <c r="D5" s="277" t="s">
        <v>55</v>
      </c>
      <c r="E5" s="280" t="s">
        <v>248</v>
      </c>
      <c r="F5" s="277" t="s">
        <v>286</v>
      </c>
      <c r="G5" s="277" t="s">
        <v>287</v>
      </c>
      <c r="H5" s="283">
        <v>1000</v>
      </c>
      <c r="I5" s="286" t="s">
        <v>288</v>
      </c>
      <c r="J5" s="274" t="s">
        <v>253</v>
      </c>
      <c r="K5" s="289" t="s">
        <v>289</v>
      </c>
      <c r="L5" s="292">
        <f>IF(OR($N$4&gt;31,SUM($N$5:$N$7)&gt;200),"超过渠道限制",$N$4*30+52.5)</f>
        <v>352.5</v>
      </c>
      <c r="N5" s="49">
        <v>50</v>
      </c>
      <c r="O5" s="260" t="s">
        <v>64</v>
      </c>
      <c r="P5" s="261"/>
    </row>
    <row r="6" spans="2:16" ht="52.95" customHeight="1" x14ac:dyDescent="0.25">
      <c r="B6" s="272"/>
      <c r="C6" s="275"/>
      <c r="D6" s="278"/>
      <c r="E6" s="281"/>
      <c r="F6" s="278"/>
      <c r="G6" s="278"/>
      <c r="H6" s="284"/>
      <c r="I6" s="287"/>
      <c r="J6" s="275"/>
      <c r="K6" s="290"/>
      <c r="L6" s="293"/>
      <c r="N6" s="49">
        <v>50</v>
      </c>
      <c r="O6" s="262"/>
      <c r="P6" s="263"/>
    </row>
    <row r="7" spans="2:16" ht="52.95" customHeight="1" x14ac:dyDescent="0.25">
      <c r="B7" s="272"/>
      <c r="C7" s="275"/>
      <c r="D7" s="278"/>
      <c r="E7" s="281"/>
      <c r="F7" s="278"/>
      <c r="G7" s="278"/>
      <c r="H7" s="284"/>
      <c r="I7" s="287"/>
      <c r="J7" s="275"/>
      <c r="K7" s="290"/>
      <c r="L7" s="293"/>
      <c r="N7" s="49">
        <v>100</v>
      </c>
      <c r="O7" s="262"/>
      <c r="P7" s="263"/>
    </row>
    <row r="8" spans="2:16" ht="55.05" customHeight="1" x14ac:dyDescent="0.25">
      <c r="B8" s="273"/>
      <c r="C8" s="276"/>
      <c r="D8" s="279"/>
      <c r="E8" s="282"/>
      <c r="F8" s="279"/>
      <c r="G8" s="279"/>
      <c r="H8" s="285"/>
      <c r="I8" s="288"/>
      <c r="J8" s="276"/>
      <c r="K8" s="291"/>
      <c r="L8" s="294"/>
      <c r="N8" s="48">
        <v>600</v>
      </c>
      <c r="O8" s="258" t="s">
        <v>266</v>
      </c>
      <c r="P8" s="259"/>
    </row>
    <row r="9" spans="2:16" ht="20.399999999999999" x14ac:dyDescent="0.25">
      <c r="B9" s="264" t="s">
        <v>278</v>
      </c>
      <c r="C9" s="265"/>
      <c r="D9" s="266"/>
      <c r="E9" s="266"/>
      <c r="F9" s="266"/>
      <c r="G9" s="266"/>
      <c r="H9" s="266"/>
      <c r="I9" s="266"/>
      <c r="J9" s="266"/>
      <c r="K9" s="266"/>
      <c r="L9" s="267"/>
    </row>
    <row r="10" spans="2:16" ht="17.399999999999999" x14ac:dyDescent="0.25">
      <c r="B10" s="264" t="s">
        <v>279</v>
      </c>
      <c r="C10" s="265"/>
      <c r="D10" s="266"/>
      <c r="E10" s="266"/>
      <c r="F10" s="266"/>
      <c r="G10" s="266"/>
      <c r="H10" s="266"/>
      <c r="I10" s="266"/>
      <c r="J10" s="266"/>
      <c r="K10" s="266"/>
      <c r="L10" s="267"/>
    </row>
    <row r="11" spans="2:16" ht="17.399999999999999" x14ac:dyDescent="0.25">
      <c r="B11" s="264" t="s">
        <v>280</v>
      </c>
      <c r="C11" s="265"/>
      <c r="D11" s="266"/>
      <c r="E11" s="266"/>
      <c r="F11" s="266"/>
      <c r="G11" s="266"/>
      <c r="H11" s="266"/>
      <c r="I11" s="266"/>
      <c r="J11" s="266"/>
      <c r="K11" s="266"/>
      <c r="L11" s="267"/>
    </row>
    <row r="12" spans="2:16" ht="17.399999999999999" x14ac:dyDescent="0.25">
      <c r="B12" s="264" t="s">
        <v>281</v>
      </c>
      <c r="C12" s="265"/>
      <c r="D12" s="266"/>
      <c r="E12" s="266"/>
      <c r="F12" s="266"/>
      <c r="G12" s="266"/>
      <c r="H12" s="266"/>
      <c r="I12" s="266"/>
      <c r="J12" s="266"/>
      <c r="K12" s="266"/>
      <c r="L12" s="267"/>
    </row>
    <row r="13" spans="2:16" ht="94.95" customHeight="1" x14ac:dyDescent="0.25">
      <c r="B13" s="268" t="s">
        <v>239</v>
      </c>
      <c r="C13" s="269"/>
      <c r="D13" s="269"/>
      <c r="E13" s="269"/>
      <c r="F13" s="269"/>
      <c r="G13" s="269"/>
      <c r="H13" s="269"/>
      <c r="I13" s="269"/>
      <c r="J13" s="269"/>
      <c r="K13" s="269"/>
      <c r="L13" s="270"/>
      <c r="N13" s="50"/>
    </row>
    <row r="14" spans="2:16" ht="33" customHeight="1" x14ac:dyDescent="0.25"/>
    <row r="15" spans="2:16" ht="33" customHeight="1" x14ac:dyDescent="0.25"/>
    <row r="16" spans="2:16" ht="39.9" customHeight="1" x14ac:dyDescent="0.25"/>
    <row r="17" ht="39.9" customHeight="1" x14ac:dyDescent="0.25"/>
    <row r="18" ht="27" customHeight="1" x14ac:dyDescent="0.25"/>
    <row r="19" ht="21.9" customHeight="1" x14ac:dyDescent="0.25"/>
    <row r="20" ht="21.9" customHeight="1" x14ac:dyDescent="0.25"/>
    <row r="21" ht="21.9" customHeight="1" x14ac:dyDescent="0.25"/>
    <row r="22" ht="50.1" customHeight="1" x14ac:dyDescent="0.25"/>
    <row r="23" ht="50.1" customHeight="1" x14ac:dyDescent="0.25"/>
  </sheetData>
  <sheetProtection algorithmName="SHA-512" hashValue="qO2NLINxF/8wKPOPSkqXGPoi3KopuAiM+/1F3Vco6muJQur+nhRkZPILdrLGJtdWgxaZnisa1uF0En2zZgO3MQ==" saltValue="VpnbAN3Lfu1Z4pvRwYoGNw==" spinCount="100000" sheet="1" objects="1" selectLockedCells="1" autoFilter="0"/>
  <mergeCells count="21">
    <mergeCell ref="B2:L2"/>
    <mergeCell ref="B3:L3"/>
    <mergeCell ref="O4:P4"/>
    <mergeCell ref="O8:P8"/>
    <mergeCell ref="B9:L9"/>
    <mergeCell ref="O5:P7"/>
    <mergeCell ref="B10:L10"/>
    <mergeCell ref="B11:L11"/>
    <mergeCell ref="B12:L12"/>
    <mergeCell ref="B13:L13"/>
    <mergeCell ref="B5:B8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</mergeCells>
  <phoneticPr fontId="7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showGridLines="0" showRowColHeaders="0" workbookViewId="0">
      <selection activeCell="O5" sqref="O5"/>
    </sheetView>
  </sheetViews>
  <sheetFormatPr defaultColWidth="9" defaultRowHeight="13.8" x14ac:dyDescent="0.25"/>
  <cols>
    <col min="1" max="1" width="18.33203125" customWidth="1"/>
    <col min="2" max="2" width="7.33203125" customWidth="1"/>
    <col min="3" max="3" width="11.6640625" customWidth="1"/>
    <col min="4" max="4" width="8.88671875" customWidth="1"/>
    <col min="5" max="5" width="16.88671875" customWidth="1"/>
    <col min="6" max="6" width="32.33203125" customWidth="1"/>
    <col min="7" max="7" width="13.109375" customWidth="1"/>
    <col min="8" max="8" width="45.5546875" customWidth="1"/>
    <col min="9" max="9" width="11.33203125" customWidth="1"/>
    <col min="10" max="10" width="14.6640625" customWidth="1"/>
    <col min="11" max="11" width="4.109375" customWidth="1"/>
    <col min="12" max="12" width="10.6640625" customWidth="1"/>
    <col min="15" max="15" width="3.77734375" customWidth="1"/>
    <col min="17" max="18" width="13.6640625"/>
    <col min="20" max="20" width="10.6640625"/>
    <col min="21" max="21" width="13.6640625"/>
    <col min="22" max="22" width="19.6640625"/>
    <col min="23" max="23" width="16.5546875"/>
    <col min="24" max="24" width="12.21875"/>
    <col min="26" max="26" width="9.109375"/>
  </cols>
  <sheetData>
    <row r="1" spans="1:14" ht="54" customHeight="1" x14ac:dyDescent="0.25">
      <c r="A1" s="304" t="s">
        <v>290</v>
      </c>
      <c r="B1" s="305"/>
      <c r="C1" s="305"/>
      <c r="D1" s="305"/>
      <c r="E1" s="305"/>
      <c r="F1" s="305"/>
      <c r="G1" s="305"/>
      <c r="H1" s="305"/>
      <c r="I1" s="305"/>
      <c r="J1" s="306"/>
      <c r="L1" s="307"/>
      <c r="M1" s="307"/>
      <c r="N1" s="307"/>
    </row>
    <row r="2" spans="1:14" ht="45" customHeight="1" x14ac:dyDescent="0.25">
      <c r="A2" s="295" t="s">
        <v>291</v>
      </c>
      <c r="B2" s="296"/>
      <c r="C2" s="296"/>
      <c r="D2" s="296"/>
      <c r="E2" s="296"/>
      <c r="F2" s="296"/>
      <c r="G2" s="296"/>
      <c r="H2" s="296"/>
      <c r="I2" s="296"/>
      <c r="J2" s="297"/>
      <c r="L2" s="35">
        <v>3.23</v>
      </c>
      <c r="M2" s="197" t="s">
        <v>51</v>
      </c>
      <c r="N2" s="197"/>
    </row>
    <row r="3" spans="1:14" ht="51" customHeight="1" x14ac:dyDescent="0.25">
      <c r="A3" s="27" t="s">
        <v>292</v>
      </c>
      <c r="B3" s="28" t="s">
        <v>293</v>
      </c>
      <c r="C3" s="28" t="s">
        <v>294</v>
      </c>
      <c r="D3" s="28" t="s">
        <v>295</v>
      </c>
      <c r="E3" s="28" t="s">
        <v>242</v>
      </c>
      <c r="F3" s="28" t="s">
        <v>41</v>
      </c>
      <c r="G3" s="28" t="s">
        <v>296</v>
      </c>
      <c r="H3" s="28" t="s">
        <v>297</v>
      </c>
      <c r="I3" s="28" t="s">
        <v>298</v>
      </c>
      <c r="J3" s="36" t="s">
        <v>50</v>
      </c>
      <c r="K3" s="17"/>
      <c r="L3" s="35"/>
      <c r="M3" s="197" t="s">
        <v>64</v>
      </c>
      <c r="N3" s="197"/>
    </row>
    <row r="4" spans="1:14" ht="41.4" x14ac:dyDescent="0.25">
      <c r="A4" s="29" t="s">
        <v>299</v>
      </c>
      <c r="B4" s="30">
        <v>326005</v>
      </c>
      <c r="C4" s="31" t="s">
        <v>55</v>
      </c>
      <c r="D4" s="31" t="s">
        <v>300</v>
      </c>
      <c r="E4" s="31" t="s">
        <v>301</v>
      </c>
      <c r="F4" s="32" t="s">
        <v>302</v>
      </c>
      <c r="G4" s="33" t="s">
        <v>303</v>
      </c>
      <c r="H4" s="30" t="s">
        <v>304</v>
      </c>
      <c r="I4" s="34" t="s">
        <v>305</v>
      </c>
      <c r="J4" s="37">
        <f>IF(OR(L2&gt;20,AND(SUM(L3:L5)&gt;200),L3&gt;115,L4&gt;115,L5&gt;115)," ",L2*38+11)</f>
        <v>133.74</v>
      </c>
      <c r="K4" s="17"/>
      <c r="L4" s="35"/>
      <c r="M4" s="197"/>
      <c r="N4" s="197"/>
    </row>
    <row r="5" spans="1:14" ht="52.95" customHeight="1" x14ac:dyDescent="0.25">
      <c r="A5" s="301" t="s">
        <v>306</v>
      </c>
      <c r="B5" s="302"/>
      <c r="C5" s="302"/>
      <c r="D5" s="302"/>
      <c r="E5" s="302"/>
      <c r="F5" s="302"/>
      <c r="G5" s="302"/>
      <c r="H5" s="302"/>
      <c r="I5" s="302"/>
      <c r="J5" s="303"/>
      <c r="L5" s="38"/>
      <c r="M5" s="197"/>
      <c r="N5" s="197"/>
    </row>
    <row r="6" spans="1:14" x14ac:dyDescent="0.25">
      <c r="A6" s="301"/>
      <c r="B6" s="302"/>
      <c r="C6" s="302"/>
      <c r="D6" s="302"/>
      <c r="E6" s="302"/>
      <c r="F6" s="302"/>
      <c r="G6" s="302"/>
      <c r="H6" s="302"/>
      <c r="I6" s="302"/>
      <c r="J6" s="303"/>
    </row>
    <row r="7" spans="1:14" ht="42" customHeight="1" x14ac:dyDescent="0.25">
      <c r="A7" s="304" t="s">
        <v>307</v>
      </c>
      <c r="B7" s="305"/>
      <c r="C7" s="305"/>
      <c r="D7" s="305"/>
      <c r="E7" s="305"/>
      <c r="F7" s="305"/>
      <c r="G7" s="305"/>
      <c r="H7" s="305"/>
      <c r="I7" s="305"/>
      <c r="J7" s="306"/>
      <c r="L7" s="307"/>
      <c r="M7" s="307"/>
      <c r="N7" s="307"/>
    </row>
    <row r="8" spans="1:14" ht="40.950000000000003" customHeight="1" x14ac:dyDescent="0.25">
      <c r="A8" s="295" t="s">
        <v>308</v>
      </c>
      <c r="B8" s="296"/>
      <c r="C8" s="296"/>
      <c r="D8" s="296"/>
      <c r="E8" s="296"/>
      <c r="F8" s="296"/>
      <c r="G8" s="296"/>
      <c r="H8" s="296"/>
      <c r="I8" s="296"/>
      <c r="J8" s="297"/>
    </row>
    <row r="9" spans="1:14" s="2" customFormat="1" ht="46.95" customHeight="1" x14ac:dyDescent="0.25">
      <c r="A9" s="27" t="s">
        <v>292</v>
      </c>
      <c r="B9" s="28" t="s">
        <v>309</v>
      </c>
      <c r="C9" s="28" t="s">
        <v>294</v>
      </c>
      <c r="D9" s="28" t="s">
        <v>295</v>
      </c>
      <c r="E9" s="28" t="s">
        <v>242</v>
      </c>
      <c r="F9" s="28" t="s">
        <v>41</v>
      </c>
      <c r="G9" s="28" t="s">
        <v>296</v>
      </c>
      <c r="H9" s="28" t="s">
        <v>297</v>
      </c>
      <c r="I9" s="28" t="s">
        <v>298</v>
      </c>
      <c r="J9" s="36" t="s">
        <v>310</v>
      </c>
      <c r="K9" s="17"/>
      <c r="L9" s="35">
        <v>3.23</v>
      </c>
      <c r="M9" s="197" t="s">
        <v>51</v>
      </c>
      <c r="N9" s="197"/>
    </row>
    <row r="10" spans="1:14" s="2" customFormat="1" ht="48" customHeight="1" x14ac:dyDescent="0.25">
      <c r="A10" s="29" t="s">
        <v>311</v>
      </c>
      <c r="B10" s="34" t="s">
        <v>312</v>
      </c>
      <c r="C10" s="31" t="s">
        <v>55</v>
      </c>
      <c r="D10" s="31" t="s">
        <v>300</v>
      </c>
      <c r="E10" s="31" t="s">
        <v>313</v>
      </c>
      <c r="F10" s="32" t="s">
        <v>314</v>
      </c>
      <c r="G10" s="33" t="s">
        <v>315</v>
      </c>
      <c r="H10" s="30" t="s">
        <v>316</v>
      </c>
      <c r="I10" s="31" t="s">
        <v>253</v>
      </c>
      <c r="J10" s="37">
        <f>IF(OR(L9&gt;25,AND(SUM(L10:L12)&gt;90),L12&gt;60,L10&gt;60,L11&gt;60)," ",L9*749+179)</f>
        <v>2598.27</v>
      </c>
      <c r="K10" s="17"/>
      <c r="L10" s="35">
        <v>30</v>
      </c>
      <c r="M10" s="197" t="s">
        <v>64</v>
      </c>
      <c r="N10" s="197"/>
    </row>
    <row r="11" spans="1:14" ht="40.950000000000003" customHeight="1" x14ac:dyDescent="0.25">
      <c r="A11" s="301" t="s">
        <v>306</v>
      </c>
      <c r="B11" s="302"/>
      <c r="C11" s="302"/>
      <c r="D11" s="302"/>
      <c r="E11" s="302"/>
      <c r="F11" s="302"/>
      <c r="G11" s="302"/>
      <c r="H11" s="302"/>
      <c r="I11" s="302"/>
      <c r="J11" s="303"/>
      <c r="L11" s="39">
        <v>20</v>
      </c>
      <c r="M11" s="197"/>
      <c r="N11" s="197"/>
    </row>
    <row r="12" spans="1:14" ht="48" customHeight="1" x14ac:dyDescent="0.25">
      <c r="A12" s="301"/>
      <c r="B12" s="302"/>
      <c r="C12" s="302"/>
      <c r="D12" s="302"/>
      <c r="E12" s="302"/>
      <c r="F12" s="302"/>
      <c r="G12" s="302"/>
      <c r="H12" s="302"/>
      <c r="I12" s="302"/>
      <c r="J12" s="303"/>
      <c r="L12" s="39">
        <v>40</v>
      </c>
      <c r="M12" s="197"/>
      <c r="N12" s="197"/>
    </row>
    <row r="13" spans="1:14" ht="54" customHeight="1" x14ac:dyDescent="0.25">
      <c r="A13" s="298" t="s">
        <v>317</v>
      </c>
      <c r="B13" s="299"/>
      <c r="C13" s="299"/>
      <c r="D13" s="299"/>
      <c r="E13" s="299"/>
      <c r="F13" s="299"/>
      <c r="G13" s="299"/>
      <c r="H13" s="299"/>
      <c r="I13" s="299"/>
      <c r="J13" s="300"/>
      <c r="K13" s="2"/>
    </row>
    <row r="14" spans="1:14" ht="49.95" customHeight="1" x14ac:dyDescent="0.25"/>
    <row r="15" spans="1:14" ht="34.049999999999997" customHeight="1" x14ac:dyDescent="0.25"/>
    <row r="16" spans="1:14" ht="46.05" customHeight="1" x14ac:dyDescent="0.25"/>
    <row r="17" ht="46.95" customHeight="1" x14ac:dyDescent="0.25"/>
  </sheetData>
  <sheetProtection algorithmName="SHA-512" hashValue="7s9N9edUgXHVlJ6K6BL0SZIxTo/CRpCR+RADHnsKkQipUjL8zsfR1npz7ZWYKD49YtYS3u6az1ljT6t4vpUOYA==" saltValue="gBh9BYXDEXb/vd/NBN563g==" spinCount="100000" sheet="1" objects="1" selectLockedCells="1" autoFilter="0"/>
  <protectedRanges>
    <protectedRange sqref="L4" name="区域1"/>
    <protectedRange sqref="M9:M10" name="区域1_1"/>
  </protectedRanges>
  <mergeCells count="13">
    <mergeCell ref="A1:J1"/>
    <mergeCell ref="L1:N1"/>
    <mergeCell ref="A2:J2"/>
    <mergeCell ref="M2:N2"/>
    <mergeCell ref="A7:J7"/>
    <mergeCell ref="L7:N7"/>
    <mergeCell ref="A8:J8"/>
    <mergeCell ref="M9:N9"/>
    <mergeCell ref="A13:J13"/>
    <mergeCell ref="M3:N5"/>
    <mergeCell ref="A5:J6"/>
    <mergeCell ref="M10:N12"/>
    <mergeCell ref="A11:J12"/>
  </mergeCells>
  <phoneticPr fontId="71" type="noConversion"/>
  <conditionalFormatting sqref="J4">
    <cfRule type="top10" dxfId="7" priority="2" bottom="1" rank="2"/>
  </conditionalFormatting>
  <conditionalFormatting sqref="J10">
    <cfRule type="top10" dxfId="6" priority="1" bottom="1" rank="2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3"/>
  <sheetViews>
    <sheetView showGridLines="0" showRowColHeaders="0" topLeftCell="A4" workbookViewId="0">
      <selection activeCell="O5" sqref="O5"/>
    </sheetView>
  </sheetViews>
  <sheetFormatPr defaultColWidth="9" defaultRowHeight="15.6" x14ac:dyDescent="0.25"/>
  <cols>
    <col min="1" max="1" width="0.88671875" customWidth="1"/>
    <col min="2" max="2" width="16.77734375" style="2" customWidth="1"/>
    <col min="3" max="3" width="23.6640625" customWidth="1"/>
    <col min="4" max="4" width="7.6640625" customWidth="1"/>
    <col min="5" max="5" width="9.6640625" customWidth="1"/>
    <col min="6" max="6" width="7.6640625" customWidth="1"/>
    <col min="7" max="7" width="12.88671875" customWidth="1"/>
    <col min="8" max="8" width="27" style="3" customWidth="1"/>
    <col min="9" max="9" width="12.6640625" customWidth="1"/>
    <col min="10" max="10" width="15.21875" customWidth="1"/>
    <col min="11" max="11" width="31.77734375" customWidth="1"/>
    <col min="12" max="12" width="22.88671875" style="2" customWidth="1"/>
    <col min="13" max="13" width="12.6640625" style="4" customWidth="1"/>
    <col min="14" max="14" width="0.88671875" customWidth="1"/>
    <col min="15" max="15" width="10.6640625" style="5" customWidth="1"/>
    <col min="17" max="17" width="11.6640625" customWidth="1"/>
    <col min="18" max="18" width="10.33203125" customWidth="1"/>
    <col min="19" max="19" width="31.77734375" customWidth="1"/>
  </cols>
  <sheetData>
    <row r="1" spans="2:20" ht="5.0999999999999996" customHeight="1" x14ac:dyDescent="0.25"/>
    <row r="2" spans="2:20" ht="29.1" customHeight="1" x14ac:dyDescent="0.25">
      <c r="B2" s="222" t="s">
        <v>318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4"/>
    </row>
    <row r="3" spans="2:20" ht="24.9" customHeight="1" x14ac:dyDescent="0.25">
      <c r="B3" s="225" t="s">
        <v>34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7"/>
    </row>
    <row r="4" spans="2:20" ht="46.8" x14ac:dyDescent="0.25">
      <c r="B4" s="6" t="s">
        <v>35</v>
      </c>
      <c r="C4" s="7" t="s">
        <v>36</v>
      </c>
      <c r="D4" s="7"/>
      <c r="E4" s="7" t="s">
        <v>38</v>
      </c>
      <c r="F4" s="7" t="s">
        <v>39</v>
      </c>
      <c r="G4" s="7" t="s">
        <v>40</v>
      </c>
      <c r="H4" s="7" t="s">
        <v>41</v>
      </c>
      <c r="I4" s="7" t="s">
        <v>42</v>
      </c>
      <c r="J4" s="7" t="s">
        <v>44</v>
      </c>
      <c r="K4" s="7"/>
      <c r="L4" s="7" t="s">
        <v>46</v>
      </c>
      <c r="M4" s="16" t="s">
        <v>50</v>
      </c>
      <c r="N4" s="17"/>
      <c r="O4" s="18">
        <v>6</v>
      </c>
      <c r="P4" s="228" t="s">
        <v>51</v>
      </c>
      <c r="Q4" s="229"/>
    </row>
    <row r="5" spans="2:20" s="1" customFormat="1" ht="54" customHeight="1" x14ac:dyDescent="0.25">
      <c r="B5" s="218" t="s">
        <v>319</v>
      </c>
      <c r="C5" s="8" t="s">
        <v>53</v>
      </c>
      <c r="D5" s="8" t="s">
        <v>182</v>
      </c>
      <c r="E5" s="9" t="s">
        <v>55</v>
      </c>
      <c r="F5" s="233" t="s">
        <v>56</v>
      </c>
      <c r="G5" s="10" t="s">
        <v>57</v>
      </c>
      <c r="H5" s="11" t="s">
        <v>320</v>
      </c>
      <c r="I5" s="209" t="s">
        <v>59</v>
      </c>
      <c r="J5" s="199" t="s">
        <v>61</v>
      </c>
      <c r="K5" s="19" t="s">
        <v>321</v>
      </c>
      <c r="L5" s="202" t="s">
        <v>322</v>
      </c>
      <c r="M5" s="20" t="str">
        <f>IF(OR($O$8&gt;1700,$O$4&gt;0.5,$O$4&lt;=0,AND(SUM($O$5:$O$7)&gt;90),$O5&gt;60,$O6&gt;60,$O7&gt;60),"无价格",$O4*45+3)</f>
        <v>无价格</v>
      </c>
      <c r="O5" s="21">
        <v>10</v>
      </c>
      <c r="P5" s="197" t="s">
        <v>64</v>
      </c>
      <c r="Q5" s="198"/>
    </row>
    <row r="6" spans="2:20" s="1" customFormat="1" ht="69" customHeight="1" x14ac:dyDescent="0.25">
      <c r="B6" s="218"/>
      <c r="C6" s="8" t="s">
        <v>187</v>
      </c>
      <c r="D6" s="8" t="s">
        <v>188</v>
      </c>
      <c r="E6" s="9" t="s">
        <v>55</v>
      </c>
      <c r="F6" s="234"/>
      <c r="G6" s="10" t="s">
        <v>67</v>
      </c>
      <c r="H6" s="11" t="s">
        <v>323</v>
      </c>
      <c r="I6" s="209"/>
      <c r="J6" s="199"/>
      <c r="K6" s="19" t="s">
        <v>324</v>
      </c>
      <c r="L6" s="203"/>
      <c r="M6" s="20" t="str">
        <f>IF(OR($O$8&gt;1700,$O$4&gt;0.5,$O$4&lt;=0,AND(SUM($O$5:$O$7)&gt;90),$O5&gt;60,$O6&gt;60,$O7&gt;60),"无价格",$O4*35+3)</f>
        <v>无价格</v>
      </c>
      <c r="O6" s="21">
        <v>10</v>
      </c>
      <c r="P6" s="197"/>
      <c r="Q6" s="198"/>
    </row>
    <row r="7" spans="2:20" s="1" customFormat="1" ht="31.2" x14ac:dyDescent="0.25">
      <c r="B7" s="218"/>
      <c r="C7" s="8" t="s">
        <v>69</v>
      </c>
      <c r="D7" s="8" t="s">
        <v>192</v>
      </c>
      <c r="E7" s="9" t="s">
        <v>55</v>
      </c>
      <c r="F7" s="234"/>
      <c r="G7" s="10" t="s">
        <v>216</v>
      </c>
      <c r="H7" s="11" t="s">
        <v>325</v>
      </c>
      <c r="I7" s="209"/>
      <c r="J7" s="199"/>
      <c r="K7" s="19" t="s">
        <v>326</v>
      </c>
      <c r="L7" s="204"/>
      <c r="M7" s="20" t="str">
        <f>IF(OR($O$8&gt;1700,$O$4&gt;0.5,$O$4&lt;=0,AND(SUM($O$5:$O$7)&gt;90),$O5&gt;60,$O6&gt;60,$O7&gt;60),"无价格",$O4*24+2.8)</f>
        <v>无价格</v>
      </c>
      <c r="O7" s="21">
        <v>10</v>
      </c>
      <c r="P7" s="197"/>
      <c r="Q7" s="198"/>
    </row>
    <row r="8" spans="2:20" s="1" customFormat="1" ht="31.95" customHeight="1" x14ac:dyDescent="0.25">
      <c r="B8" s="318" t="s">
        <v>327</v>
      </c>
      <c r="C8" s="320" t="s">
        <v>85</v>
      </c>
      <c r="D8" s="320" t="s">
        <v>192</v>
      </c>
      <c r="E8" s="324" t="s">
        <v>55</v>
      </c>
      <c r="F8" s="234"/>
      <c r="G8" s="322" t="s">
        <v>216</v>
      </c>
      <c r="H8" s="312" t="s">
        <v>328</v>
      </c>
      <c r="I8" s="210" t="s">
        <v>77</v>
      </c>
      <c r="J8" s="199" t="s">
        <v>196</v>
      </c>
      <c r="K8" s="308" t="s">
        <v>326</v>
      </c>
      <c r="L8" s="202" t="s">
        <v>322</v>
      </c>
      <c r="M8" s="326" t="str">
        <f>IF(OR($O$8&gt;1700,$O$4&gt;25,$O$4&lt;0.5,AND(SUM($O$5:$O$7)&gt;150),$O5&gt;60,$O6&gt;60,$O7&gt;60),"无价格",$O4*17+23)</f>
        <v>无价格</v>
      </c>
      <c r="O8" s="22">
        <v>8000</v>
      </c>
      <c r="P8" s="230" t="s">
        <v>84</v>
      </c>
      <c r="Q8" s="231"/>
    </row>
    <row r="9" spans="2:20" s="1" customFormat="1" ht="34.049999999999997" customHeight="1" x14ac:dyDescent="0.25">
      <c r="B9" s="319"/>
      <c r="C9" s="321"/>
      <c r="D9" s="321"/>
      <c r="E9" s="325"/>
      <c r="F9" s="234"/>
      <c r="G9" s="323"/>
      <c r="H9" s="314"/>
      <c r="I9" s="210"/>
      <c r="J9" s="199"/>
      <c r="K9" s="309"/>
      <c r="L9" s="204"/>
      <c r="M9" s="327"/>
      <c r="O9" s="232" t="s">
        <v>88</v>
      </c>
      <c r="P9" s="232"/>
      <c r="Q9" s="232"/>
      <c r="R9" s="232"/>
      <c r="S9" s="232"/>
    </row>
    <row r="10" spans="2:20" s="1" customFormat="1" ht="21" customHeight="1" x14ac:dyDescent="0.25">
      <c r="B10" s="218" t="s">
        <v>329</v>
      </c>
      <c r="C10" s="219" t="s">
        <v>90</v>
      </c>
      <c r="D10" s="220" t="s">
        <v>182</v>
      </c>
      <c r="E10" s="9" t="s">
        <v>55</v>
      </c>
      <c r="F10" s="234"/>
      <c r="G10" s="221" t="s">
        <v>57</v>
      </c>
      <c r="H10" s="11" t="s">
        <v>330</v>
      </c>
      <c r="I10" s="209" t="s">
        <v>93</v>
      </c>
      <c r="J10" s="199" t="s">
        <v>196</v>
      </c>
      <c r="K10" s="308" t="s">
        <v>321</v>
      </c>
      <c r="L10" s="201" t="s">
        <v>331</v>
      </c>
      <c r="M10" s="20" t="str">
        <f>IF(OR($O$8&lt;=1500,$O$8&gt;7700,$O$4&gt;2,$O$4&lt;0,AND(SUM($O$5:$O$7)&gt;150),$O5&gt;60,$O6&gt;60,$O7&gt;60),"无价格",$O4*45+16)</f>
        <v>无价格</v>
      </c>
      <c r="O10" s="205" t="s">
        <v>99</v>
      </c>
      <c r="P10" s="205"/>
      <c r="Q10" s="205"/>
      <c r="R10" s="205"/>
      <c r="S10" s="205"/>
      <c r="T10" s="205"/>
    </row>
    <row r="11" spans="2:20" s="1" customFormat="1" ht="27" customHeight="1" x14ac:dyDescent="0.25">
      <c r="B11" s="218"/>
      <c r="C11" s="219"/>
      <c r="D11" s="220"/>
      <c r="E11" s="9" t="s">
        <v>97</v>
      </c>
      <c r="F11" s="234"/>
      <c r="G11" s="221"/>
      <c r="H11" s="11" t="s">
        <v>332</v>
      </c>
      <c r="I11" s="209"/>
      <c r="J11" s="199"/>
      <c r="K11" s="309"/>
      <c r="L11" s="201"/>
      <c r="M11" s="20" t="str">
        <f>IF(OR($O$8&lt;=1500,$O$8&gt;7700,$O$4&gt;2,$O$4&lt;0,AND(SUM($O$5:$O$7)&gt;150),$O5&gt;60,$O6&gt;60,$O7&gt;60),"无价格",$O4*45+19.5)</f>
        <v>无价格</v>
      </c>
      <c r="O11" s="205" t="s">
        <v>103</v>
      </c>
      <c r="P11" s="205"/>
      <c r="Q11" s="205"/>
      <c r="R11" s="205"/>
      <c r="S11" s="205"/>
      <c r="T11" s="205"/>
    </row>
    <row r="12" spans="2:20" s="1" customFormat="1" ht="34.049999999999997" customHeight="1" x14ac:dyDescent="0.25">
      <c r="B12" s="218"/>
      <c r="C12" s="219" t="s">
        <v>100</v>
      </c>
      <c r="D12" s="220" t="s">
        <v>188</v>
      </c>
      <c r="E12" s="9" t="s">
        <v>55</v>
      </c>
      <c r="F12" s="234"/>
      <c r="G12" s="221" t="s">
        <v>67</v>
      </c>
      <c r="H12" s="11" t="s">
        <v>333</v>
      </c>
      <c r="I12" s="209"/>
      <c r="J12" s="199"/>
      <c r="K12" s="308" t="s">
        <v>324</v>
      </c>
      <c r="L12" s="201"/>
      <c r="M12" s="20" t="str">
        <f>IF(OR($O$8&lt;=1500,$O$8&gt;7700,$O$4&gt;2,$O$4&lt;0,AND(SUM($O$5:$O$7)&gt;150),$O5&gt;60,$O6&gt;60,$O7&gt;60),"无价格",$O4*35+16)</f>
        <v>无价格</v>
      </c>
      <c r="O12" s="205" t="s">
        <v>106</v>
      </c>
      <c r="P12" s="205"/>
      <c r="Q12" s="205"/>
      <c r="R12" s="205"/>
      <c r="S12" s="205"/>
    </row>
    <row r="13" spans="2:20" s="1" customFormat="1" ht="31.05" customHeight="1" x14ac:dyDescent="0.25">
      <c r="B13" s="218"/>
      <c r="C13" s="219"/>
      <c r="D13" s="220"/>
      <c r="E13" s="9" t="s">
        <v>97</v>
      </c>
      <c r="F13" s="234"/>
      <c r="G13" s="221"/>
      <c r="H13" s="11" t="s">
        <v>334</v>
      </c>
      <c r="I13" s="209"/>
      <c r="J13" s="199"/>
      <c r="K13" s="309"/>
      <c r="L13" s="201"/>
      <c r="M13" s="20" t="str">
        <f>IF(OR($O$8&lt;=1500,$O$8&gt;7700,$O$4&gt;2,$O$4&lt;0,AND(SUM($O$5:$O$7)&gt;150),$O5&gt;60,$O6&gt;60,$O7&gt;60),"无价格",$O4*35+19.5)</f>
        <v>无价格</v>
      </c>
      <c r="O13" s="205" t="s">
        <v>110</v>
      </c>
      <c r="P13" s="205"/>
      <c r="Q13" s="205"/>
      <c r="R13" s="205"/>
      <c r="S13" s="205"/>
    </row>
    <row r="14" spans="2:20" s="1" customFormat="1" ht="16.5" customHeight="1" x14ac:dyDescent="0.25">
      <c r="B14" s="218"/>
      <c r="C14" s="219" t="s">
        <v>107</v>
      </c>
      <c r="D14" s="220" t="s">
        <v>192</v>
      </c>
      <c r="E14" s="9" t="s">
        <v>55</v>
      </c>
      <c r="F14" s="234"/>
      <c r="G14" s="221" t="s">
        <v>216</v>
      </c>
      <c r="H14" s="11" t="s">
        <v>335</v>
      </c>
      <c r="I14" s="209"/>
      <c r="J14" s="199"/>
      <c r="K14" s="308" t="s">
        <v>326</v>
      </c>
      <c r="L14" s="201"/>
      <c r="M14" s="20" t="str">
        <f>IF(OR($O$8&lt;=1500,$O$8&gt;7700,$O$4&gt;2,$O$4&lt;0,AND(SUM($O$5:$O$7)&gt;150),$O5&gt;60,$O6&gt;60,$O7&gt;60),"无价格",$O4*25+16)</f>
        <v>无价格</v>
      </c>
      <c r="O14" s="24"/>
      <c r="P14" s="24"/>
      <c r="Q14" s="24"/>
    </row>
    <row r="15" spans="2:20" s="1" customFormat="1" ht="16.2" x14ac:dyDescent="0.25">
      <c r="B15" s="218"/>
      <c r="C15" s="219"/>
      <c r="D15" s="220"/>
      <c r="E15" s="9" t="s">
        <v>97</v>
      </c>
      <c r="F15" s="234"/>
      <c r="G15" s="221"/>
      <c r="H15" s="11" t="s">
        <v>336</v>
      </c>
      <c r="I15" s="209"/>
      <c r="J15" s="200"/>
      <c r="K15" s="309"/>
      <c r="L15" s="201"/>
      <c r="M15" s="20" t="str">
        <f>IF(OR($O$8&lt;=1500,$O$8&gt;7700,$O$4&gt;2,$O$4&lt;0,AND(SUM($O$5:$O$7)&gt;150),$O5&gt;60,$O6&gt;60,$O7&gt;60),"无价格",$O4*25+19.5)</f>
        <v>无价格</v>
      </c>
      <c r="O15" s="5"/>
    </row>
    <row r="16" spans="2:20" s="1" customFormat="1" ht="27" customHeight="1" x14ac:dyDescent="0.25">
      <c r="B16" s="218" t="s">
        <v>337</v>
      </c>
      <c r="C16" s="219" t="s">
        <v>128</v>
      </c>
      <c r="D16" s="220" t="s">
        <v>192</v>
      </c>
      <c r="E16" s="9" t="s">
        <v>55</v>
      </c>
      <c r="F16" s="234"/>
      <c r="G16" s="221" t="s">
        <v>216</v>
      </c>
      <c r="H16" s="11" t="s">
        <v>338</v>
      </c>
      <c r="I16" s="209" t="s">
        <v>118</v>
      </c>
      <c r="J16" s="199" t="s">
        <v>210</v>
      </c>
      <c r="K16" s="311" t="s">
        <v>339</v>
      </c>
      <c r="L16" s="202" t="s">
        <v>340</v>
      </c>
      <c r="M16" s="20" t="str">
        <f>IF(OR($O$8&lt;=1500,$O$8&gt;7700,$O$4&gt;25,$O$4&lt;2,AND(SUM($O$5:$O$7)&gt;250),$O5&gt;150,$O6&gt;150,$O7&gt;150),"无价格",$O4*17+36)</f>
        <v>无价格</v>
      </c>
      <c r="O16" s="5"/>
    </row>
    <row r="17" spans="2:15" s="1" customFormat="1" ht="9" hidden="1" customHeight="1" x14ac:dyDescent="0.25">
      <c r="B17" s="218"/>
      <c r="C17" s="219"/>
      <c r="D17" s="220"/>
      <c r="E17" s="9"/>
      <c r="F17" s="234"/>
      <c r="G17" s="221"/>
      <c r="H17" s="11"/>
      <c r="I17" s="209"/>
      <c r="J17" s="199"/>
      <c r="K17" s="310"/>
      <c r="L17" s="203"/>
      <c r="M17" s="20"/>
      <c r="O17" s="5"/>
    </row>
    <row r="18" spans="2:15" s="1" customFormat="1" ht="25.05" customHeight="1" x14ac:dyDescent="0.25">
      <c r="B18" s="218"/>
      <c r="C18" s="219"/>
      <c r="D18" s="220"/>
      <c r="E18" s="9" t="s">
        <v>97</v>
      </c>
      <c r="F18" s="234"/>
      <c r="G18" s="221"/>
      <c r="H18" s="11" t="s">
        <v>341</v>
      </c>
      <c r="I18" s="209"/>
      <c r="J18" s="199"/>
      <c r="K18" s="309"/>
      <c r="L18" s="204"/>
      <c r="M18" s="20" t="str">
        <f>IF(OR($O$8&lt;=1500,$O$8&gt;7700,$O$4&gt;25,$O$4&lt;2,AND(SUM($O$5:$O$7)&gt;250),$O5&gt;150,$O6&gt;150,$O7&gt;150),"无价格",$O4*17+39.5)</f>
        <v>无价格</v>
      </c>
      <c r="O18" s="5"/>
    </row>
    <row r="19" spans="2:15" s="1" customFormat="1" ht="27" customHeight="1" x14ac:dyDescent="0.25">
      <c r="B19" s="218" t="s">
        <v>342</v>
      </c>
      <c r="C19" s="219" t="s">
        <v>134</v>
      </c>
      <c r="D19" s="220" t="s">
        <v>182</v>
      </c>
      <c r="E19" s="9" t="s">
        <v>55</v>
      </c>
      <c r="F19" s="234"/>
      <c r="G19" s="221" t="s">
        <v>57</v>
      </c>
      <c r="H19" s="11" t="s">
        <v>343</v>
      </c>
      <c r="I19" s="209" t="s">
        <v>137</v>
      </c>
      <c r="J19" s="199" t="s">
        <v>210</v>
      </c>
      <c r="K19" s="308" t="s">
        <v>321</v>
      </c>
      <c r="L19" s="201" t="s">
        <v>221</v>
      </c>
      <c r="M19" s="20" t="str">
        <f>IF(OR($O$8&lt;=7000,$O$8&gt;250000,$O$4&gt;5,AND(SUM($O$5:$O$7)&gt;250),$O5&gt;150,$O6&gt;150,$O7&gt;150),"无价格",$O4*45+22.5)</f>
        <v>无价格</v>
      </c>
      <c r="O19" s="5"/>
    </row>
    <row r="20" spans="2:15" s="1" customFormat="1" ht="25.95" customHeight="1" x14ac:dyDescent="0.25">
      <c r="B20" s="218"/>
      <c r="C20" s="219"/>
      <c r="D20" s="220"/>
      <c r="E20" s="9" t="s">
        <v>97</v>
      </c>
      <c r="F20" s="234"/>
      <c r="G20" s="221"/>
      <c r="H20" s="11" t="s">
        <v>344</v>
      </c>
      <c r="I20" s="209"/>
      <c r="J20" s="199"/>
      <c r="K20" s="309"/>
      <c r="L20" s="201"/>
      <c r="M20" s="20" t="str">
        <f>IF(OR($O$8&lt;=7000,$O$8&gt;250000,$O$4&gt;5,AND(SUM($O$5:$O$7)&gt;250),$O5&gt;150,$O6&gt;150,$O7&gt;150),"无价格",$O4*45+25.5)</f>
        <v>无价格</v>
      </c>
      <c r="O20" s="5"/>
    </row>
    <row r="21" spans="2:15" s="1" customFormat="1" ht="16.2" x14ac:dyDescent="0.25">
      <c r="B21" s="218"/>
      <c r="C21" s="219" t="s">
        <v>147</v>
      </c>
      <c r="D21" s="220" t="s">
        <v>192</v>
      </c>
      <c r="E21" s="9" t="s">
        <v>55</v>
      </c>
      <c r="F21" s="234"/>
      <c r="G21" s="221" t="s">
        <v>216</v>
      </c>
      <c r="H21" s="11" t="s">
        <v>345</v>
      </c>
      <c r="I21" s="209"/>
      <c r="J21" s="199"/>
      <c r="K21" s="308" t="s">
        <v>326</v>
      </c>
      <c r="L21" s="201"/>
      <c r="M21" s="20" t="str">
        <f>IF(OR($O$8&lt;=7000,$O$8&gt;250000,$O$4&gt;5,AND(SUM($O$5:$O$7)&gt;250),$O5&gt;150,$O6&gt;150,$O7&gt;150),"无价格",$O4*25+22)</f>
        <v>无价格</v>
      </c>
      <c r="O21" s="5"/>
    </row>
    <row r="22" spans="2:15" s="1" customFormat="1" ht="24" customHeight="1" x14ac:dyDescent="0.25">
      <c r="B22" s="218"/>
      <c r="C22" s="219"/>
      <c r="D22" s="220"/>
      <c r="E22" s="9" t="s">
        <v>97</v>
      </c>
      <c r="F22" s="234"/>
      <c r="G22" s="221"/>
      <c r="H22" s="11" t="s">
        <v>346</v>
      </c>
      <c r="I22" s="209"/>
      <c r="J22" s="200"/>
      <c r="K22" s="309"/>
      <c r="L22" s="201"/>
      <c r="M22" s="20" t="str">
        <f>IF(OR($O$8&lt;=7000,$O$8&gt;250000,$O$4&gt;5,AND(SUM($O$5:$O$7)&gt;250),$O5&gt;150,$O6&gt;150,$O7&gt;150),"无价格",$O4*25+25.5)</f>
        <v>无价格</v>
      </c>
      <c r="O22" s="5"/>
    </row>
    <row r="23" spans="2:15" s="1" customFormat="1" ht="36" customHeight="1" x14ac:dyDescent="0.25">
      <c r="B23" s="218" t="s">
        <v>347</v>
      </c>
      <c r="C23" s="219" t="s">
        <v>166</v>
      </c>
      <c r="D23" s="220" t="s">
        <v>192</v>
      </c>
      <c r="E23" s="9" t="s">
        <v>55</v>
      </c>
      <c r="F23" s="234"/>
      <c r="G23" s="221" t="s">
        <v>216</v>
      </c>
      <c r="H23" s="11" t="s">
        <v>348</v>
      </c>
      <c r="I23" s="312" t="s">
        <v>156</v>
      </c>
      <c r="J23" s="311" t="s">
        <v>349</v>
      </c>
      <c r="K23" s="308" t="s">
        <v>326</v>
      </c>
      <c r="L23" s="202" t="s">
        <v>221</v>
      </c>
      <c r="M23" s="20">
        <f>IF(OR($O$8&lt;=7000,$O$8&gt;250000,$O$4&gt;25,$O$4&lt;5,AND(SUM($O$5:$O$7)&gt;310),$O5&gt;150,$O6&gt;150,$O7&gt;150),"无价格",$O4*23+62)</f>
        <v>200</v>
      </c>
      <c r="O23" s="5"/>
    </row>
    <row r="24" spans="2:15" s="1" customFormat="1" ht="4.95" hidden="1" customHeight="1" x14ac:dyDescent="0.25">
      <c r="B24" s="218"/>
      <c r="C24" s="219"/>
      <c r="D24" s="220"/>
      <c r="E24" s="9"/>
      <c r="F24" s="234"/>
      <c r="G24" s="221"/>
      <c r="H24" s="11"/>
      <c r="I24" s="313"/>
      <c r="J24" s="310"/>
      <c r="K24" s="310"/>
      <c r="L24" s="203"/>
      <c r="M24" s="20"/>
      <c r="O24" s="5"/>
    </row>
    <row r="25" spans="2:15" s="1" customFormat="1" ht="40.049999999999997" customHeight="1" x14ac:dyDescent="0.25">
      <c r="B25" s="218"/>
      <c r="C25" s="219"/>
      <c r="D25" s="220"/>
      <c r="E25" s="9" t="s">
        <v>97</v>
      </c>
      <c r="F25" s="234"/>
      <c r="G25" s="221"/>
      <c r="H25" s="11" t="s">
        <v>350</v>
      </c>
      <c r="I25" s="314"/>
      <c r="J25" s="309"/>
      <c r="K25" s="309"/>
      <c r="L25" s="204"/>
      <c r="M25" s="20">
        <f>IF(OR($O$8&lt;=7000,$O$8&gt;250000,$O$4&gt;25,$O$4&lt;5,AND(SUM($O$5:$O$7)&gt;310),$O5&gt;150,$O6&gt;150,$O7&gt;150),"无价格",$O4*23+65.5)</f>
        <v>203.5</v>
      </c>
      <c r="O25" s="5"/>
    </row>
    <row r="26" spans="2:15" x14ac:dyDescent="0.25">
      <c r="B26" s="211" t="s">
        <v>171</v>
      </c>
      <c r="C26" s="212"/>
      <c r="D26" s="212"/>
      <c r="E26" s="213"/>
      <c r="F26" s="213"/>
      <c r="G26" s="213"/>
      <c r="H26" s="213"/>
      <c r="I26" s="213"/>
      <c r="J26" s="213"/>
      <c r="K26" s="213"/>
      <c r="L26" s="213"/>
      <c r="M26" s="214"/>
    </row>
    <row r="27" spans="2:15" x14ac:dyDescent="0.25">
      <c r="B27" s="211" t="s">
        <v>172</v>
      </c>
      <c r="C27" s="212"/>
      <c r="D27" s="212"/>
      <c r="E27" s="213"/>
      <c r="F27" s="213"/>
      <c r="G27" s="213"/>
      <c r="H27" s="213"/>
      <c r="I27" s="213"/>
      <c r="J27" s="213"/>
      <c r="K27" s="213"/>
      <c r="L27" s="213"/>
      <c r="M27" s="214"/>
    </row>
    <row r="28" spans="2:15" x14ac:dyDescent="0.25">
      <c r="B28" s="12" t="s">
        <v>173</v>
      </c>
      <c r="C28" s="13"/>
      <c r="D28" s="13"/>
      <c r="E28" s="14"/>
      <c r="F28" s="14"/>
      <c r="G28" s="14"/>
      <c r="H28" s="14"/>
      <c r="I28" s="14"/>
      <c r="J28" s="14"/>
      <c r="K28" s="14"/>
      <c r="L28" s="14"/>
      <c r="M28" s="25"/>
    </row>
    <row r="29" spans="2:15" x14ac:dyDescent="0.25">
      <c r="B29" s="15" t="s">
        <v>238</v>
      </c>
      <c r="H29"/>
      <c r="L29"/>
      <c r="M29" s="26"/>
    </row>
    <row r="30" spans="2:15" x14ac:dyDescent="0.25">
      <c r="B30" s="15" t="s">
        <v>175</v>
      </c>
      <c r="H30"/>
      <c r="L30"/>
      <c r="M30" s="26"/>
    </row>
    <row r="31" spans="2:15" x14ac:dyDescent="0.25">
      <c r="B31" s="15" t="s">
        <v>176</v>
      </c>
      <c r="H31"/>
      <c r="L31"/>
      <c r="M31" s="26"/>
    </row>
    <row r="32" spans="2:15" ht="82.05" customHeight="1" x14ac:dyDescent="0.25">
      <c r="B32" s="315" t="s">
        <v>351</v>
      </c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7"/>
    </row>
    <row r="33" ht="50.1" customHeight="1" x14ac:dyDescent="0.25"/>
  </sheetData>
  <sheetProtection algorithmName="SHA-512" hashValue="Ky3SloNk8Y5hRrorC9cjpDf6FVWFN6X+M1BRbsThJ3fg3BCz8IhhYaa8tG19VO74F9MAfP2MehQlHTb22j48vg==" saltValue="1xXCpZkAlQ451owto68HBA==" spinCount="100000" sheet="1" objects="1" selectLockedCells="1" autoFilter="0"/>
  <mergeCells count="73">
    <mergeCell ref="B2:M2"/>
    <mergeCell ref="B3:M3"/>
    <mergeCell ref="P4:Q4"/>
    <mergeCell ref="P8:Q8"/>
    <mergeCell ref="O9:S9"/>
    <mergeCell ref="D8:D9"/>
    <mergeCell ref="E8:E9"/>
    <mergeCell ref="H8:H9"/>
    <mergeCell ref="I5:I7"/>
    <mergeCell ref="I8:I9"/>
    <mergeCell ref="K8:K9"/>
    <mergeCell ref="M8:M9"/>
    <mergeCell ref="P5:Q7"/>
    <mergeCell ref="O10:T10"/>
    <mergeCell ref="O11:T11"/>
    <mergeCell ref="O12:S12"/>
    <mergeCell ref="O13:S13"/>
    <mergeCell ref="B26:M26"/>
    <mergeCell ref="D10:D11"/>
    <mergeCell ref="D12:D13"/>
    <mergeCell ref="D14:D15"/>
    <mergeCell ref="D16:D18"/>
    <mergeCell ref="D19:D20"/>
    <mergeCell ref="D21:D22"/>
    <mergeCell ref="D23:D25"/>
    <mergeCell ref="F5:F25"/>
    <mergeCell ref="G8:G9"/>
    <mergeCell ref="G10:G11"/>
    <mergeCell ref="G12:G13"/>
    <mergeCell ref="B27:M27"/>
    <mergeCell ref="B32:M32"/>
    <mergeCell ref="B5:B7"/>
    <mergeCell ref="B8:B9"/>
    <mergeCell ref="B10:B15"/>
    <mergeCell ref="B16:B18"/>
    <mergeCell ref="B19:B22"/>
    <mergeCell ref="B23:B25"/>
    <mergeCell ref="C8:C9"/>
    <mergeCell ref="C10:C11"/>
    <mergeCell ref="C12:C13"/>
    <mergeCell ref="C14:C15"/>
    <mergeCell ref="C16:C18"/>
    <mergeCell ref="C19:C20"/>
    <mergeCell ref="C21:C22"/>
    <mergeCell ref="C23:C25"/>
    <mergeCell ref="G14:G15"/>
    <mergeCell ref="G16:G18"/>
    <mergeCell ref="G19:G20"/>
    <mergeCell ref="G21:G22"/>
    <mergeCell ref="G23:G25"/>
    <mergeCell ref="I10:I15"/>
    <mergeCell ref="I16:I18"/>
    <mergeCell ref="I19:I22"/>
    <mergeCell ref="I23:I25"/>
    <mergeCell ref="J5:J7"/>
    <mergeCell ref="J8:J9"/>
    <mergeCell ref="J10:J15"/>
    <mergeCell ref="J16:J18"/>
    <mergeCell ref="J19:J22"/>
    <mergeCell ref="J23:J25"/>
    <mergeCell ref="K21:K22"/>
    <mergeCell ref="K23:K25"/>
    <mergeCell ref="L5:L7"/>
    <mergeCell ref="L8:L9"/>
    <mergeCell ref="L10:L15"/>
    <mergeCell ref="L16:L18"/>
    <mergeCell ref="L19:L22"/>
    <mergeCell ref="L23:L25"/>
    <mergeCell ref="K10:K11"/>
    <mergeCell ref="K12:K13"/>
    <mergeCell ref="K14:K15"/>
    <mergeCell ref="K16:K18"/>
    <mergeCell ref="K19:K20"/>
  </mergeCells>
  <phoneticPr fontId="71" type="noConversion"/>
  <conditionalFormatting sqref="I23:L23">
    <cfRule type="expression" dxfId="5" priority="5">
      <formula>$M24=SMALL($M$5:$M$25,2)</formula>
    </cfRule>
    <cfRule type="expression" dxfId="4" priority="6">
      <formula>$M24=SMALL($M$5:$M$25,1)</formula>
    </cfRule>
  </conditionalFormatting>
  <conditionalFormatting sqref="K5:M5 C5:J8 K6:K8 M6:M8 F9 I9:J9 C10:K10 L10:M15 C11:J11 C12:K12 C13:J13 C14:K14 C15:J15 C16:K16 M16:M25 C17:J18 C19:K19 L19:L22 C20:J20 C21:K21 C22:J22 C23:H25">
    <cfRule type="expression" dxfId="3" priority="1">
      <formula>$M5=SMALL($M$5:$M$25,2)</formula>
    </cfRule>
    <cfRule type="expression" dxfId="2" priority="2">
      <formula>$M5=SMALL($M$5:$M$25,1)</formula>
    </cfRule>
  </conditionalFormatting>
  <conditionalFormatting sqref="L16">
    <cfRule type="expression" dxfId="1" priority="3">
      <formula>$M17=SMALL($M$5:$M$25,2)</formula>
    </cfRule>
    <cfRule type="expression" dxfId="0" priority="4">
      <formula>$M17=SMALL($M$5:$M$25,1)</formula>
    </cfRule>
  </conditionalFormatting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9" master="" otherUserPermission="visible"/>
  <rangeList sheetStid="1" master="" otherUserPermission="visible"/>
  <rangeList sheetStid="7" master="" otherUserPermission="visible"/>
  <rangeList sheetStid="3" master="" otherUserPermission="visible"/>
  <rangeList sheetStid="10" master="" otherUserPermission="visible"/>
  <rangeList sheetStid="11" master="" otherUserPermission="visible">
    <arrUserId title="区域1" rangeCreator="" othersAccessPermission="edit"/>
    <arrUserId title="区域1_1" rangeCreator="" othersAccessPermission="edit"/>
  </rangeList>
  <rangeList sheetStid="1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报价主页</vt:lpstr>
      <vt:lpstr>CEL</vt:lpstr>
      <vt:lpstr>UNI</vt:lpstr>
      <vt:lpstr>E邮宝</vt:lpstr>
      <vt:lpstr>E包裹特惠</vt:lpstr>
      <vt:lpstr>WB-Yandex(CEL)</vt:lpstr>
      <vt:lpstr>GUOO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鹏宇 杨</cp:lastModifiedBy>
  <dcterms:created xsi:type="dcterms:W3CDTF">2024-03-23T06:52:00Z</dcterms:created>
  <dcterms:modified xsi:type="dcterms:W3CDTF">2025-10-08T11:12:16Z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F6B88354AEEB40CC8B61D4458A31FFCD_13</vt:lpwstr>
  </property>
  <property fmtid="{D5CDD505-2E9C-101B-9397-08002B2CF9AE}" pid="3" name="KSOProductBuildVer">
    <vt:lpwstr>2052-12.1.0.22529</vt:lpwstr>
  </property>
</Properties>
</file>