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5595" windowWidth="14805" windowHeight="8010" tabRatio="801" firstSheet="22" activeTab="31"/>
  </bookViews>
  <sheets>
    <sheet name="Descripcion del Archivo" sheetId="32" r:id="rId1"/>
    <sheet name="Tipos de Actividades" sheetId="1" r:id="rId2"/>
    <sheet name="Areas" sheetId="2" r:id="rId3"/>
    <sheet name="Actividades por Area" sheetId="3" r:id="rId4"/>
    <sheet name="Motivos de Ajustes de Inventari" sheetId="4" r:id="rId5"/>
    <sheet name="Tipos de ajustes de Inventario" sheetId="5" r:id="rId6"/>
    <sheet name="Tipos de Alarma" sheetId="6" r:id="rId7"/>
    <sheet name="Mensajes x Tipo de Alarma" sheetId="7" r:id="rId8"/>
    <sheet name="Motivos de Cancelación" sheetId="8" r:id="rId9"/>
    <sheet name="Motivos de Modificacion" sheetId="10" r:id="rId10"/>
    <sheet name="Motivos de Cierre de Pedidos" sheetId="9" r:id="rId11"/>
    <sheet name="Paises" sheetId="11" r:id="rId12"/>
    <sheet name="Departamentos-Estados" sheetId="33" r:id="rId13"/>
    <sheet name="Ciudades" sheetId="34" r:id="rId14"/>
    <sheet name="Tipos de Identificación" sheetId="14" r:id="rId15"/>
    <sheet name="Satelites" sheetId="15" r:id="rId16"/>
    <sheet name="Clientes" sheetId="16" r:id="rId17"/>
    <sheet name="Contactos del Cliente" sheetId="17" r:id="rId18"/>
    <sheet name="Transportadoras" sheetId="18" r:id="rId19"/>
    <sheet name="Agentes de Transportadora" sheetId="19" r:id="rId20"/>
    <sheet name="Métodos de Transporte" sheetId="20" r:id="rId21"/>
    <sheet name="Metodos de Transporte por Agent" sheetId="21" r:id="rId22"/>
    <sheet name="Lineas" sheetId="22" r:id="rId23"/>
    <sheet name="Monedas" sheetId="23" r:id="rId24"/>
    <sheet name="Unidades de Medida" sheetId="24" r:id="rId25"/>
    <sheet name="Articulos" sheetId="25" r:id="rId26"/>
    <sheet name="Articulos por Area" sheetId="27" r:id="rId27"/>
    <sheet name="Referencias" sheetId="26" r:id="rId28"/>
    <sheet name="Proveedores" sheetId="28" r:id="rId29"/>
    <sheet name="Referencias por Proveedor" sheetId="29" r:id="rId30"/>
    <sheet name="Metodos de envio" sheetId="30" r:id="rId31"/>
    <sheet name="Embalajes" sheetId="36" r:id="rId32"/>
  </sheets>
  <calcPr calcId="152511" iterateDelta="1E-4"/>
</workbook>
</file>

<file path=xl/calcChain.xml><?xml version="1.0" encoding="utf-8"?>
<calcChain xmlns="http://schemas.openxmlformats.org/spreadsheetml/2006/main">
  <c r="T6" i="36" l="1"/>
  <c r="R6" i="36"/>
  <c r="P6" i="36"/>
  <c r="R7" i="30" l="1"/>
  <c r="R8" i="30"/>
  <c r="R9" i="30"/>
  <c r="T9" i="30" s="1"/>
  <c r="R6" i="30"/>
  <c r="T6" i="30" s="1"/>
  <c r="T7" i="30"/>
  <c r="T8" i="30"/>
  <c r="R6" i="29"/>
  <c r="P6" i="29"/>
  <c r="N6" i="29"/>
  <c r="T6" i="28"/>
  <c r="R6" i="28"/>
  <c r="Q6" i="28"/>
  <c r="P6" i="28"/>
  <c r="T6" i="26"/>
  <c r="AF6" i="26"/>
  <c r="AD6" i="26"/>
  <c r="T6" i="29" l="1"/>
  <c r="AB6" i="26" l="1"/>
  <c r="R6" i="26"/>
  <c r="Q6" i="26"/>
  <c r="P6" i="26"/>
  <c r="P6" i="27"/>
  <c r="R6" i="27"/>
  <c r="N6" i="27"/>
  <c r="T6" i="27" l="1"/>
  <c r="AA6" i="25"/>
  <c r="AF6" i="25"/>
  <c r="AE6" i="25"/>
  <c r="AI6" i="25"/>
  <c r="AH6" i="25"/>
  <c r="AG6" i="25"/>
  <c r="AD6" i="25"/>
  <c r="AC6" i="25"/>
  <c r="AB6" i="25"/>
  <c r="R9" i="24"/>
  <c r="T9" i="24" s="1"/>
  <c r="R8" i="24"/>
  <c r="T8" i="24" s="1"/>
  <c r="R7" i="24"/>
  <c r="T7" i="24" s="1"/>
  <c r="R6" i="24"/>
  <c r="T6" i="24" s="1"/>
  <c r="T7" i="23"/>
  <c r="R7" i="23"/>
  <c r="R8" i="23"/>
  <c r="T8" i="23" s="1"/>
  <c r="R6" i="23"/>
  <c r="T6" i="23" s="1"/>
  <c r="N6" i="22"/>
  <c r="R6" i="22"/>
  <c r="P6" i="22"/>
  <c r="R7" i="21"/>
  <c r="R6" i="21"/>
  <c r="P7" i="21"/>
  <c r="P6" i="21"/>
  <c r="N7" i="21"/>
  <c r="T7" i="21" s="1"/>
  <c r="N6" i="21"/>
  <c r="T6" i="21" s="1"/>
  <c r="R7" i="20"/>
  <c r="T7" i="20" s="1"/>
  <c r="R8" i="20"/>
  <c r="T8" i="20" s="1"/>
  <c r="R9" i="20"/>
  <c r="T9" i="20" s="1"/>
  <c r="R6" i="20"/>
  <c r="T6" i="20" s="1"/>
  <c r="R7" i="19"/>
  <c r="R6" i="19"/>
  <c r="P7" i="19"/>
  <c r="P6" i="19"/>
  <c r="N7" i="19"/>
  <c r="N6" i="19"/>
  <c r="K7" i="19"/>
  <c r="R7" i="18"/>
  <c r="T7" i="18" s="1"/>
  <c r="R6" i="18"/>
  <c r="P7" i="18"/>
  <c r="P6" i="18"/>
  <c r="T6" i="18" s="1"/>
  <c r="P7" i="17"/>
  <c r="T7" i="17" s="1"/>
  <c r="P6" i="17"/>
  <c r="R7" i="17"/>
  <c r="R6" i="17"/>
  <c r="L7" i="16"/>
  <c r="R7" i="16"/>
  <c r="Q7" i="16"/>
  <c r="P7" i="16"/>
  <c r="O7" i="16"/>
  <c r="R6" i="16"/>
  <c r="Q6" i="16"/>
  <c r="P6" i="16"/>
  <c r="O6" i="16"/>
  <c r="O7" i="15"/>
  <c r="T7" i="15" s="1"/>
  <c r="P7" i="15"/>
  <c r="Q7" i="15"/>
  <c r="R7" i="15"/>
  <c r="O8" i="15"/>
  <c r="T8" i="15" s="1"/>
  <c r="P8" i="15"/>
  <c r="Q8" i="15"/>
  <c r="R8" i="15"/>
  <c r="Q6" i="15"/>
  <c r="P6" i="15"/>
  <c r="O6" i="15"/>
  <c r="T6" i="15" s="1"/>
  <c r="R6" i="15"/>
  <c r="R7" i="14"/>
  <c r="T7" i="14" s="1"/>
  <c r="R6" i="14"/>
  <c r="T6" i="14" s="1"/>
  <c r="R7" i="34"/>
  <c r="R8" i="34"/>
  <c r="R6" i="34"/>
  <c r="P7" i="34"/>
  <c r="P8" i="34"/>
  <c r="P6" i="34"/>
  <c r="P7" i="33"/>
  <c r="T7" i="33" s="1"/>
  <c r="P8" i="33"/>
  <c r="P6" i="33"/>
  <c r="T8" i="34"/>
  <c r="T7" i="34"/>
  <c r="R7" i="33"/>
  <c r="R8" i="33"/>
  <c r="R6" i="33"/>
  <c r="R7" i="11"/>
  <c r="T7" i="11" s="1"/>
  <c r="R6" i="11"/>
  <c r="T6" i="11" s="1"/>
  <c r="R8" i="9"/>
  <c r="T8" i="9" s="1"/>
  <c r="R7" i="9"/>
  <c r="T7" i="9" s="1"/>
  <c r="R6" i="9"/>
  <c r="T6" i="9" s="1"/>
  <c r="R8" i="10"/>
  <c r="P8" i="10"/>
  <c r="R7" i="10"/>
  <c r="P7" i="10"/>
  <c r="R6" i="10"/>
  <c r="P6" i="10"/>
  <c r="R7" i="8"/>
  <c r="R8" i="8"/>
  <c r="R6" i="8"/>
  <c r="P7" i="8"/>
  <c r="P8" i="8"/>
  <c r="P6" i="8"/>
  <c r="R7" i="7"/>
  <c r="P7" i="7"/>
  <c r="R6" i="7"/>
  <c r="P6" i="7"/>
  <c r="T6" i="6"/>
  <c r="R7" i="6"/>
  <c r="R8" i="6"/>
  <c r="R6" i="6"/>
  <c r="P7" i="6"/>
  <c r="T7" i="6" s="1"/>
  <c r="P8" i="6"/>
  <c r="T8" i="6" s="1"/>
  <c r="P6" i="6"/>
  <c r="R7" i="5"/>
  <c r="T7" i="5" s="1"/>
  <c r="R6" i="5"/>
  <c r="T6" i="5"/>
  <c r="R7" i="4"/>
  <c r="R8" i="4"/>
  <c r="R9" i="4"/>
  <c r="R6" i="4"/>
  <c r="T6" i="4" s="1"/>
  <c r="R7" i="2"/>
  <c r="T7" i="2" s="1"/>
  <c r="R6" i="2"/>
  <c r="T6" i="2" s="1"/>
  <c r="T9" i="4"/>
  <c r="T7" i="4"/>
  <c r="T8" i="4"/>
  <c r="O7" i="3"/>
  <c r="T7" i="3" s="1"/>
  <c r="P7" i="3"/>
  <c r="R7" i="3"/>
  <c r="R7" i="1"/>
  <c r="T7" i="1"/>
  <c r="R6" i="3"/>
  <c r="P6" i="3"/>
  <c r="O6" i="3"/>
  <c r="T6" i="3" s="1"/>
  <c r="R6" i="1"/>
  <c r="T6" i="1" s="1"/>
  <c r="T6" i="22" l="1"/>
  <c r="T8" i="10"/>
  <c r="T6" i="19"/>
  <c r="T7" i="19"/>
  <c r="T6" i="25"/>
  <c r="T6" i="17"/>
  <c r="T7" i="16"/>
  <c r="T6" i="16"/>
  <c r="T6" i="34"/>
  <c r="T8" i="33"/>
  <c r="T6" i="33"/>
  <c r="T6" i="10"/>
  <c r="T7" i="10"/>
  <c r="T7" i="8"/>
  <c r="T6" i="8"/>
  <c r="T8" i="8"/>
  <c r="T7" i="7"/>
  <c r="T6" i="7"/>
  <c r="K6" i="26"/>
  <c r="R6" i="25"/>
  <c r="K6" i="19"/>
  <c r="L6" i="16"/>
  <c r="C8" i="34"/>
  <c r="C7" i="34"/>
  <c r="C6" i="34"/>
  <c r="C8" i="33"/>
  <c r="C7" i="33"/>
  <c r="C6" i="33"/>
</calcChain>
</file>

<file path=xl/sharedStrings.xml><?xml version="1.0" encoding="utf-8"?>
<sst xmlns="http://schemas.openxmlformats.org/spreadsheetml/2006/main" count="948" uniqueCount="386">
  <si>
    <t>*</t>
  </si>
  <si>
    <t>Son las actividades que se registran sobre un pedido de articulos hecho por un cliente</t>
  </si>
  <si>
    <t>Nombre de la actividad</t>
  </si>
  <si>
    <t>Obligatorio</t>
  </si>
  <si>
    <t>Nombre del Area</t>
  </si>
  <si>
    <t>Alfanumerico(10)</t>
  </si>
  <si>
    <t>Numérico:</t>
  </si>
  <si>
    <t>Decimal:</t>
  </si>
  <si>
    <t>Alberto rojas Pinzon</t>
  </si>
  <si>
    <t>Alfanumerico(20):</t>
  </si>
  <si>
    <t>(20 letras maximo incluyendo los espacios)</t>
  </si>
  <si>
    <t>-</t>
  </si>
  <si>
    <r>
      <t xml:space="preserve">En la </t>
    </r>
    <r>
      <rPr>
        <b/>
        <sz val="16"/>
        <color rgb="FFFF0000"/>
        <rFont val="Calibri"/>
        <family val="2"/>
        <scheme val="minor"/>
      </rPr>
      <t>Cuarta</t>
    </r>
    <r>
      <rPr>
        <b/>
        <sz val="16"/>
        <color theme="1"/>
        <rFont val="Calibri"/>
        <family val="2"/>
        <scheme val="minor"/>
      </rPr>
      <t xml:space="preserve"> fila de cada página encontrará el tipo de dato (númerico, decimal o alfanúmerico) y la máxima longitud que puede ingresar en caso de ser alfanúmerico. Ejemplo:</t>
    </r>
  </si>
  <si>
    <t>Alfanumerico(80)</t>
  </si>
  <si>
    <t>Son las areas que participan en los procesos de la compañía, (Despachos, Gerencia Sistemas, Comercio exterior, etc)</t>
  </si>
  <si>
    <t>Código del Area</t>
  </si>
  <si>
    <t>Descripción</t>
  </si>
  <si>
    <t>Alfanumerico(50)</t>
  </si>
  <si>
    <t>Alfanumerico(200)</t>
  </si>
  <si>
    <r>
      <t xml:space="preserve">En la </t>
    </r>
    <r>
      <rPr>
        <b/>
        <sz val="16"/>
        <color rgb="FFFF0000"/>
        <rFont val="Calibri"/>
        <family val="2"/>
        <scheme val="minor"/>
      </rPr>
      <t>Tercera</t>
    </r>
    <r>
      <rPr>
        <b/>
        <sz val="16"/>
        <color theme="1"/>
        <rFont val="Calibri"/>
        <family val="2"/>
        <scheme val="minor"/>
      </rPr>
      <t xml:space="preserve"> fila de cada página encontrará si es una informacion que debe seleccionar del combo desplegable de la celda, si no tiene valor, indica que el dato debe ser ingresado manualmente.</t>
    </r>
  </si>
  <si>
    <t>En el presente formato encontrará, por cada página, el conjunto de datos que debe ser ingresado para el poblado de la nueva base de datos de Aldebaran WEB.</t>
  </si>
  <si>
    <r>
      <t xml:space="preserve">En la </t>
    </r>
    <r>
      <rPr>
        <b/>
        <sz val="16"/>
        <color rgb="FFFF0000"/>
        <rFont val="Calibri"/>
        <family val="2"/>
        <scheme val="minor"/>
      </rPr>
      <t>Primer</t>
    </r>
    <r>
      <rPr>
        <b/>
        <sz val="16"/>
        <color theme="1"/>
        <rFont val="Calibri"/>
        <family val="2"/>
        <scheme val="minor"/>
      </rPr>
      <t xml:space="preserve"> fila de cada página encontrará la descripción de la infromación a la que hace referencia la pagina.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</si>
  <si>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Segunda</t>
    </r>
    <r>
      <rPr>
        <b/>
        <sz val="16"/>
        <color theme="1"/>
        <rFont val="Calibri"/>
        <family val="2"/>
        <scheme val="minor"/>
      </rPr>
      <t xml:space="preserve"> fila de cada página encontrará si es obligatoria la informacion de esa columna, si no tiene valor, no es obligatorio.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</si>
  <si>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Quinta</t>
    </r>
    <r>
      <rPr>
        <b/>
        <sz val="16"/>
        <color theme="1"/>
        <rFont val="Calibri"/>
        <family val="2"/>
        <scheme val="minor"/>
      </rPr>
      <t xml:space="preserve"> fila de cada página encontrará el nombre correspondiente al dato que debe ingresar.</t>
    </r>
  </si>
  <si>
    <t>Valide La infromación de una página antes de continuar con la siguiente.</t>
  </si>
  <si>
    <t>Llene el formato en el orden en que aparecen las páginas, yá que algunas paginas serán suministro para llenar otras páginas posteriores.</t>
  </si>
  <si>
    <t>Actividad</t>
  </si>
  <si>
    <t>Area</t>
  </si>
  <si>
    <t>Selección</t>
  </si>
  <si>
    <t>Son los motivos definidos por los cuales se realiza un ajuste a las cantidades del inventario de artículos en bodega</t>
  </si>
  <si>
    <t>Nombre del Motivo</t>
  </si>
  <si>
    <t>Alfanumerico(30)</t>
  </si>
  <si>
    <t>Alfanumerico(150)</t>
  </si>
  <si>
    <t>Son los diferentes tipos de ajuste que se le pueden realizar al Inventario (entradas, salidas, etc…)</t>
  </si>
  <si>
    <t>Son las areas que participan en los procesos de la compañía, (Despachos, Gerencia Sistemas, Comercio exterior, etc...)</t>
  </si>
  <si>
    <t>Nombre del Tipo de Ajuste</t>
  </si>
  <si>
    <t>Agrega</t>
  </si>
  <si>
    <t>Retira</t>
  </si>
  <si>
    <t>Afectación sobre el Inventario</t>
  </si>
  <si>
    <t>Tipo de Documento</t>
  </si>
  <si>
    <t>Nombre del Tipo de Alarma</t>
  </si>
  <si>
    <t>Orden</t>
  </si>
  <si>
    <t>Pedido</t>
  </si>
  <si>
    <t>Reserva</t>
  </si>
  <si>
    <t>Son los mensajes que se pueden asociar a la alarma creada para un Pedido, Orden de Compra o Reserva</t>
  </si>
  <si>
    <t>Son los diferentes Tipos de alarma que agrupan los mensajes que se asignan a las alarmas asociadas a un Pedido, Orden de Compra o Reserva</t>
  </si>
  <si>
    <t>Tipo de Alarma</t>
  </si>
  <si>
    <t>Mensaje</t>
  </si>
  <si>
    <t xml:space="preserve">Son los diferentes motivos por los que se puede cancelar una Orden de Compra, Pedido o Reserva, </t>
  </si>
  <si>
    <t xml:space="preserve">Son los diferentes motivos por los que se puede modificar una Orden de Compra, Pedido o Reserva, </t>
  </si>
  <si>
    <t xml:space="preserve">Son los diferentes motivos por los que se puede Cerrar un pedido una Orden de Compra, Pedido o Reserva, </t>
  </si>
  <si>
    <t>Alfanumerico(250)</t>
  </si>
  <si>
    <t>Nombre del País</t>
  </si>
  <si>
    <t>Código del País</t>
  </si>
  <si>
    <t>Alfanumerico(5)</t>
  </si>
  <si>
    <t>Nombre del Departamento</t>
  </si>
  <si>
    <t>Listado de Ciudades asociadas a un departamento de un país de donde provienen tanto clientes como proveedores, esta relacionado a los Departamentos/estado y a las ciudades</t>
  </si>
  <si>
    <t>Listado de departamentos que pertenecen a un país de donde provienen tanto clientes como proveedores, esta relacionado a los Departamentos/estado y a las ciudades</t>
  </si>
  <si>
    <t>Listado de paises de donde provienen tanto clientes como proveedores, esta relacionado a los Departamentos/estado y a las ciudades</t>
  </si>
  <si>
    <t>Nombre de la Ciudad</t>
  </si>
  <si>
    <t>Colombia</t>
  </si>
  <si>
    <t>CO</t>
  </si>
  <si>
    <t>Cundinamarca</t>
  </si>
  <si>
    <t>Alfanumerico(40)</t>
  </si>
  <si>
    <t>Alfanumerico(3)</t>
  </si>
  <si>
    <t>Código del Tipo</t>
  </si>
  <si>
    <t>Nombre del Tipo</t>
  </si>
  <si>
    <t>Los tipos de identificacion determinan si el documento de un cliente, proveedor, empleado o satelite, es cedula, nit, etc…</t>
  </si>
  <si>
    <t>Los Satelites son los encargados de recibir los articulos de un pedido que son enviados a proceso, ya sea para marcaciones, armado, etc…</t>
  </si>
  <si>
    <t>Nombre del Satelite</t>
  </si>
  <si>
    <t>Dirección del Satelite</t>
  </si>
  <si>
    <t>Tipo de Identificación</t>
  </si>
  <si>
    <t>Identificación</t>
  </si>
  <si>
    <t>Teléfono</t>
  </si>
  <si>
    <t>Fax</t>
  </si>
  <si>
    <t>Email</t>
  </si>
  <si>
    <t>Ciudad</t>
  </si>
  <si>
    <t>CO-Cundinamarca</t>
  </si>
  <si>
    <t>Selecciión</t>
  </si>
  <si>
    <t>Combinado</t>
  </si>
  <si>
    <t>Columna2</t>
  </si>
  <si>
    <t>Chia</t>
  </si>
  <si>
    <t>Antioquia</t>
  </si>
  <si>
    <t>Representante Legal</t>
  </si>
  <si>
    <t>Activo</t>
  </si>
  <si>
    <t>Si</t>
  </si>
  <si>
    <t>No</t>
  </si>
  <si>
    <t>Alfanumerico(100)</t>
  </si>
  <si>
    <t>Alfanumerico(15)</t>
  </si>
  <si>
    <t>Alfanumerico(20)</t>
  </si>
  <si>
    <t>Los Clientes son los solicitantes de Articulos producidos y vendidos por Promos, a los cuales se les realizan reservas y pedidos</t>
  </si>
  <si>
    <t>Bogota</t>
  </si>
  <si>
    <t>Nombre</t>
  </si>
  <si>
    <t>Teléfono 2</t>
  </si>
  <si>
    <t>Teléfono 1</t>
  </si>
  <si>
    <t>Dirección</t>
  </si>
  <si>
    <t>Celular</t>
  </si>
  <si>
    <t>Correo Electrónico 1</t>
  </si>
  <si>
    <t>Envio de Correo</t>
  </si>
  <si>
    <t>Alfanumerico(22)</t>
  </si>
  <si>
    <t>Alfanumerico(52)</t>
  </si>
  <si>
    <t>Alfanumerico(252)</t>
  </si>
  <si>
    <t xml:space="preserve">Los Contactos, son los referetes de los clientes </t>
  </si>
  <si>
    <t xml:space="preserve">Cliente </t>
  </si>
  <si>
    <t>Nombre del Contacto</t>
  </si>
  <si>
    <t>Título</t>
  </si>
  <si>
    <t>Correo Electrónico</t>
  </si>
  <si>
    <t>Columna4</t>
  </si>
  <si>
    <t>Concatenado</t>
  </si>
  <si>
    <t>Estados Unidos</t>
  </si>
  <si>
    <t>USA</t>
  </si>
  <si>
    <t>Florida</t>
  </si>
  <si>
    <t>Miami</t>
  </si>
  <si>
    <t>USA-Florida</t>
  </si>
  <si>
    <t>CC</t>
  </si>
  <si>
    <t>Cédula de Ciudadania</t>
  </si>
  <si>
    <t>Departamento-Estado</t>
  </si>
  <si>
    <t>País</t>
  </si>
  <si>
    <t>Las transportadoras son las encargadas de traer los árticulos comprados a los proveedores por PROMOS</t>
  </si>
  <si>
    <t>Correo Electrónico 2</t>
  </si>
  <si>
    <t xml:space="preserve">Ciudad </t>
  </si>
  <si>
    <t>Transportadora</t>
  </si>
  <si>
    <t>Contacto</t>
  </si>
  <si>
    <t>Los metodos de transporte son los diferentes Metodos habilitados para las transportadoras para hacer llegar los árticulos comprados a los proveedores por PROMOS</t>
  </si>
  <si>
    <t>Nombre del Método</t>
  </si>
  <si>
    <t xml:space="preserve">Descripción </t>
  </si>
  <si>
    <t>Asigne los Metodos de Transporte que utiliza cada Agente asociado a una Transportadora</t>
  </si>
  <si>
    <t>Metodo de Transporte</t>
  </si>
  <si>
    <t>Agente de la Transportadora</t>
  </si>
  <si>
    <t>Definición de las diferentes lineas de Articulos que maneja PROMOS</t>
  </si>
  <si>
    <t>Código</t>
  </si>
  <si>
    <t>Afecta la Pagina</t>
  </si>
  <si>
    <t>Activa</t>
  </si>
  <si>
    <t>Moneda en la cual se costean los Articulos del Inventario</t>
  </si>
  <si>
    <t>Unidades de medida para el empaquetamiento de Artículos</t>
  </si>
  <si>
    <t>Listado de Articulos que pertenecen a una Linea y son ofrecidos por Promos a los clientes o Comprados a los proveedores</t>
  </si>
  <si>
    <t>Referencia Interna</t>
  </si>
  <si>
    <t>Nombre del Artículo</t>
  </si>
  <si>
    <t>Nombre del Artículo para el Proveedor</t>
  </si>
  <si>
    <t>Reerencia para el proveedor</t>
  </si>
  <si>
    <t>Costo Fob</t>
  </si>
  <si>
    <t>Moneda</t>
  </si>
  <si>
    <t>Costo Cif</t>
  </si>
  <si>
    <t>Volumen</t>
  </si>
  <si>
    <t>Peso</t>
  </si>
  <si>
    <t>Unidad de medida Fob</t>
  </si>
  <si>
    <t>Producto Nacional</t>
  </si>
  <si>
    <t>Visible en el Catalogo Externo</t>
  </si>
  <si>
    <t>Unidad de Medida Cif</t>
  </si>
  <si>
    <t>Decimal</t>
  </si>
  <si>
    <t>Alfanumerico(27)</t>
  </si>
  <si>
    <t>Código de Linea</t>
  </si>
  <si>
    <t>Relacione que artículos del Inventario pueden o deben ser tratados por un área en particular</t>
  </si>
  <si>
    <t>Referencia Interna Artículo</t>
  </si>
  <si>
    <t>Importados</t>
  </si>
  <si>
    <r>
      <t xml:space="preserve">Relacione las referencias que pertenecen a cada artículo, tenga especial enfacis en las cantidades en existencias en las bodegas. 
No deberia haber cantidades comprometidas ni reservadas, ya que no existe información de Ordenes, Pedidos o Reservas en el sistema que las soporte.
</t>
    </r>
    <r>
      <rPr>
        <b/>
        <sz val="14"/>
        <color theme="9" tint="-0.249977111117893"/>
        <rFont val="Calibri"/>
        <family val="2"/>
        <scheme val="minor"/>
      </rPr>
      <t>Estas cantidades son la base del inicio del  inventario en el nuevo sistema</t>
    </r>
  </si>
  <si>
    <t>Referencia</t>
  </si>
  <si>
    <t>Referencia para el proveedor</t>
  </si>
  <si>
    <t>Nombre de la referencia</t>
  </si>
  <si>
    <t>Nombre de la referencia para el proveedor</t>
  </si>
  <si>
    <t>Referencia Interna artículo</t>
  </si>
  <si>
    <t>Alfanumerico(255)</t>
  </si>
  <si>
    <t>Número</t>
  </si>
  <si>
    <t>Cantidad en Bodega Local</t>
  </si>
  <si>
    <t>Cantidad en Zona Franca</t>
  </si>
  <si>
    <t>Cantidad Minima para Alarma</t>
  </si>
  <si>
    <t>Métodos de despacho a los clientes</t>
  </si>
  <si>
    <t>Relacion de referencias que maneja cada proveedor</t>
  </si>
  <si>
    <t>Realcione los proveedores que surten árticulos a PROMOS</t>
  </si>
  <si>
    <t>Código del Proveedor</t>
  </si>
  <si>
    <t xml:space="preserve">insert into </t>
  </si>
  <si>
    <t>'</t>
  </si>
  <si>
    <t>,</t>
  </si>
  <si>
    <t>)</t>
  </si>
  <si>
    <t>activity_types</t>
  </si>
  <si>
    <t>ACTIVITY_TYPE_NAME</t>
  </si>
  <si>
    <t xml:space="preserve"> values </t>
  </si>
  <si>
    <t xml:space="preserve"> (</t>
  </si>
  <si>
    <t>Logo Pendiente</t>
  </si>
  <si>
    <t>areas</t>
  </si>
  <si>
    <t>AREA_CODE,AREA_NAME,DESCRIPTION</t>
  </si>
  <si>
    <t>001</t>
  </si>
  <si>
    <t>Despachos</t>
  </si>
  <si>
    <t>NULL</t>
  </si>
  <si>
    <t>activity_types_area</t>
  </si>
  <si>
    <t>ACTIVITY_TYPE_ID, AREA_ID</t>
  </si>
  <si>
    <t>Pedido Incompleto</t>
  </si>
  <si>
    <t>005</t>
  </si>
  <si>
    <t>Marca Nacional</t>
  </si>
  <si>
    <t>Servicio al cliente nacional</t>
  </si>
  <si>
    <t>adjustment_reasons</t>
  </si>
  <si>
    <t>ADJUSTMENT_REASON_NAME, ADJUSTMENT_REASON_NOTES</t>
  </si>
  <si>
    <t>Dif. Ent. Nacionalización</t>
  </si>
  <si>
    <t>Devolución</t>
  </si>
  <si>
    <t>Producto Defectuoso</t>
  </si>
  <si>
    <t>Por Ensamble</t>
  </si>
  <si>
    <t>adjustment_types</t>
  </si>
  <si>
    <t>ADJUSTMENT_TYPE_NAME, OPERATOR</t>
  </si>
  <si>
    <t>iingresar</t>
  </si>
  <si>
    <t>retirar</t>
  </si>
  <si>
    <t>Alarmas de Ordenes</t>
  </si>
  <si>
    <t>Alarmas de Pedidos</t>
  </si>
  <si>
    <t>Alarmas de Reservas</t>
  </si>
  <si>
    <t>Descripcion</t>
  </si>
  <si>
    <t>Alarmas para Pedidos</t>
  </si>
  <si>
    <t>Alarmas para Reservas</t>
  </si>
  <si>
    <t>Alarmas para Ordenes de Compra</t>
  </si>
  <si>
    <t>alarm_types</t>
  </si>
  <si>
    <t>DOCUMENT_TYPE_ID, NAME, DESCRIPTION</t>
  </si>
  <si>
    <t>Revisar estado de importacion</t>
  </si>
  <si>
    <t>Confirmar Marcacion de Articulos</t>
  </si>
  <si>
    <t>ALARM_TYPE_ID, ALARM_MESSAGE</t>
  </si>
  <si>
    <t>alarm_messages</t>
  </si>
  <si>
    <t>solicitud del cliente</t>
  </si>
  <si>
    <t>Inventario Insuficiente</t>
  </si>
  <si>
    <t>Cancelado por el cliente</t>
  </si>
  <si>
    <t>Proveedor no cuenta con los Articulos solicitados</t>
  </si>
  <si>
    <t>CANCELLATION_REASON_NAME, DOCUMENT_TYPE_ID, NOTES</t>
  </si>
  <si>
    <t>cancellation_reasons</t>
  </si>
  <si>
    <t>Error en cantidades</t>
  </si>
  <si>
    <t>Eliminar Articulos</t>
  </si>
  <si>
    <t>Cambio de vencimiento</t>
  </si>
  <si>
    <t>modification_reasons</t>
  </si>
  <si>
    <t>MODIFICATION_REASON_NAME, DOCUMENT_TYPE_ID, NOTES</t>
  </si>
  <si>
    <t>Falta de Articulos</t>
  </si>
  <si>
    <t>Solicitud del Cliente</t>
  </si>
  <si>
    <t>Error en Pedido</t>
  </si>
  <si>
    <t>no se completo el stock del pedido</t>
  </si>
  <si>
    <t>close_customer_order_reasons</t>
  </si>
  <si>
    <t>CLOSE_REASON_NAME, CLOSE_REASON_NOTES</t>
  </si>
  <si>
    <t>COUNTRY_NAME, COUNTRY_CODE</t>
  </si>
  <si>
    <t>countries</t>
  </si>
  <si>
    <t>departments</t>
  </si>
  <si>
    <t>DEPARTMENT_NAME, COUNTRY_ID</t>
  </si>
  <si>
    <t>NIT</t>
  </si>
  <si>
    <t>Nit Empresa</t>
  </si>
  <si>
    <t>identity_types</t>
  </si>
  <si>
    <t>IDENTITY_TYPE_CODE, IDENTITY_TYPE_NAME</t>
  </si>
  <si>
    <t>process_satellites</t>
  </si>
  <si>
    <t>PROCESS_SATELLITE_NAME, PROCESS_SATELLITE_ADDRESS, IDENTITY_TYPE_ID, IDENTITY_NUMBER, PHONE, FAX, EMAIL, CITY_ID, LEGAL_REPRESENTATIVE, IS_ACTIVE</t>
  </si>
  <si>
    <t>Planta</t>
  </si>
  <si>
    <t>Proplasticos</t>
  </si>
  <si>
    <t>Etipress S.A</t>
  </si>
  <si>
    <t>Cra 39 B nº 17-98</t>
  </si>
  <si>
    <t>123458</t>
  </si>
  <si>
    <t>568745</t>
  </si>
  <si>
    <t>23658</t>
  </si>
  <si>
    <t>3007854516</t>
  </si>
  <si>
    <t>3016254578</t>
  </si>
  <si>
    <t>3142458963</t>
  </si>
  <si>
    <t>Satelite Mugs</t>
  </si>
  <si>
    <t>mugs@gmail.com</t>
  </si>
  <si>
    <t>planta@catalogospromocionales.com</t>
  </si>
  <si>
    <t>etipress_info@etipress.com.co</t>
  </si>
  <si>
    <t>CO-Cundinamarca-Bogota</t>
  </si>
  <si>
    <t>CO-Cundinamarca-Chia</t>
  </si>
  <si>
    <t>USA-Florida-Miami</t>
  </si>
  <si>
    <t>Gustavo Ramirez</t>
  </si>
  <si>
    <t>Perencejo</t>
  </si>
  <si>
    <t>Fulanito</t>
  </si>
  <si>
    <t>79872389</t>
  </si>
  <si>
    <t>Andres Diaz</t>
  </si>
  <si>
    <t>3008987553</t>
  </si>
  <si>
    <t>3004587458</t>
  </si>
  <si>
    <t>ardc2440@gmail.com;paolaflorezp@gmail.com</t>
  </si>
  <si>
    <t>35427339</t>
  </si>
  <si>
    <t>Paola Florez</t>
  </si>
  <si>
    <t>3542658925</t>
  </si>
  <si>
    <t>3112457856</t>
  </si>
  <si>
    <t>calle 4a # 29 - 25</t>
  </si>
  <si>
    <t>Carrera 2 b # 11 - 25</t>
  </si>
  <si>
    <t>3014296649</t>
  </si>
  <si>
    <t>paolaflorezp@gmail.com</t>
  </si>
  <si>
    <t>customers</t>
  </si>
  <si>
    <t>IDENTITY_TYPE_ID, IDENTITY_NUMBER, CUSTOMER_NAME, PHONE1, PHONE2, FAX, CUSTOMER_ADDRESS, CELL_PHONE, EMAIL, CITY_ID, SEND_EMAIL</t>
  </si>
  <si>
    <t>CC-79872389</t>
  </si>
  <si>
    <t>andres diaz</t>
  </si>
  <si>
    <t>propietario</t>
  </si>
  <si>
    <t>ardc2440@gmail.com</t>
  </si>
  <si>
    <t>CC-35427339</t>
  </si>
  <si>
    <t>Gerente</t>
  </si>
  <si>
    <t>3014662769</t>
  </si>
  <si>
    <t>customer_contacts</t>
  </si>
  <si>
    <t>CUSTOMER_ID, CUSTOMER_CONTACT_NAME, TITLE, PHONE, EMAIL</t>
  </si>
  <si>
    <t>trasportes fusa</t>
  </si>
  <si>
    <t>745585</t>
  </si>
  <si>
    <t>22222</t>
  </si>
  <si>
    <t>5456456452</t>
  </si>
  <si>
    <t>calle 15 parque internacional central</t>
  </si>
  <si>
    <t>InterTransMar@gmail.com</t>
  </si>
  <si>
    <t>International Trans Mar</t>
  </si>
  <si>
    <t>la casona local 1234</t>
  </si>
  <si>
    <t>mi_correo@correo.com</t>
  </si>
  <si>
    <t>forwarders</t>
  </si>
  <si>
    <t>FORWARDER_NAME, PHONE1, PHONE2, FAX, FORWARDER_ADDRESS, MAIL1, MAIL2, CITY_ID</t>
  </si>
  <si>
    <t>Carmelita la nita</t>
  </si>
  <si>
    <t>5454548787</t>
  </si>
  <si>
    <t>21352124</t>
  </si>
  <si>
    <t>Calle 40 # 20 - 23</t>
  </si>
  <si>
    <t>Camela Nita Lopez</t>
  </si>
  <si>
    <t>carmela@fusa.com</t>
  </si>
  <si>
    <t>Transmar Colombia</t>
  </si>
  <si>
    <t>54252262</t>
  </si>
  <si>
    <t>875412363</t>
  </si>
  <si>
    <t>Calle 28 # 12 - 35</t>
  </si>
  <si>
    <t>Jose Lopez</t>
  </si>
  <si>
    <t>Lopez.jose@transmar.com</t>
  </si>
  <si>
    <t>FORWARDER_ID, FORWARDER_AGENT_NAME, PHONE1, PHONE2, FAX, FORWARDER_AGENT_ADDRESS, CITY_ID, CONTACT, EMAIL1, EMAIL2</t>
  </si>
  <si>
    <t>forwarder_agents</t>
  </si>
  <si>
    <t>Aereo</t>
  </si>
  <si>
    <t>Transporte Aéreo</t>
  </si>
  <si>
    <t>Maritimo</t>
  </si>
  <si>
    <t>Transporte Marítimo</t>
  </si>
  <si>
    <t>Transporte Aéreo y Marítimo</t>
  </si>
  <si>
    <t>Directo</t>
  </si>
  <si>
    <t>Entrega local</t>
  </si>
  <si>
    <t>SHIPMENT_METHOD_NAME, SHIPMENT_METHOD_NOTES</t>
  </si>
  <si>
    <t>shipment_methods</t>
  </si>
  <si>
    <t>trasportes fusa-Carmelita la nita</t>
  </si>
  <si>
    <t>International Trans Mar-Transmar Colombia</t>
  </si>
  <si>
    <t>shipment_forwarder_agent_methods</t>
  </si>
  <si>
    <t>SHIPMENT_METHOD_ID, FORWARDER_AGENT_ID</t>
  </si>
  <si>
    <t>lines</t>
  </si>
  <si>
    <t>LINE_CODE, LINE_NAME, IS_DEMON, IS_ACTIVE</t>
  </si>
  <si>
    <t>EURO</t>
  </si>
  <si>
    <t>PESO</t>
  </si>
  <si>
    <t>USD</t>
  </si>
  <si>
    <t>currencies</t>
  </si>
  <si>
    <t>CURRENCY_NAME</t>
  </si>
  <si>
    <t>measure_units</t>
  </si>
  <si>
    <t>MEASURE_UNIT_NAME</t>
  </si>
  <si>
    <t>Caja</t>
  </si>
  <si>
    <t>Centimetro Cúbico</t>
  </si>
  <si>
    <t>Gramo</t>
  </si>
  <si>
    <t>Pieza</t>
  </si>
  <si>
    <t>Inventario Externo</t>
  </si>
  <si>
    <t>linea</t>
  </si>
  <si>
    <t>Inv. Externo</t>
  </si>
  <si>
    <t>Unidad FOB</t>
  </si>
  <si>
    <t>Unidad CIF</t>
  </si>
  <si>
    <t>Prod Nal</t>
  </si>
  <si>
    <t>Visible Cataogo Ext</t>
  </si>
  <si>
    <t>PRUEBA</t>
  </si>
  <si>
    <t>MIPRUEBA PROV</t>
  </si>
  <si>
    <t>0001 AZUL</t>
  </si>
  <si>
    <t>MI PRUEBA</t>
  </si>
  <si>
    <r>
      <t xml:space="preserve">ojo con los separadores de decimales, la coma se confunde con las comas que separan el values de la sentecia SQL
</t>
    </r>
    <r>
      <rPr>
        <sz val="12"/>
        <color rgb="FFFF0000"/>
        <rFont val="Calibri"/>
        <family val="2"/>
        <scheme val="minor"/>
      </rPr>
      <t>toca mandar esos campos Decimal como cadena reemplazando primero el . Por nada y luego la , por . Pero hay que validar el formato que maneja el servidor de promos para evitar problemas al insertar los datos alla</t>
    </r>
  </si>
  <si>
    <t>items</t>
  </si>
  <si>
    <t>LINE_ID, INTERNAL_REFERENCE, ITEM_NAME, PROVIDER_REFERENCE, PROVIDER_ITEM_NAME, FOB_COST, CURRENCY_ID, NOTES, IS_EXTERNAL_INVENTORY, CIF_COST, VOLUME, WEIGHT, FOB_MEASURE_UNIT_ID, CIF_MEASURE_UNIT_ID, IS_DOMESTIC_PRODUCT, IS_ACTIVE, IS_CATALOG_VISIBLE</t>
  </si>
  <si>
    <t>MI001</t>
  </si>
  <si>
    <t>001-MI001</t>
  </si>
  <si>
    <t>ITEM_ID, AREA_ID</t>
  </si>
  <si>
    <t>items_area</t>
  </si>
  <si>
    <t>item_references</t>
  </si>
  <si>
    <t>ITEM_ID, REFERENCE_CODE, PROVIDER_REFERENCE_CODE, REFERENCE_NAME, PROVIDER_REFERENCE_NAME, NOTES, INVENTORY_QUANTITY, IS_ACTIVE, ALARM_MINIMUM_QUANTITY</t>
  </si>
  <si>
    <t>DECLARE @LOCAL SMALLINT = (SELECT WAREHOUSE_ID FROM warehouses WHERE WAREHOUSE_CODE = 1) DECLARE @FRANCA SMALLINT = (SELECT WAREHOUSE_ID FROM warehouses WHERE WAREHOUSE_CODE = 2)</t>
  </si>
  <si>
    <t>id deItem</t>
  </si>
  <si>
    <t>004</t>
  </si>
  <si>
    <t>001AA</t>
  </si>
  <si>
    <t>Amarillo</t>
  </si>
  <si>
    <t>41401793</t>
  </si>
  <si>
    <t>CARDASOC</t>
  </si>
  <si>
    <t>Cardenas Asociados</t>
  </si>
  <si>
    <t>300 4525212</t>
  </si>
  <si>
    <t>info@cardasociados.com.co</t>
  </si>
  <si>
    <t>Francelina Cardenas</t>
  </si>
  <si>
    <t>providers</t>
  </si>
  <si>
    <t>IDENTITY_TYPE_ID, IDENTITY_NUMBER, PROVIDER_CODE, PROVIDER_NAME, PROVIDER_ADDRESS, PHONE, FAX, EMAIL, CONTACT_PERSON, CITY_ID</t>
  </si>
  <si>
    <t>calle 1 a No. 20 -34</t>
  </si>
  <si>
    <t>cities</t>
  </si>
  <si>
    <t>CITY_NAME, DEPARTMENT_ID</t>
  </si>
  <si>
    <t>REFERENCE_ID, PROVIDER_ID</t>
  </si>
  <si>
    <t>provider_references</t>
  </si>
  <si>
    <t>001-MI001-004</t>
  </si>
  <si>
    <t>SHIPPING_METHOD_NAME, SHIPPING_METHOD_NOTES</t>
  </si>
  <si>
    <t>shipping_methods</t>
  </si>
  <si>
    <t>Coordinadora</t>
  </si>
  <si>
    <t>Servientrega</t>
  </si>
  <si>
    <t>Redetrans</t>
  </si>
  <si>
    <t>Tamaño del empaque por Item</t>
  </si>
  <si>
    <t>ITEM_ID, WEIGHT, HEIGHT, WIDTH, LENGTH, QUANTITY</t>
  </si>
  <si>
    <t>packaging</t>
  </si>
  <si>
    <t>Tamaño</t>
  </si>
  <si>
    <t>Ancho</t>
  </si>
  <si>
    <t>Alto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</si>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</sst>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quotePrefix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0" fillId="0" borderId="0" xfId="0" applyFill="1"/>
    <xf numFmtId="0" fontId="1" fillId="0" borderId="0" xfId="0" applyFont="1" applyFill="1"/>
    <xf numFmtId="0" fontId="7" fillId="0" borderId="0" xfId="0" applyFont="1" applyFill="1"/>
    <xf numFmtId="0" fontId="0" fillId="3" borderId="0" xfId="0" applyFill="1" applyBorder="1"/>
    <xf numFmtId="0" fontId="0" fillId="3" borderId="0" xfId="0" applyNumberFormat="1" applyFill="1"/>
    <xf numFmtId="0" fontId="0" fillId="4" borderId="0" xfId="0" applyFill="1"/>
    <xf numFmtId="0" fontId="0" fillId="4" borderId="9" xfId="0" applyFill="1" applyBorder="1"/>
    <xf numFmtId="0" fontId="6" fillId="4" borderId="9" xfId="0" applyFont="1" applyFill="1" applyBorder="1"/>
    <xf numFmtId="0" fontId="6" fillId="0" borderId="9" xfId="0" applyFont="1" applyFill="1" applyBorder="1"/>
    <xf numFmtId="0" fontId="6" fillId="3" borderId="0" xfId="0" applyFont="1" applyFill="1" applyBorder="1"/>
    <xf numFmtId="0" fontId="6" fillId="4" borderId="0" xfId="0" applyFont="1" applyFill="1"/>
    <xf numFmtId="0" fontId="6" fillId="3" borderId="9" xfId="0" applyFont="1" applyFill="1" applyBorder="1"/>
    <xf numFmtId="0" fontId="9" fillId="2" borderId="9" xfId="0" applyFont="1" applyFill="1" applyBorder="1"/>
    <xf numFmtId="49" fontId="0" fillId="0" borderId="0" xfId="0" applyNumberFormat="1"/>
    <xf numFmtId="0" fontId="9" fillId="2" borderId="0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0" fillId="4" borderId="0" xfId="0" applyNumberFormat="1" applyFill="1" applyAlignment="1">
      <alignment vertical="center"/>
    </xf>
    <xf numFmtId="49" fontId="8" fillId="0" borderId="0" xfId="0" applyNumberFormat="1" applyFont="1" applyFill="1"/>
    <xf numFmtId="49" fontId="9" fillId="0" borderId="0" xfId="0" applyNumberFormat="1" applyFont="1" applyFill="1"/>
    <xf numFmtId="49" fontId="0" fillId="0" borderId="0" xfId="0" applyNumberFormat="1" applyFill="1"/>
    <xf numFmtId="49" fontId="9" fillId="2" borderId="0" xfId="0" applyNumberFormat="1" applyFont="1" applyFill="1" applyBorder="1"/>
    <xf numFmtId="49" fontId="0" fillId="4" borderId="0" xfId="0" applyNumberFormat="1" applyFill="1"/>
    <xf numFmtId="49" fontId="1" fillId="0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 applyFill="1"/>
    <xf numFmtId="49" fontId="9" fillId="2" borderId="0" xfId="0" applyNumberFormat="1" applyFont="1" applyFill="1" applyBorder="1" applyAlignment="1">
      <alignment vertical="center" wrapText="1"/>
    </xf>
    <xf numFmtId="2" fontId="0" fillId="4" borderId="0" xfId="0" applyNumberFormat="1" applyFill="1" applyAlignment="1">
      <alignment vertical="center"/>
    </xf>
    <xf numFmtId="2" fontId="1" fillId="0" borderId="0" xfId="0" applyNumberFormat="1" applyFont="1" applyFill="1"/>
    <xf numFmtId="2" fontId="7" fillId="0" borderId="0" xfId="0" applyNumberFormat="1" applyFont="1" applyFill="1"/>
    <xf numFmtId="2" fontId="0" fillId="0" borderId="0" xfId="0" applyNumberFormat="1" applyFill="1"/>
    <xf numFmtId="2" fontId="9" fillId="2" borderId="0" xfId="0" applyNumberFormat="1" applyFont="1" applyFill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 applyFill="1"/>
    <xf numFmtId="164" fontId="7" fillId="0" borderId="0" xfId="0" applyNumberFormat="1" applyFont="1" applyFill="1"/>
    <xf numFmtId="164" fontId="0" fillId="0" borderId="0" xfId="0" applyNumberFormat="1" applyFill="1"/>
    <xf numFmtId="164" fontId="9" fillId="2" borderId="0" xfId="0" applyNumberFormat="1" applyFont="1" applyFill="1" applyBorder="1" applyAlignment="1">
      <alignment vertical="center" wrapText="1"/>
    </xf>
    <xf numFmtId="1" fontId="0" fillId="0" borderId="0" xfId="0" applyNumberFormat="1"/>
    <xf numFmtId="0" fontId="0" fillId="4" borderId="0" xfId="0" quotePrefix="1" applyFill="1"/>
    <xf numFmtId="0" fontId="0" fillId="5" borderId="0" xfId="0" applyFill="1" applyBorder="1"/>
    <xf numFmtId="0" fontId="0" fillId="5" borderId="0" xfId="0" quotePrefix="1" applyFill="1" applyBorder="1"/>
    <xf numFmtId="0" fontId="0" fillId="5" borderId="0" xfId="0" applyFill="1"/>
    <xf numFmtId="0" fontId="0" fillId="5" borderId="0" xfId="0" quotePrefix="1" applyFill="1"/>
    <xf numFmtId="49" fontId="11" fillId="2" borderId="9" xfId="0" applyNumberFormat="1" applyFont="1" applyFill="1" applyBorder="1"/>
    <xf numFmtId="49" fontId="12" fillId="0" borderId="0" xfId="1" applyNumberFormat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168" fontId="0" fillId="0" borderId="0" xfId="0" applyNumberFormat="1"/>
  </cellXfs>
  <cellStyles count="2">
    <cellStyle name="Hipervínculo" xfId="1" builtinId="8"/>
    <cellStyle name="Normal" xfId="0" builtinId="0"/>
  </cellStyles>
  <dxfs count="224">
    <dxf>
      <numFmt numFmtId="168" formatCode="0.00000"/>
    </dxf>
    <dxf>
      <numFmt numFmtId="1" formatCode="0"/>
    </dxf>
    <dxf>
      <numFmt numFmtId="168" formatCode="0.00000"/>
    </dxf>
    <dxf>
      <numFmt numFmtId="168" formatCode="0.00000"/>
    </dxf>
    <dxf>
      <numFmt numFmtId="168" formatCode="0.0000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</dxf>
    <dxf>
      <border outline="0">
        <top style="medium">
          <color rgb="FF000000"/>
        </top>
      </border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0.0000000000"/>
    </dxf>
    <dxf>
      <numFmt numFmtId="165" formatCode="0.0000000000"/>
    </dxf>
    <dxf>
      <numFmt numFmtId="165" formatCode="0.0000000000"/>
    </dxf>
    <dxf>
      <numFmt numFmtId="30" formatCode="@"/>
    </dxf>
    <dxf>
      <numFmt numFmtId="30" formatCode="@"/>
    </dxf>
    <dxf>
      <numFmt numFmtId="30" formatCode="@"/>
    </dxf>
    <dxf>
      <numFmt numFmtId="165" formatCode="0.0000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1" name="Tabla11" displayName="Tabla11" ref="A5:A7" totalsRowShown="0" headerRowDxfId="223" dataDxfId="222" tableBorderDxfId="221">
  <tableColumns count="1">
    <tableColumn id="1" name="Nombre de la actividad" dataDxfId="2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a19" displayName="Tabla19" ref="A5:B8" totalsRowShown="0" headerRowDxfId="175" dataDxfId="174" tableBorderDxfId="173">
  <tableColumns count="2">
    <tableColumn id="1" name="Nombre del Motivo" dataDxfId="172"/>
    <tableColumn id="2" name="Descripción" dataDxfId="17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a4" displayName="Tabla4" ref="A5:B7" totalsRowShown="0" headerRowDxfId="170" dataDxfId="169" tableBorderDxfId="168">
  <tableColumns count="2">
    <tableColumn id="1" name="Nombre del País" dataDxfId="167"/>
    <tableColumn id="2" name="Código del País" dataDxfId="16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5" name="Tabla5" displayName="Tabla5" ref="A5:C8" totalsRowShown="0" headerRowDxfId="165">
  <tableColumns count="3">
    <tableColumn id="1" name="Nombre del Departamento" dataDxfId="164"/>
    <tableColumn id="2" name="País" dataDxfId="163"/>
    <tableColumn id="3" name="Concatenado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a17" displayName="Tabla17" ref="A5:C8" totalsRowShown="0" headerRowDxfId="162" tableBorderDxfId="161">
  <tableColumns count="3">
    <tableColumn id="1" name="Nombre de la Ciudad" dataDxfId="160"/>
    <tableColumn id="2" name="Departamento-Estado" dataDxfId="159"/>
    <tableColumn id="6" name="Columna2" dataDxfId="158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a7" displayName="Tabla7" ref="A5:B7" totalsRowShown="0" headerRowDxfId="157" dataDxfId="156" tableBorderDxfId="155">
  <tableColumns count="2">
    <tableColumn id="1" name="Código del Tipo" dataDxfId="154"/>
    <tableColumn id="2" name="Nombre del Tipo" dataDxfId="15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a8" displayName="Tabla8" ref="A5:J8" totalsRowShown="0" headerRowDxfId="152" dataDxfId="151" tableBorderDxfId="150">
  <tableColumns count="10">
    <tableColumn id="1" name="Nombre del Satelite" dataDxfId="149"/>
    <tableColumn id="2" name="Dirección del Satelite" dataDxfId="148"/>
    <tableColumn id="3" name="Tipo de Identificación" dataDxfId="147"/>
    <tableColumn id="4" name="Identificación" dataDxfId="146"/>
    <tableColumn id="5" name="Teléfono" dataDxfId="145"/>
    <tableColumn id="6" name="Fax" dataDxfId="144"/>
    <tableColumn id="7" name="Email" dataDxfId="143"/>
    <tableColumn id="8" name="Ciudad" dataDxfId="142"/>
    <tableColumn id="9" name="Representante Legal" dataDxfId="141"/>
    <tableColumn id="10" name="Activo" dataDxfId="1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" name="Tabla3" displayName="Tabla3" ref="A5:L7" totalsRowShown="0" tableBorderDxfId="139">
  <tableColumns count="12">
    <tableColumn id="1" name="Tipo de Identificación" dataDxfId="138"/>
    <tableColumn id="2" name="Identificación" dataDxfId="137"/>
    <tableColumn id="3" name="Nombre" dataDxfId="136"/>
    <tableColumn id="4" name="Teléfono 1" dataDxfId="135"/>
    <tableColumn id="5" name="Teléfono 2" dataDxfId="134"/>
    <tableColumn id="6" name="Fax" dataDxfId="133"/>
    <tableColumn id="7" name="Dirección" dataDxfId="132"/>
    <tableColumn id="8" name="Celular" dataDxfId="131"/>
    <tableColumn id="9" name="Correo Electrónico" dataDxfId="130" dataCellStyle="Hipervínculo"/>
    <tableColumn id="11" name="Ciudad" dataDxfId="129"/>
    <tableColumn id="13" name="Envio de Correo" dataDxfId="128"/>
    <tableColumn id="15" name="Columna4" dataDxfId="127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20" displayName="Tabla20" ref="A5:E7" totalsRowShown="0" headerRowDxfId="126" dataDxfId="125" tableBorderDxfId="124">
  <tableColumns count="5">
    <tableColumn id="1" name="Cliente " dataDxfId="123"/>
    <tableColumn id="2" name="Nombre del Contacto" dataDxfId="122"/>
    <tableColumn id="3" name="Título" dataDxfId="121"/>
    <tableColumn id="4" name="Teléfono" dataDxfId="120"/>
    <tableColumn id="5" name="Correo Electrónico" dataDxfId="119" dataCellStyle="Hipervínculo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2021" displayName="Tabla2021" ref="A5:H7" totalsRowShown="0" headerRowDxfId="118" dataDxfId="117" tableBorderDxfId="116">
  <tableColumns count="8">
    <tableColumn id="1" name="Nombre" dataDxfId="115"/>
    <tableColumn id="2" name="Teléfono 1" dataDxfId="114"/>
    <tableColumn id="3" name="Teléfono 2" dataDxfId="113"/>
    <tableColumn id="4" name="Fax" dataDxfId="112"/>
    <tableColumn id="9" name="Dirección" dataDxfId="111"/>
    <tableColumn id="10" name="Correo Electrónico 1" dataDxfId="110"/>
    <tableColumn id="7" name="Correo Electrónico 2" dataDxfId="109"/>
    <tableColumn id="5" name="Ciudad " dataDxfId="10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202122" displayName="Tabla202122" ref="A5:K7" totalsRowShown="0" headerRowDxfId="107" tableBorderDxfId="106">
  <tableColumns count="11">
    <tableColumn id="1" name="Transportadora" dataDxfId="105"/>
    <tableColumn id="2" name="Nombre" dataDxfId="104"/>
    <tableColumn id="3" name="Teléfono 1" dataDxfId="103"/>
    <tableColumn id="4" name="Teléfono 2" dataDxfId="102"/>
    <tableColumn id="9" name="Fax" dataDxfId="101"/>
    <tableColumn id="10" name="Dirección" dataDxfId="100"/>
    <tableColumn id="7" name="Ciudad" dataDxfId="99"/>
    <tableColumn id="12" name="Contacto" dataDxfId="98"/>
    <tableColumn id="11" name="Correo Electrónico 1" dataDxfId="97" dataCellStyle="Hipervínculo"/>
    <tableColumn id="5" name="Correo Electrónico 2" dataDxfId="96"/>
    <tableColumn id="13" name="Concatenado" dataDxfId="95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A5:C7" totalsRowShown="0" headerRowDxfId="219" dataDxfId="218" tableBorderDxfId="217">
  <tableColumns count="3">
    <tableColumn id="1" name="Código del Area" dataDxfId="216"/>
    <tableColumn id="2" name="Nombre del Area" dataDxfId="215"/>
    <tableColumn id="3" name="Descripción" dataDxfId="21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20212223" displayName="Tabla20212223" ref="A5:B9" totalsRowShown="0" headerRowDxfId="94" dataDxfId="93" tableBorderDxfId="92">
  <tableColumns count="2">
    <tableColumn id="1" name="Nombre del Método" dataDxfId="91"/>
    <tableColumn id="2" name="Descripción " dataDxfId="9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2021222324" displayName="Tabla2021222324" ref="A5:B7" totalsRowShown="0" headerRowDxfId="89" dataDxfId="88" tableBorderDxfId="87">
  <tableColumns count="2">
    <tableColumn id="1" name="Metodo de Transporte" dataDxfId="86"/>
    <tableColumn id="2" name="Agente de la Transportadora" dataDxfId="8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202122232425" displayName="Tabla202122232425" ref="A5:D6" totalsRowShown="0" headerRowDxfId="84" dataDxfId="83" tableBorderDxfId="82">
  <tableColumns count="4">
    <tableColumn id="1" name="Código" dataDxfId="81"/>
    <tableColumn id="15" name="Nombre" dataDxfId="80"/>
    <tableColumn id="14" name="Afecta la Pagina" dataDxfId="79"/>
    <tableColumn id="2" name="Activa" dataDxfId="7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20212223242526" displayName="Tabla20212223242526" ref="A5:A8" totalsRowShown="0" headerRowDxfId="77" dataDxfId="76" tableBorderDxfId="75">
  <tableColumns count="1">
    <tableColumn id="1" name="Nombre" dataDxfId="7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2021222324252627" displayName="Tabla2021222324252627" ref="A5:A9" totalsRowShown="0" headerRowDxfId="73" dataDxfId="72" tableBorderDxfId="71">
  <tableColumns count="1">
    <tableColumn id="1" name="Nombre" dataDxfId="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20212223242528" displayName="Tabla20212223242528" ref="A5:R6" totalsRowShown="0" headerRowDxfId="69" tableBorderDxfId="68">
  <tableColumns count="18">
    <tableColumn id="1" name="Código de Linea" dataDxfId="67"/>
    <tableColumn id="15" name="Referencia Interna" dataDxfId="66"/>
    <tableColumn id="14" name="Nombre del Artículo" dataDxfId="65"/>
    <tableColumn id="19" name="Reerencia para el proveedor" dataDxfId="64"/>
    <tableColumn id="20" name="Nombre del Artículo para el Proveedor" dataDxfId="63"/>
    <tableColumn id="21" name="Costo Fob" dataDxfId="62"/>
    <tableColumn id="22" name="Moneda" dataDxfId="61"/>
    <tableColumn id="17" name="Descripción" dataDxfId="60"/>
    <tableColumn id="2" name="Inventario Externo" dataDxfId="59"/>
    <tableColumn id="18" name="Costo Cif" dataDxfId="58"/>
    <tableColumn id="27" name="Volumen" dataDxfId="57"/>
    <tableColumn id="28" name="Peso" dataDxfId="56"/>
    <tableColumn id="25" name="Unidad de medida Fob" dataDxfId="55"/>
    <tableColumn id="26" name="Unidad de Medida Cif" dataDxfId="54"/>
    <tableColumn id="23" name="Producto Nacional" dataDxfId="53"/>
    <tableColumn id="24" name="Activo" dataDxfId="52"/>
    <tableColumn id="16" name="Visible en el Catalogo Externo" dataDxfId="51"/>
    <tableColumn id="29" name="Combinado" dataDxfId="50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20212223242529" displayName="Tabla20212223242529" ref="A5:B6" totalsRowShown="0" headerRowDxfId="49" dataDxfId="48" tableBorderDxfId="47">
  <tableColumns count="2">
    <tableColumn id="1" name="Referencia Interna Artículo" dataDxfId="46"/>
    <tableColumn id="15" name="Código del Area" dataDxfId="4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2021222324252930" displayName="Tabla2021222324252930" ref="A5:K6" totalsRowShown="0" headerRowDxfId="44" tableBorderDxfId="43">
  <tableColumns count="11">
    <tableColumn id="1" name="Referencia Interna artículo" dataDxfId="42"/>
    <tableColumn id="24" name="Referencia" dataDxfId="41"/>
    <tableColumn id="23" name="Referencia para el proveedor" dataDxfId="40"/>
    <tableColumn id="22" name="Nombre de la referencia" dataDxfId="39"/>
    <tableColumn id="21" name="Nombre de la referencia para el proveedor" dataDxfId="38"/>
    <tableColumn id="20" name="Descripción" dataDxfId="37"/>
    <tableColumn id="19" name="Cantidad en Bodega Local" dataDxfId="36"/>
    <tableColumn id="18" name="Cantidad en Zona Franca" dataDxfId="35"/>
    <tableColumn id="17" name="Activo" dataDxfId="34"/>
    <tableColumn id="26" name="Cantidad Minima para Alarma" dataDxfId="33"/>
    <tableColumn id="27" name="Combinado" dataDxfId="32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a20212223242531" displayName="Tabla20212223242531" ref="A5:J6" totalsRowShown="0" headerRowDxfId="31" dataDxfId="30" tableBorderDxfId="29">
  <tableColumns count="10">
    <tableColumn id="1" name="Tipo de Identificación" dataDxfId="28"/>
    <tableColumn id="15" name="Identificación" dataDxfId="27"/>
    <tableColumn id="22" name="Código" dataDxfId="26"/>
    <tableColumn id="23" name="Nombre" dataDxfId="25"/>
    <tableColumn id="20" name="Dirección" dataDxfId="24"/>
    <tableColumn id="21" name="Teléfono" dataDxfId="23"/>
    <tableColumn id="18" name="Fax" dataDxfId="22"/>
    <tableColumn id="19" name="Correo Electrónico" dataDxfId="21" dataCellStyle="Hipervínculo"/>
    <tableColumn id="16" name="Contacto" dataDxfId="20"/>
    <tableColumn id="17" name="Ciudad" dataDxfId="1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1" name="Tabla20212223242532" displayName="Tabla20212223242532" ref="A5:B6" totalsRowShown="0" headerRowDxfId="18" dataDxfId="17" tableBorderDxfId="16">
  <tableColumns count="2">
    <tableColumn id="1" name="Código del Proveedor" dataDxfId="15"/>
    <tableColumn id="15" name="Referencia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a10" displayName="Tabla10" ref="A5:B7" totalsRowShown="0" headerRowDxfId="213" dataDxfId="212" tableBorderDxfId="211">
  <tableColumns count="2">
    <tableColumn id="1" name="Actividad" dataDxfId="210"/>
    <tableColumn id="2" name="Area" dataDxfId="20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20212223242533" displayName="Tabla20212223242533" ref="A5:B9" totalsRowShown="0" headerRowDxfId="13" dataDxfId="12" tableBorderDxfId="11">
  <tableColumns count="2">
    <tableColumn id="1" name="Nombre del Método" dataDxfId="10"/>
    <tableColumn id="15" name="Descripción" dataDxfId="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" name="Tabla202122232425332" displayName="Tabla202122232425332" ref="A5:F6" totalsRowShown="0" headerRowDxfId="6" dataDxfId="8" tableBorderDxfId="7">
  <tableColumns count="6">
    <tableColumn id="1" name="Referencia Interna artículo" dataDxfId="5"/>
    <tableColumn id="15" name="Peso" dataDxfId="4"/>
    <tableColumn id="2" name="Tamaño" dataDxfId="3"/>
    <tableColumn id="3" name="Ancho" dataDxfId="2"/>
    <tableColumn id="4" name="Alto" dataDxfId="0"/>
    <tableColumn id="5" name="Cantida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Tabla12" displayName="Tabla12" ref="A5:B9" totalsRowShown="0" headerRowDxfId="208" dataDxfId="207" tableBorderDxfId="206">
  <tableColumns count="2">
    <tableColumn id="1" name="Nombre del Motivo" dataDxfId="205"/>
    <tableColumn id="2" name="Descripción" dataDxfId="20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Tabla13" displayName="Tabla13" ref="A5:B7" totalsRowShown="0" headerRowDxfId="203" dataDxfId="202" tableBorderDxfId="201">
  <tableColumns count="2">
    <tableColumn id="1" name="Nombre del Tipo de Ajuste" dataDxfId="200"/>
    <tableColumn id="2" name="Afectación sobre el Inventario" dataDxfId="19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a14" displayName="Tabla14" ref="A5:C8" totalsRowShown="0" headerRowDxfId="198" dataDxfId="197" tableBorderDxfId="196">
  <tableColumns count="3">
    <tableColumn id="1" name="Tipo de Documento" dataDxfId="195"/>
    <tableColumn id="2" name="Nombre del Tipo de Alarma" dataDxfId="194"/>
    <tableColumn id="3" name="Descripcion" dataDxfId="19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a15" displayName="Tabla15" ref="A5:B7" totalsRowShown="0" headerRowDxfId="192" dataDxfId="191" tableBorderDxfId="190">
  <tableColumns count="2">
    <tableColumn id="1" name="Tipo de Alarma" dataDxfId="189"/>
    <tableColumn id="2" name="Mensaje" dataDxfId="18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a16" displayName="Tabla16" ref="A5:C8" totalsRowShown="0" headerRowDxfId="187" dataDxfId="186" tableBorderDxfId="185">
  <tableColumns count="3">
    <tableColumn id="1" name="Nombre del Motivo" dataDxfId="184"/>
    <tableColumn id="2" name="Tipo de Documento" dataDxfId="183"/>
    <tableColumn id="3" name="Descripción" dataDxfId="1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a18" displayName="Tabla18" ref="A5:C8" totalsRowShown="0" headerRowDxfId="181" dataDxfId="180" tableBorderDxfId="179">
  <tableColumns count="3">
    <tableColumn id="1" name="Nombre del Motivo" dataDxfId="178"/>
    <tableColumn id="2" name="Tipo de Documento" dataDxfId="177"/>
    <tableColumn id="3" name="Descripción" dataDxfId="1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etipress_info@etipress.com.co" TargetMode="External"/><Relationship Id="rId2" Type="http://schemas.openxmlformats.org/officeDocument/2006/relationships/hyperlink" Target="mailto:planta@catalogospromocionales.com" TargetMode="External"/><Relationship Id="rId1" Type="http://schemas.openxmlformats.org/officeDocument/2006/relationships/hyperlink" Target="mailto:mugs@gmail.com" TargetMode="External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hyperlink" Target="mailto:paolaflorezp@gmail.com" TargetMode="External"/><Relationship Id="rId1" Type="http://schemas.openxmlformats.org/officeDocument/2006/relationships/hyperlink" Target="mailto:ardc2440@gmail.com;paolaflorezp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hyperlink" Target="mailto:paolaflorezp@gmail.com" TargetMode="External"/><Relationship Id="rId1" Type="http://schemas.openxmlformats.org/officeDocument/2006/relationships/hyperlink" Target="mailto:ardc2440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hyperlink" Target="mailto:mi_correo@corre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hyperlink" Target="mailto:carmela@fusa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hyperlink" Target="mailto:info@cardasociados.com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5" sqref="B15"/>
    </sheetView>
  </sheetViews>
  <sheetFormatPr baseColWidth="10" defaultRowHeight="15" x14ac:dyDescent="0.25"/>
  <cols>
    <col min="1" max="2" width="11.42578125" style="4"/>
    <col min="3" max="3" width="24.42578125" style="4" customWidth="1"/>
    <col min="4" max="4" width="27.85546875" style="4" customWidth="1"/>
    <col min="5" max="5" width="58.85546875" style="4" customWidth="1"/>
    <col min="6" max="6" width="3.85546875" style="4" customWidth="1"/>
    <col min="7" max="7" width="3.5703125" style="4" customWidth="1"/>
    <col min="8" max="8" width="2.140625" style="4" customWidth="1"/>
    <col min="9" max="9" width="2.42578125" style="4" customWidth="1"/>
    <col min="10" max="10" width="2.140625" style="4" customWidth="1"/>
    <col min="11" max="11" width="1.85546875" style="4" customWidth="1"/>
    <col min="12" max="12" width="2.85546875" style="4" customWidth="1"/>
    <col min="13" max="13" width="14.42578125" style="4" customWidth="1"/>
    <col min="14" max="16384" width="11.42578125" style="4"/>
  </cols>
  <sheetData>
    <row r="1" spans="1:13" ht="45" customHeight="1" x14ac:dyDescent="0.25">
      <c r="A1" s="1" t="s">
        <v>0</v>
      </c>
      <c r="B1" s="64" t="s">
        <v>20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ht="45" customHeight="1" x14ac:dyDescent="0.25">
      <c r="A2" s="2" t="s">
        <v>0</v>
      </c>
      <c r="B2" s="60" t="s">
        <v>21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ht="45" customHeight="1" x14ac:dyDescent="0.25">
      <c r="A3" s="2" t="s">
        <v>0</v>
      </c>
      <c r="B3" s="60" t="s">
        <v>22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1"/>
    </row>
    <row r="4" spans="1:13" ht="45" customHeight="1" x14ac:dyDescent="0.25">
      <c r="A4" s="2" t="s">
        <v>0</v>
      </c>
      <c r="B4" s="60" t="s">
        <v>19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1"/>
    </row>
    <row r="6" spans="1:13" ht="45" customHeight="1" x14ac:dyDescent="0.25">
      <c r="A6" s="2" t="s">
        <v>0</v>
      </c>
      <c r="B6" s="60" t="s">
        <v>12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1"/>
    </row>
    <row r="7" spans="1:13" ht="27" customHeight="1" x14ac:dyDescent="0.25">
      <c r="A7" s="2"/>
      <c r="B7" s="7" t="s">
        <v>11</v>
      </c>
      <c r="C7" s="5" t="s">
        <v>6</v>
      </c>
      <c r="D7" s="8">
        <v>5</v>
      </c>
      <c r="E7" s="5"/>
      <c r="F7" s="5"/>
      <c r="G7" s="5"/>
      <c r="H7" s="5"/>
      <c r="I7" s="5"/>
      <c r="J7" s="5"/>
      <c r="K7" s="5"/>
      <c r="L7" s="5"/>
      <c r="M7" s="6"/>
    </row>
    <row r="8" spans="1:13" ht="12.75" customHeight="1" x14ac:dyDescent="0.25">
      <c r="A8" s="2"/>
      <c r="B8" s="7" t="s">
        <v>11</v>
      </c>
      <c r="C8" s="5" t="s">
        <v>7</v>
      </c>
      <c r="D8" s="8">
        <v>1.5</v>
      </c>
      <c r="E8" s="5"/>
      <c r="F8" s="5"/>
      <c r="G8" s="5"/>
      <c r="H8" s="5"/>
      <c r="I8" s="5"/>
      <c r="J8" s="5"/>
      <c r="K8" s="5"/>
      <c r="L8" s="5"/>
      <c r="M8" s="6"/>
    </row>
    <row r="9" spans="1:13" ht="30" customHeight="1" x14ac:dyDescent="0.25">
      <c r="A9" s="2"/>
      <c r="B9" s="7" t="s">
        <v>11</v>
      </c>
      <c r="C9" s="5" t="s">
        <v>9</v>
      </c>
      <c r="D9" s="8" t="s">
        <v>8</v>
      </c>
      <c r="E9" s="9" t="s">
        <v>10</v>
      </c>
      <c r="F9" s="5"/>
      <c r="G9" s="5"/>
      <c r="H9" s="5"/>
      <c r="I9" s="5"/>
      <c r="J9" s="5"/>
      <c r="K9" s="5"/>
      <c r="L9" s="5"/>
      <c r="M9" s="6"/>
    </row>
    <row r="10" spans="1:13" ht="45" customHeight="1" x14ac:dyDescent="0.25">
      <c r="A10" s="2" t="s">
        <v>0</v>
      </c>
      <c r="B10" s="60" t="s">
        <v>23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1"/>
    </row>
    <row r="11" spans="1:13" ht="45" customHeight="1" x14ac:dyDescent="0.25">
      <c r="A11" s="2" t="s">
        <v>0</v>
      </c>
      <c r="B11" s="60" t="s">
        <v>24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1"/>
    </row>
    <row r="12" spans="1:13" ht="45" customHeight="1" x14ac:dyDescent="0.25">
      <c r="A12" s="3" t="s">
        <v>0</v>
      </c>
      <c r="B12" s="62" t="s">
        <v>25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3"/>
    </row>
  </sheetData>
  <mergeCells count="8">
    <mergeCell ref="B11:M11"/>
    <mergeCell ref="B12:M12"/>
    <mergeCell ref="B6:M6"/>
    <mergeCell ref="B1:M1"/>
    <mergeCell ref="B2:M2"/>
    <mergeCell ref="B3:M3"/>
    <mergeCell ref="B10:M10"/>
    <mergeCell ref="B4:M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4.28515625" style="23" customWidth="1"/>
    <col min="2" max="2" width="22.7109375" style="23" customWidth="1"/>
    <col min="3" max="3" width="24.140625" style="23" customWidth="1"/>
    <col min="4" max="4" width="1.85546875" style="15" customWidth="1"/>
    <col min="5" max="8" width="11.42578125" style="15"/>
    <col min="9" max="14" width="0" style="15" hidden="1" customWidth="1"/>
    <col min="15" max="16384" width="11.42578125" style="15"/>
  </cols>
  <sheetData>
    <row r="1" spans="1:26" ht="45" customHeight="1" x14ac:dyDescent="0.25">
      <c r="A1" s="28" t="s">
        <v>49</v>
      </c>
      <c r="B1" s="33"/>
      <c r="C1" s="33"/>
    </row>
    <row r="2" spans="1:26" x14ac:dyDescent="0.25">
      <c r="A2" s="34" t="s">
        <v>3</v>
      </c>
      <c r="B2" s="34" t="s">
        <v>3</v>
      </c>
      <c r="C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36"/>
      <c r="T3" s="53" t="s">
        <v>222</v>
      </c>
      <c r="U3" s="53"/>
      <c r="V3" s="53" t="s">
        <v>223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  <c r="C4" s="31" t="s">
        <v>18</v>
      </c>
    </row>
    <row r="5" spans="1:26" s="17" customFormat="1" x14ac:dyDescent="0.25">
      <c r="A5" s="32" t="s">
        <v>30</v>
      </c>
      <c r="B5" s="32" t="s">
        <v>39</v>
      </c>
      <c r="C5" s="32" t="s">
        <v>16</v>
      </c>
    </row>
    <row r="6" spans="1:26" x14ac:dyDescent="0.25">
      <c r="A6" s="23" t="s">
        <v>219</v>
      </c>
      <c r="B6" s="23" t="s">
        <v>42</v>
      </c>
      <c r="P6" s="53" t="str">
        <f>CONCATENATE("DECLARE @IDDOCUMENT SMALLINT = (SELECT DOCUMENT_TYPE_ID FROM document_types WHERE DOCUMENT_TYPE_NAME = '",B6,"')")</f>
        <v>DECLARE @IDDOCUMENT SMALLINT = (SELECT DOCUMENT_TYPE_ID FROM document_types WHERE DOCUMENT_TYPE_NAME = 'Pedido')</v>
      </c>
      <c r="R6" s="53" t="str">
        <f>CONCATENATE($W$2,A6,$W$2,$X$2,"@IDDOCUMENT",$X$2,IF(LEN(C6)&gt;0,CONCATENATE($W$2,C6,$W$2),$Z$2))</f>
        <v>'Error en cantidades',@IDDOCUMENT,NULL</v>
      </c>
      <c r="T6" s="59" t="str">
        <f>CONCATENATE(P6," ",$T$2,$T$3,$V$2,$V$3,$Y$2,$U$2,$V$2,R6,$Y$2,CHAR(10),"GO")</f>
        <v>DECLARE @IDDOCUMENT SMALLINT = (SELECT DOCUMENT_TYPE_ID FROM document_types WHERE DOCUMENT_TYPE_NAME = 'Pedido') insert into modification_reasons (MODIFICATION_REASON_NAME, DOCUMENT_TYPE_ID, NOTES) values  ('Error en cantidades',@IDDOCUMENT,NULL)
GO</v>
      </c>
    </row>
    <row r="7" spans="1:26" x14ac:dyDescent="0.25">
      <c r="A7" s="23" t="s">
        <v>220</v>
      </c>
      <c r="B7" s="23" t="s">
        <v>41</v>
      </c>
      <c r="I7" s="15" t="s">
        <v>41</v>
      </c>
      <c r="P7" s="53" t="str">
        <f t="shared" ref="P7:P8" si="0">CONCATENATE("DECLARE @IDDOCUMENT SMALLINT = (SELECT DOCUMENT_TYPE_ID FROM document_types WHERE DOCUMENT_TYPE_NAME = '",B7,"')")</f>
        <v>DECLARE @IDDOCUMENT SMALLINT = (SELECT DOCUMENT_TYPE_ID FROM document_types WHERE DOCUMENT_TYPE_NAME = 'Orden')</v>
      </c>
      <c r="R7" s="53" t="str">
        <f t="shared" ref="R7:R8" si="1">CONCATENATE($W$2,A7,$W$2,$X$2,"@IDDOCUMENT",$X$2,IF(LEN(C7)&gt;0,CONCATENATE($W$2,C7,$W$2),$Z$2))</f>
        <v>'Eliminar Articulos',@IDDOCUMENT,NULL</v>
      </c>
      <c r="T7" s="59" t="str">
        <f t="shared" ref="T7:T8" si="2">CONCATENATE(P7," ",$T$2,$T$3,$V$2,$V$3,$Y$2,$U$2,$V$2,R7,$Y$2,CHAR(10),"GO")</f>
        <v>DECLARE @IDDOCUMENT SMALLINT = (SELECT DOCUMENT_TYPE_ID FROM document_types WHERE DOCUMENT_TYPE_NAME = 'Orden') insert into modification_reasons (MODIFICATION_REASON_NAME, DOCUMENT_TYPE_ID, NOTES) values  ('Eliminar Articulos',@IDDOCUMENT,NULL)
GO</v>
      </c>
    </row>
    <row r="8" spans="1:26" x14ac:dyDescent="0.25">
      <c r="A8" s="23" t="s">
        <v>221</v>
      </c>
      <c r="B8" s="23" t="s">
        <v>43</v>
      </c>
      <c r="I8" s="15" t="s">
        <v>42</v>
      </c>
      <c r="P8" s="53" t="str">
        <f t="shared" si="0"/>
        <v>DECLARE @IDDOCUMENT SMALLINT = (SELECT DOCUMENT_TYPE_ID FROM document_types WHERE DOCUMENT_TYPE_NAME = 'Reserva')</v>
      </c>
      <c r="R8" s="53" t="str">
        <f t="shared" si="1"/>
        <v>'Cambio de vencimiento',@IDDOCUMENT,NULL</v>
      </c>
      <c r="T8" s="59" t="str">
        <f t="shared" si="2"/>
        <v>DECLARE @IDDOCUMENT SMALLINT = (SELECT DOCUMENT_TYPE_ID FROM document_types WHERE DOCUMENT_TYPE_NAME = 'Reserva') insert into modification_reasons (MODIFICATION_REASON_NAME, DOCUMENT_TYPE_ID, NOTES) values  ('Cambio de vencimiento',@IDDOCUMENT,NULL)
GO</v>
      </c>
    </row>
    <row r="9" spans="1:26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3" sqref="T3"/>
    </sheetView>
  </sheetViews>
  <sheetFormatPr baseColWidth="10" defaultRowHeight="15" x14ac:dyDescent="0.25"/>
  <cols>
    <col min="1" max="1" width="24.28515625" style="23" customWidth="1"/>
    <col min="2" max="2" width="32.28515625" style="23" bestFit="1" customWidth="1"/>
    <col min="3" max="3" width="1.85546875" style="15" customWidth="1"/>
    <col min="4" max="7" width="11.42578125" style="15"/>
    <col min="8" max="16" width="0" style="15" hidden="1" customWidth="1"/>
    <col min="17" max="16384" width="11.42578125" style="15"/>
  </cols>
  <sheetData>
    <row r="1" spans="1:26" ht="45.75" customHeight="1" x14ac:dyDescent="0.25">
      <c r="A1" s="28" t="s">
        <v>50</v>
      </c>
      <c r="B1" s="33"/>
    </row>
    <row r="2" spans="1:26" x14ac:dyDescent="0.25">
      <c r="A2" s="34" t="s">
        <v>3</v>
      </c>
      <c r="B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228</v>
      </c>
      <c r="U3" s="53"/>
      <c r="V3" s="53" t="s">
        <v>229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51</v>
      </c>
    </row>
    <row r="5" spans="1:26" s="17" customFormat="1" x14ac:dyDescent="0.25">
      <c r="A5" s="32" t="s">
        <v>30</v>
      </c>
      <c r="B5" s="32" t="s">
        <v>16</v>
      </c>
    </row>
    <row r="6" spans="1:26" x14ac:dyDescent="0.25">
      <c r="A6" s="23" t="s">
        <v>224</v>
      </c>
      <c r="B6" s="23" t="s">
        <v>227</v>
      </c>
      <c r="R6" s="53" t="str">
        <f>CONCATENATE($W$2,A6,$W$2,$X$2,IF(LEN(C6)&gt;0,CONCATENATE($W$2,C6,$W$2),$Z$2))</f>
        <v>'Falta de Articulos',NULL</v>
      </c>
      <c r="T6" s="59" t="str">
        <f>CONCATENATE($T$2,$T$3,$V$2,$V$3,$Y$2,$U$2,$V$2,R6,$Y$2)</f>
        <v>insert into close_customer_order_reasons (CLOSE_REASON_NAME, CLOSE_REASON_NOTES) values  ('Falta de Articulos',NULL)</v>
      </c>
    </row>
    <row r="7" spans="1:26" x14ac:dyDescent="0.25">
      <c r="A7" s="23" t="s">
        <v>225</v>
      </c>
      <c r="R7" s="53" t="str">
        <f t="shared" ref="R7:R8" si="0">CONCATENATE($W$2,A7,$W$2,$X$2,IF(LEN(C7)&gt;0,CONCATENATE($W$2,C7,$W$2),$Z$2))</f>
        <v>'Solicitud del Cliente',NULL</v>
      </c>
      <c r="T7" s="59" t="str">
        <f t="shared" ref="T7:T8" si="1">CONCATENATE($T$2,$T$3,$V$2,$V$3,$Y$2,$U$2,$V$2,R7,$Y$2)</f>
        <v>insert into close_customer_order_reasons (CLOSE_REASON_NAME, CLOSE_REASON_NOTES) values  ('Solicitud del Cliente',NULL)</v>
      </c>
    </row>
    <row r="8" spans="1:26" x14ac:dyDescent="0.25">
      <c r="A8" s="23" t="s">
        <v>226</v>
      </c>
      <c r="R8" s="53" t="str">
        <f t="shared" si="0"/>
        <v>'Error en Pedido',NULL</v>
      </c>
      <c r="T8" s="59" t="str">
        <f t="shared" si="1"/>
        <v>insert into close_customer_order_reasons (CLOSE_REASON_NAME, CLOSE_REASON_NOTES) values  ('Error en Pedido',NULL)</v>
      </c>
    </row>
    <row r="9" spans="1:26" x14ac:dyDescent="0.25">
      <c r="R9" s="53"/>
      <c r="T9" s="59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3.42578125" style="23" customWidth="1"/>
    <col min="2" max="2" width="22.85546875" style="23" customWidth="1"/>
    <col min="3" max="3" width="2" hidden="1" customWidth="1"/>
    <col min="4" max="6" width="11.42578125" style="15"/>
    <col min="7" max="16" width="0" style="15" hidden="1" customWidth="1"/>
    <col min="17" max="16384" width="11.42578125" style="15"/>
  </cols>
  <sheetData>
    <row r="1" spans="1:26" ht="45.75" customHeight="1" x14ac:dyDescent="0.25">
      <c r="A1" s="28" t="s">
        <v>58</v>
      </c>
      <c r="B1" s="33"/>
      <c r="C1" s="4"/>
    </row>
    <row r="2" spans="1:26" x14ac:dyDescent="0.25">
      <c r="A2" s="34" t="s">
        <v>3</v>
      </c>
      <c r="B2" s="34" t="s">
        <v>3</v>
      </c>
      <c r="C2" s="10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10"/>
      <c r="T3" s="53" t="s">
        <v>231</v>
      </c>
      <c r="U3" s="53"/>
      <c r="V3" s="53" t="s">
        <v>230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54</v>
      </c>
      <c r="C4" s="10"/>
    </row>
    <row r="5" spans="1:26" s="17" customFormat="1" x14ac:dyDescent="0.25">
      <c r="A5" s="32" t="s">
        <v>52</v>
      </c>
      <c r="B5" s="32" t="s">
        <v>53</v>
      </c>
      <c r="C5" s="18"/>
    </row>
    <row r="6" spans="1:26" x14ac:dyDescent="0.25">
      <c r="A6" s="23" t="s">
        <v>60</v>
      </c>
      <c r="B6" s="23" t="s">
        <v>61</v>
      </c>
      <c r="R6" s="53" t="str">
        <f>CONCATENATE($W$2,A6,$W$2,$X$2,$W$2,B6,$W$2)</f>
        <v>'Colombia','CO'</v>
      </c>
      <c r="T6" s="59" t="str">
        <f>CONCATENATE($T$2,$T$3,$V$2,$V$3,$Y$2,$U$2,$V$2,R6,$Y$2)</f>
        <v>insert into countries (COUNTRY_NAME, COUNTRY_CODE) values  ('Colombia','CO')</v>
      </c>
    </row>
    <row r="7" spans="1:26" x14ac:dyDescent="0.25">
      <c r="A7" s="23" t="s">
        <v>109</v>
      </c>
      <c r="B7" s="23" t="s">
        <v>110</v>
      </c>
      <c r="R7" s="53" t="str">
        <f>CONCATENATE($W$2,A7,$W$2,$X$2,$W$2,B7,$W$2)</f>
        <v>'Estados Unidos','USA'</v>
      </c>
      <c r="T7" s="59" t="str">
        <f t="shared" ref="T7" si="0">CONCATENATE($T$2,$T$3,$V$2,$V$3,$Y$2,$U$2,$V$2,R7,$Y$2)</f>
        <v>insert into countries (COUNTRY_NAME, COUNTRY_CODE) values  ('Estados Unidos','USA')</v>
      </c>
    </row>
    <row r="8" spans="1:26" x14ac:dyDescent="0.25">
      <c r="R8" s="53"/>
      <c r="T8" s="5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7" style="23" customWidth="1"/>
    <col min="2" max="2" width="23.7109375" style="23" customWidth="1"/>
    <col min="3" max="3" width="17.140625" hidden="1" customWidth="1"/>
    <col min="4" max="6" width="11.42578125" style="15"/>
    <col min="7" max="14" width="0" style="15" hidden="1" customWidth="1"/>
    <col min="15" max="16384" width="11.42578125" style="15"/>
  </cols>
  <sheetData>
    <row r="1" spans="1:26" ht="46.5" customHeight="1" x14ac:dyDescent="0.25">
      <c r="A1" s="28" t="s">
        <v>57</v>
      </c>
      <c r="B1" s="33"/>
      <c r="C1" s="4"/>
    </row>
    <row r="2" spans="1:26" x14ac:dyDescent="0.25">
      <c r="A2" s="34" t="s">
        <v>3</v>
      </c>
      <c r="B2" s="34" t="s">
        <v>3</v>
      </c>
      <c r="C2" s="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4"/>
      <c r="T3" s="53" t="s">
        <v>232</v>
      </c>
      <c r="U3" s="53"/>
      <c r="V3" s="53" t="s">
        <v>233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  <c r="C4" s="4"/>
    </row>
    <row r="5" spans="1:26" s="20" customFormat="1" x14ac:dyDescent="0.25">
      <c r="A5" s="32" t="s">
        <v>55</v>
      </c>
      <c r="B5" s="32" t="s">
        <v>117</v>
      </c>
      <c r="C5" s="19" t="s">
        <v>108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23" t="s">
        <v>62</v>
      </c>
      <c r="B6" s="23" t="s">
        <v>61</v>
      </c>
      <c r="C6" t="str">
        <f>IF(B6&lt;&gt;"",IF(A6&lt;&gt;"",CONCATENATE(B6,"-",A6),""),"")</f>
        <v>CO-Cundinamarca</v>
      </c>
      <c r="P6" s="53" t="str">
        <f>CONCATENATE("DECLARE @IDCOUNTRY INT = (SELECT COUNTRY_ID FROM countries WHERE COUNTRY_CODE = '",B6,"')")</f>
        <v>DECLARE @IDCOUNTRY INT = (SELECT COUNTRY_ID FROM countries WHERE COUNTRY_CODE = 'CO')</v>
      </c>
      <c r="R6" s="53" t="str">
        <f>CONCATENATE($W$2,A6,$W$2,$X$2,"@IDCOUNTRY")</f>
        <v>'Cundinamarca',@IDCOUNTRY</v>
      </c>
      <c r="T6" s="59" t="str">
        <f>CONCATENATE(P6," ",$T$2,$T$3,$V$2,$V$3,$Y$2,$U$2,$V$2,R6,$Y$2,CHAR(10),"GO")</f>
        <v>DECLARE @IDCOUNTRY INT = (SELECT COUNTRY_ID FROM countries WHERE COUNTRY_CODE = 'CO') insert into departments (DEPARTMENT_NAME, COUNTRY_ID) values  ('Cundinamarca',@IDCOUNTRY)
GO</v>
      </c>
    </row>
    <row r="7" spans="1:26" x14ac:dyDescent="0.25">
      <c r="A7" s="23" t="s">
        <v>82</v>
      </c>
      <c r="B7" s="23" t="s">
        <v>61</v>
      </c>
      <c r="C7" t="str">
        <f>IF(B7&lt;&gt;"",IF(A7&lt;&gt;"",CONCATENATE(B7,"-",A7),""),"")</f>
        <v>CO-Antioquia</v>
      </c>
      <c r="P7" s="53" t="str">
        <f t="shared" ref="P7:P8" si="0">CONCATENATE("DECLARE @IDCOUNTRY INT = (SELECT COUNTRY_ID FROM countries WHERE COUNTRY_CODE = '",B7,"')")</f>
        <v>DECLARE @IDCOUNTRY INT = (SELECT COUNTRY_ID FROM countries WHERE COUNTRY_CODE = 'CO')</v>
      </c>
      <c r="R7" s="53" t="str">
        <f t="shared" ref="R7:R8" si="1">CONCATENATE($W$2,A7,$W$2,$X$2,"@IDCOUNTRY")</f>
        <v>'Antioquia',@IDCOUNTRY</v>
      </c>
      <c r="T7" s="59" t="str">
        <f t="shared" ref="T7:T8" si="2">CONCATENATE(P7," ",$T$2,$T$3,$V$2,$V$3,$Y$2,$U$2,$V$2,R7,$Y$2,CHAR(10),"GO")</f>
        <v>DECLARE @IDCOUNTRY INT = (SELECT COUNTRY_ID FROM countries WHERE COUNTRY_CODE = 'CO') insert into departments (DEPARTMENT_NAME, COUNTRY_ID) values  ('Antioquia',@IDCOUNTRY)
GO</v>
      </c>
    </row>
    <row r="8" spans="1:26" x14ac:dyDescent="0.25">
      <c r="A8" s="23" t="s">
        <v>111</v>
      </c>
      <c r="B8" s="23" t="s">
        <v>110</v>
      </c>
      <c r="C8" t="str">
        <f>IF(B8&lt;&gt;"",IF(A8&lt;&gt;"",CONCATENATE(B8,"-",A8),""),"")</f>
        <v>USA-Florida</v>
      </c>
      <c r="P8" s="53" t="str">
        <f t="shared" si="0"/>
        <v>DECLARE @IDCOUNTRY INT = (SELECT COUNTRY_ID FROM countries WHERE COUNTRY_CODE = 'USA')</v>
      </c>
      <c r="R8" s="53" t="str">
        <f t="shared" si="1"/>
        <v>'Florida',@IDCOUNTRY</v>
      </c>
      <c r="T8" s="59" t="str">
        <f t="shared" si="2"/>
        <v>DECLARE @IDCOUNTRY INT = (SELECT COUNTRY_ID FROM countries WHERE COUNTRY_CODE = 'USA') insert into departments (DEPARTMENT_NAME, COUNTRY_ID) values  ('Florida',@IDCOUNTRY)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Paises!$B$6:$B$100000</xm:f>
          </x14:formula1>
          <xm:sqref>B6:B8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7" sqref="T7"/>
    </sheetView>
  </sheetViews>
  <sheetFormatPr baseColWidth="10" defaultRowHeight="15" x14ac:dyDescent="0.25"/>
  <cols>
    <col min="1" max="1" width="22.140625" style="23" customWidth="1"/>
    <col min="2" max="2" width="21" style="23" customWidth="1"/>
    <col min="3" max="3" width="24" hidden="1" customWidth="1"/>
    <col min="4" max="5" width="11.42578125" style="15"/>
    <col min="6" max="14" width="0" style="15" hidden="1" customWidth="1"/>
    <col min="15" max="16384" width="11.42578125" style="15"/>
  </cols>
  <sheetData>
    <row r="1" spans="1:26" ht="45" customHeight="1" x14ac:dyDescent="0.25">
      <c r="A1" s="28" t="s">
        <v>56</v>
      </c>
      <c r="B1" s="33"/>
      <c r="C1" s="4"/>
    </row>
    <row r="2" spans="1:26" x14ac:dyDescent="0.25">
      <c r="A2" s="34" t="s">
        <v>3</v>
      </c>
      <c r="B2" s="34" t="s">
        <v>3</v>
      </c>
      <c r="C2" s="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4"/>
      <c r="T3" s="53" t="s">
        <v>369</v>
      </c>
      <c r="U3" s="53"/>
      <c r="V3" s="53" t="s">
        <v>370</v>
      </c>
      <c r="W3" s="53"/>
      <c r="X3" s="53"/>
      <c r="Y3" s="53"/>
      <c r="Z3" s="53"/>
    </row>
    <row r="4" spans="1:26" ht="15.75" thickBot="1" x14ac:dyDescent="0.3">
      <c r="A4" s="31" t="s">
        <v>63</v>
      </c>
      <c r="B4" s="31"/>
      <c r="C4" s="4"/>
    </row>
    <row r="5" spans="1:26" s="17" customFormat="1" x14ac:dyDescent="0.25">
      <c r="A5" s="32" t="s">
        <v>59</v>
      </c>
      <c r="B5" s="32" t="s">
        <v>116</v>
      </c>
      <c r="C5" s="21" t="s">
        <v>80</v>
      </c>
    </row>
    <row r="6" spans="1:26" x14ac:dyDescent="0.25">
      <c r="A6" s="23" t="s">
        <v>91</v>
      </c>
      <c r="B6" s="23" t="s">
        <v>77</v>
      </c>
      <c r="C6" s="4" t="str">
        <f>IF(B6&lt;&gt;"",IF(A6&lt;&gt;"",CONCATENATE(B6,"-",A6),""),"")</f>
        <v>CO-Cundinamarca-Bogota</v>
      </c>
      <c r="P6" s="53" t="str">
        <f>CONCATENATE("DECLARE @IDDEPARTAMENT INT = (SELECT DEPARTMENT_ID from departments a join countries b ON b.COUNTRY_ID = a.COUNTRY_ID WHERE B.COUNTRY_CODE+'-'+A.DEPARTMENT_NAME = '",B6,"')")</f>
        <v>DECLARE @IDDEPARTAMENT INT = (SELECT DEPARTMENT_ID from departments a join countries b ON b.COUNTRY_ID = a.COUNTRY_ID WHERE B.COUNTRY_CODE+'-'+A.DEPARTMENT_NAME = 'CO-Cundinamarca')</v>
      </c>
      <c r="R6" s="53" t="str">
        <f>CONCATENATE($W$2,A6,$W$2,$X$2,"@IDDEPARTAMENT")</f>
        <v>'Bogota',@IDDEPARTAMENT</v>
      </c>
      <c r="T6" s="59" t="str">
        <f>CONCATENATE(P6," ",$T$2,$T$3,$V$2,$V$3,$Y$2,$U$2,$V$2,R6,$Y$2,CHAR(10),"GO")</f>
        <v>DECLARE @IDDEPARTAMENT INT = (SELECT DEPARTMENT_ID from departments a join countries b ON b.COUNTRY_ID = a.COUNTRY_ID WHERE B.COUNTRY_CODE+'-'+A.DEPARTMENT_NAME = 'CO-Cundinamarca') insert into cities (CITY_NAME, DEPARTMENT_ID) values  ('Bogota',@IDDEPARTAMENT)
GO</v>
      </c>
    </row>
    <row r="7" spans="1:26" x14ac:dyDescent="0.25">
      <c r="A7" s="23" t="s">
        <v>81</v>
      </c>
      <c r="B7" s="23" t="s">
        <v>77</v>
      </c>
      <c r="C7" s="14" t="str">
        <f>IF(B7&lt;&gt;"",IF(A7&lt;&gt;"",CONCATENATE(B7,"-",A7),""),"")</f>
        <v>CO-Cundinamarca-Chia</v>
      </c>
      <c r="P7" s="53" t="str">
        <f t="shared" ref="P7:P8" si="0">CONCATENATE("DECLARE @IDDEPARTAMENT INT = (SELECT DEPARTMENT_ID from departments a join countries b ON b.COUNTRY_ID = a.COUNTRY_ID WHERE B.COUNTRY_CODE+'-'+A.DEPARTMENT_NAME = '",B7,"')")</f>
        <v>DECLARE @IDDEPARTAMENT INT = (SELECT DEPARTMENT_ID from departments a join countries b ON b.COUNTRY_ID = a.COUNTRY_ID WHERE B.COUNTRY_CODE+'-'+A.DEPARTMENT_NAME = 'CO-Cundinamarca')</v>
      </c>
      <c r="R7" s="53" t="str">
        <f t="shared" ref="R7:R8" si="1">CONCATENATE($W$2,A7,$W$2,$X$2,"@IDDEPARTAMENT")</f>
        <v>'Chia',@IDDEPARTAMENT</v>
      </c>
      <c r="T7" s="59" t="str">
        <f t="shared" ref="T7:T8" si="2">CONCATENATE(P7," ",$T$2,$T$3,$V$2,$V$3,$Y$2,$U$2,$V$2,R7,$Y$2,CHAR(10),"GO")</f>
        <v>DECLARE @IDDEPARTAMENT INT = (SELECT DEPARTMENT_ID from departments a join countries b ON b.COUNTRY_ID = a.COUNTRY_ID WHERE B.COUNTRY_CODE+'-'+A.DEPARTMENT_NAME = 'CO-Cundinamarca') insert into cities (CITY_NAME, DEPARTMENT_ID) values  ('Chia',@IDDEPARTAMENT)
GO</v>
      </c>
    </row>
    <row r="8" spans="1:26" x14ac:dyDescent="0.25">
      <c r="A8" s="23" t="s">
        <v>112</v>
      </c>
      <c r="B8" s="23" t="s">
        <v>113</v>
      </c>
      <c r="C8" s="14" t="str">
        <f>IF(B8&lt;&gt;"",IF(A8&lt;&gt;"",CONCATENATE(B8,"-",A8),""),"")</f>
        <v>USA-Florida-Miami</v>
      </c>
      <c r="P8" s="53" t="str">
        <f t="shared" si="0"/>
        <v>DECLARE @IDDEPARTAMENT INT = (SELECT DEPARTMENT_ID from departments a join countries b ON b.COUNTRY_ID = a.COUNTRY_ID WHERE B.COUNTRY_CODE+'-'+A.DEPARTMENT_NAME = 'USA-Florida')</v>
      </c>
      <c r="R8" s="53" t="str">
        <f t="shared" si="1"/>
        <v>'Miami',@IDDEPARTAMENT</v>
      </c>
      <c r="T8" s="59" t="str">
        <f t="shared" si="2"/>
        <v>DECLARE @IDDEPARTAMENT INT = (SELECT DEPARTMENT_ID from departments a join countries b ON b.COUNTRY_ID = a.COUNTRY_ID WHERE B.COUNTRY_CODE+'-'+A.DEPARTMENT_NAME = 'USA-Florida') insert into cities (CITY_NAME, DEPARTMENT_ID) values  ('Miami',@IDDEPARTAMENT)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'Departamentos-Estados'!$C$6:$C$100000</xm:f>
          </x14:formula1>
          <xm:sqref>B6:B8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4.140625" style="23" customWidth="1"/>
    <col min="2" max="2" width="24" style="23" customWidth="1"/>
    <col min="3" max="3" width="2.28515625" style="15" customWidth="1"/>
    <col min="4" max="6" width="11.42578125" style="15"/>
    <col min="7" max="16" width="0" style="15" hidden="1" customWidth="1"/>
    <col min="17" max="16384" width="11.42578125" style="15"/>
  </cols>
  <sheetData>
    <row r="1" spans="1:26" ht="45" customHeight="1" x14ac:dyDescent="0.25">
      <c r="A1" s="28" t="s">
        <v>67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236</v>
      </c>
      <c r="U3" s="53"/>
      <c r="V3" s="53" t="s">
        <v>237</v>
      </c>
      <c r="W3" s="53"/>
      <c r="X3" s="53"/>
      <c r="Y3" s="53"/>
      <c r="Z3" s="53"/>
    </row>
    <row r="4" spans="1:26" ht="15.75" thickBot="1" x14ac:dyDescent="0.3">
      <c r="A4" s="31" t="s">
        <v>64</v>
      </c>
      <c r="B4" s="31" t="s">
        <v>31</v>
      </c>
    </row>
    <row r="5" spans="1:26" s="17" customFormat="1" x14ac:dyDescent="0.25">
      <c r="A5" s="32" t="s">
        <v>65</v>
      </c>
      <c r="B5" s="32" t="s">
        <v>66</v>
      </c>
    </row>
    <row r="6" spans="1:26" x14ac:dyDescent="0.25">
      <c r="A6" s="23" t="s">
        <v>114</v>
      </c>
      <c r="B6" s="23" t="s">
        <v>115</v>
      </c>
      <c r="R6" s="53" t="str">
        <f>CONCATENATE($W$2,A6,$W$2,$X$2,$W$2,B6,$W$2)</f>
        <v>'CC','Cédula de Ciudadania'</v>
      </c>
      <c r="T6" s="59" t="str">
        <f>CONCATENATE($T$2,$T$3,$V$2,$V$3,$Y$2,$U$2,$V$2,R6,$Y$2)</f>
        <v>insert into identity_types (IDENTITY_TYPE_CODE, IDENTITY_TYPE_NAME) values  ('CC','Cédula de Ciudadania')</v>
      </c>
    </row>
    <row r="7" spans="1:26" x14ac:dyDescent="0.25">
      <c r="A7" s="23" t="s">
        <v>234</v>
      </c>
      <c r="B7" s="23" t="s">
        <v>235</v>
      </c>
      <c r="R7" s="53" t="str">
        <f>CONCATENATE($W$2,A7,$W$2,$X$2,$W$2,B7,$W$2)</f>
        <v>'NIT','Nit Empresa'</v>
      </c>
      <c r="T7" s="59" t="str">
        <f t="shared" ref="T7" si="0">CONCATENATE($T$2,$T$3,$V$2,$V$3,$Y$2,$U$2,$V$2,R7,$Y$2)</f>
        <v>insert into identity_types (IDENTITY_TYPE_CODE, IDENTITY_TYPE_NAME) values  ('NIT','Nit Empresa')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D1"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1" style="23" customWidth="1"/>
    <col min="2" max="2" width="22" style="23" customWidth="1"/>
    <col min="3" max="3" width="22.28515625" style="23" customWidth="1"/>
    <col min="4" max="7" width="17" style="23" customWidth="1"/>
    <col min="8" max="8" width="24" style="23" bestFit="1" customWidth="1"/>
    <col min="9" max="9" width="21.85546875" style="23" customWidth="1"/>
    <col min="10" max="10" width="11.28515625" style="23" customWidth="1"/>
    <col min="11" max="11" width="2.42578125" style="15" customWidth="1"/>
    <col min="12" max="12" width="11.42578125" style="15"/>
    <col min="13" max="13" width="11.42578125" style="15" customWidth="1"/>
    <col min="14" max="14" width="11.42578125" style="15" hidden="1" customWidth="1"/>
    <col min="15" max="16" width="11.42578125" style="15" customWidth="1"/>
    <col min="17" max="16384" width="11.42578125" style="15"/>
  </cols>
  <sheetData>
    <row r="1" spans="1:26" ht="45" customHeight="1" x14ac:dyDescent="0.25">
      <c r="A1" s="28" t="s">
        <v>68</v>
      </c>
      <c r="B1" s="33"/>
      <c r="C1" s="28"/>
      <c r="D1" s="33"/>
      <c r="E1" s="33"/>
      <c r="F1" s="33"/>
      <c r="G1" s="33"/>
      <c r="H1" s="33"/>
      <c r="I1" s="33"/>
      <c r="J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/>
      <c r="G2" s="34"/>
      <c r="H2" s="34" t="s">
        <v>3</v>
      </c>
      <c r="I2" s="34" t="s">
        <v>3</v>
      </c>
      <c r="J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36" t="s">
        <v>28</v>
      </c>
      <c r="D3" s="36"/>
      <c r="E3" s="36"/>
      <c r="F3" s="36"/>
      <c r="G3" s="36"/>
      <c r="H3" s="36" t="s">
        <v>78</v>
      </c>
      <c r="I3" s="36"/>
      <c r="J3" s="36" t="s">
        <v>28</v>
      </c>
      <c r="T3" s="53" t="s">
        <v>238</v>
      </c>
      <c r="U3" s="53"/>
      <c r="V3" s="53" t="s">
        <v>239</v>
      </c>
      <c r="W3" s="53"/>
      <c r="X3" s="53"/>
      <c r="Y3" s="53"/>
      <c r="Z3" s="53"/>
    </row>
    <row r="4" spans="1:26" ht="15.75" thickBot="1" x14ac:dyDescent="0.3">
      <c r="A4" s="31" t="s">
        <v>87</v>
      </c>
      <c r="B4" s="31" t="s">
        <v>87</v>
      </c>
      <c r="C4" s="31"/>
      <c r="D4" s="31" t="s">
        <v>88</v>
      </c>
      <c r="E4" s="31" t="s">
        <v>89</v>
      </c>
      <c r="F4" s="31" t="s">
        <v>89</v>
      </c>
      <c r="G4" s="31" t="s">
        <v>31</v>
      </c>
      <c r="H4" s="31"/>
      <c r="I4" s="31" t="s">
        <v>17</v>
      </c>
      <c r="J4" s="31"/>
    </row>
    <row r="5" spans="1:26" s="16" customFormat="1" x14ac:dyDescent="0.25">
      <c r="A5" s="32" t="s">
        <v>69</v>
      </c>
      <c r="B5" s="32" t="s">
        <v>70</v>
      </c>
      <c r="C5" s="32" t="s">
        <v>71</v>
      </c>
      <c r="D5" s="32" t="s">
        <v>72</v>
      </c>
      <c r="E5" s="32" t="s">
        <v>73</v>
      </c>
      <c r="F5" s="32" t="s">
        <v>74</v>
      </c>
      <c r="G5" s="32" t="s">
        <v>75</v>
      </c>
      <c r="H5" s="32" t="s">
        <v>76</v>
      </c>
      <c r="I5" s="32" t="s">
        <v>83</v>
      </c>
      <c r="J5" s="32" t="s">
        <v>84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23" t="s">
        <v>250</v>
      </c>
      <c r="B6" s="23" t="s">
        <v>241</v>
      </c>
      <c r="C6" s="23" t="s">
        <v>234</v>
      </c>
      <c r="D6" s="23" t="s">
        <v>244</v>
      </c>
      <c r="E6" s="23" t="s">
        <v>247</v>
      </c>
      <c r="G6" s="56" t="s">
        <v>251</v>
      </c>
      <c r="H6" s="23" t="s">
        <v>256</v>
      </c>
      <c r="I6" s="23" t="s">
        <v>259</v>
      </c>
      <c r="J6" s="23" t="s">
        <v>85</v>
      </c>
      <c r="N6" s="15" t="s">
        <v>85</v>
      </c>
      <c r="O6" s="53" t="str">
        <f>CONCATENATE("DECLARE @IDIDENTTYPE INT = (SELECT IDENTITY_TYPE_ID FROM identity_types WHERE IDENTITY_TYPE_CODE =  '",C6,"')")</f>
        <v>DECLARE @IDIDENTTYPE INT = (SELECT IDENTITY_TYPE_ID FROM identity_types WHERE IDENTITY_TYPE_CODE =  'NIT')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'",H6,"')")</f>
        <v>DECLARE @IDCITY INT = (SELECT CITY_ID FROM cities a JOIN departments b ON b.DEPARTMENT_ID = a.DEPARTMENT_ID JOIN countries c ON c.COUNTRY_ID = B.COUNTRY_ID WHERE c.COUNTRY_CODE +'-'+B.DEPARTMENT_NAME+'-'+a.CITY_NAME = 'USA-Florida-Miami')</v>
      </c>
      <c r="Q6" s="53" t="str">
        <f>CONCATENATE("DECLARE @ISACTIVE BIT = (CASE WHEN '",J6,"' = 'Si' THEN 1 ELSE 0 END)")</f>
        <v>DECLARE @ISACTIVE BIT = (CASE WHEN 'Si' = 'Si' THEN 1 ELSE 0 END)</v>
      </c>
      <c r="R6" s="53" t="str">
        <f>CONCATENATE($W$2,A6,$W$2,$X$2,$W$2,B6,$W$2,$X$2,"@IDIDENTTYPE",$X$2,$W$2,D6,$W$2,$X$2,$W$2,E6,$W$2,$X$2,IF(LEN(F6)&gt;0,CONCATENATE($W$2,F6,$W$2),$Z$2),$X$2,IF(LEN(G6)&gt;0,CONCATENATE($W$2,G6,$W$2),$Z$2),$X$2,"@IDCITY",$X$2,$W$2,I6,$W$2,$X$2,"@ISACTIVE")</f>
        <v>'Satelite Mugs','Proplasticos',@IDIDENTTYPE,'123458','3007854516',NULL,'mugs@gmail.com',@IDCITY,'Fulanito',@ISACTIVE</v>
      </c>
      <c r="T6" s="59" t="str">
        <f>CONCATENATE(O6," ",Q6," ",P6," ",$T$2,$T$3,$V$2,$V$3,$Y$2,$U$2,$V$2,R6,$Y$2,CHAR(10),"GO")</f>
        <v>DECLARE @IDIDENTTYPE INT = (SELECT IDENTITY_TYPE_ID FROM identity_types WHERE IDENTITY_TYPE_CODE =  'NIT') DECLARE @ISACTIVE BIT = (CASE WHEN 'Si' = 'Si' THEN 1 ELSE 0 END) DECLARE @IDCITY INT = (SELECT CITY_ID FROM cities a JOIN departments b ON b.DEPARTMENT_ID = a.DEPARTMENT_ID JOIN countries c ON c.COUNTRY_ID = B.COUNTRY_ID WHERE c.COUNTRY_CODE +'-'+B.DEPARTMENT_NAME+'-'+a.CITY_NAME = 'USA-Florida-Miami') insert into process_satellites (PROCESS_SATELLITE_NAME, PROCESS_SATELLITE_ADDRESS, IDENTITY_TYPE_ID, IDENTITY_NUMBER, PHONE, FAX, EMAIL, CITY_ID, LEGAL_REPRESENTATIVE, IS_ACTIVE) values  ('Satelite Mugs','Proplasticos',@IDIDENTTYPE,'123458','3007854516',NULL,'mugs@gmail.com',@IDCITY,'Fulanito',@ISACTIVE)
GO</v>
      </c>
    </row>
    <row r="7" spans="1:26" x14ac:dyDescent="0.25">
      <c r="A7" s="23" t="s">
        <v>240</v>
      </c>
      <c r="B7" s="23" t="s">
        <v>241</v>
      </c>
      <c r="C7" s="23" t="s">
        <v>234</v>
      </c>
      <c r="D7" s="23" t="s">
        <v>245</v>
      </c>
      <c r="E7" s="23" t="s">
        <v>248</v>
      </c>
      <c r="G7" s="56" t="s">
        <v>252</v>
      </c>
      <c r="H7" s="23" t="s">
        <v>255</v>
      </c>
      <c r="I7" s="23" t="s">
        <v>257</v>
      </c>
      <c r="J7" s="23" t="s">
        <v>85</v>
      </c>
      <c r="N7" s="15" t="s">
        <v>86</v>
      </c>
      <c r="O7" s="53" t="str">
        <f t="shared" ref="O7:O8" si="0">CONCATENATE("DECLARE @IDIDENTTYPE INT = (SELECT IDENTITY_TYPE_ID FROM identity_types WHERE IDENTITY_TYPE_CODE =  '",C7,"')")</f>
        <v>DECLARE @IDIDENTTYPE INT = (SELECT IDENTITY_TYPE_ID FROM identity_types WHERE IDENTITY_TYPE_CODE =  'NIT')</v>
      </c>
      <c r="P7" s="53" t="str">
        <f t="shared" ref="P7:P8" si="1">CONCATENATE("DECLARE @IDCITY INT = (SELECT CITY_ID FROM cities a JOIN departments b ON b.DEPARTMENT_ID = a.DEPARTMENT_ID JOIN countries c ON c.COUNTRY_ID = B.COUNTRY_ID WHERE c.COUNTRY_CODE +'-'+B.DEPARTMENT_NAME+'-'+a.CITY_NAME = '",H7,"')")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Q7" s="53" t="str">
        <f t="shared" ref="Q7:Q8" si="2">CONCATENATE("DECLARE @ISACTIVE BIT = (CASE WHEN '",J7,"' = 'Si' THEN 1 ELSE 0 END)")</f>
        <v>DECLARE @ISACTIVE BIT = (CASE WHEN 'Si' = 'Si' THEN 1 ELSE 0 END)</v>
      </c>
      <c r="R7" s="53" t="str">
        <f t="shared" ref="R7:R8" si="3">CONCATENATE($W$2,A7,$W$2,$X$2,$W$2,B7,$W$2,$X$2,"@IDIDENTTYPE",$X$2,$W$2,D7,$W$2,$X$2,$W$2,E7,$W$2,$X$2,IF(LEN(F7)&gt;0,CONCATENATE($W$2,F7,$W$2),$Z$2),$X$2,IF(LEN(G7)&gt;0,CONCATENATE($W$2,G7,$W$2),$Z$2),$X$2,"@IDCITY",$X$2,$W$2,I7,$W$2,$X$2,"@ISACTIVE")</f>
        <v>'Planta','Proplasticos',@IDIDENTTYPE,'568745','3016254578',NULL,'planta@catalogospromocionales.com',@IDCITY,'Gustavo Ramirez',@ISACTIVE</v>
      </c>
      <c r="T7" s="59" t="str">
        <f t="shared" ref="T7:T8" si="4">CONCATENATE(O7," ",Q7," ",P7," ",$T$2,$T$3,$V$2,$V$3,$Y$2,$U$2,$V$2,R7,$Y$2,CHAR(10),"GO")</f>
        <v>DECLARE @IDIDENTTYPE INT = (SELECT IDENTITY_TYPE_ID FROM identity_types WHERE IDENTITY_TYPE_CODE =  'NIT') DECLARE @ISACTIVE BIT = (CASE WHEN 'Si' = 'Si' THEN 1 ELSE 0 END) DECLARE @IDCITY INT = (SELECT CITY_ID FROM cities a JOIN departments b ON b.DEPARTMENT_ID = a.DEPARTMENT_ID JOIN countries c ON c.COUNTRY_ID = B.COUNTRY_ID WHERE c.COUNTRY_CODE +'-'+B.DEPARTMENT_NAME+'-'+a.CITY_NAME = 'CO-Cundinamarca-Chia') insert into process_satellites (PROCESS_SATELLITE_NAME, PROCESS_SATELLITE_ADDRESS, IDENTITY_TYPE_ID, IDENTITY_NUMBER, PHONE, FAX, EMAIL, CITY_ID, LEGAL_REPRESENTATIVE, IS_ACTIVE) values  ('Planta','Proplasticos',@IDIDENTTYPE,'568745','3016254578',NULL,'planta@catalogospromocionales.com',@IDCITY,'Gustavo Ramirez',@ISACTIVE)
GO</v>
      </c>
    </row>
    <row r="8" spans="1:26" x14ac:dyDescent="0.25">
      <c r="A8" s="23" t="s">
        <v>242</v>
      </c>
      <c r="B8" s="23" t="s">
        <v>243</v>
      </c>
      <c r="C8" s="23" t="s">
        <v>114</v>
      </c>
      <c r="D8" s="23" t="s">
        <v>246</v>
      </c>
      <c r="E8" s="23" t="s">
        <v>249</v>
      </c>
      <c r="G8" s="56" t="s">
        <v>253</v>
      </c>
      <c r="H8" s="23" t="s">
        <v>254</v>
      </c>
      <c r="I8" s="23" t="s">
        <v>258</v>
      </c>
      <c r="J8" s="23" t="s">
        <v>86</v>
      </c>
      <c r="O8" s="53" t="str">
        <f t="shared" si="0"/>
        <v>DECLARE @IDIDENTTYPE INT = (SELECT IDENTITY_TYPE_ID FROM identity_types WHERE IDENTITY_TYPE_CODE =  'CC')</v>
      </c>
      <c r="P8" s="53" t="str">
        <f t="shared" si="1"/>
        <v>DECLARE @IDCITY INT = (SELECT CITY_ID FROM cities a JOIN departments b ON b.DEPARTMENT_ID = a.DEPARTMENT_ID JOIN countries c ON c.COUNTRY_ID = B.COUNTRY_ID WHERE c.COUNTRY_CODE +'-'+B.DEPARTMENT_NAME+'-'+a.CITY_NAME = 'CO-Cundinamarca-Bogota')</v>
      </c>
      <c r="Q8" s="53" t="str">
        <f t="shared" si="2"/>
        <v>DECLARE @ISACTIVE BIT = (CASE WHEN 'No' = 'Si' THEN 1 ELSE 0 END)</v>
      </c>
      <c r="R8" s="53" t="str">
        <f t="shared" si="3"/>
        <v>'Etipress S.A','Cra 39 B nº 17-98',@IDIDENTTYPE,'23658','3142458963',NULL,'etipress_info@etipress.com.co',@IDCITY,'Perencejo',@ISACTIVE</v>
      </c>
      <c r="T8" s="59" t="str">
        <f t="shared" si="4"/>
        <v>DECLARE @IDIDENTTYPE INT = (SELECT IDENTITY_TYPE_ID FROM identity_types WHERE IDENTITY_TYPE_CODE =  'CC') DECLARE @ISACTIVE BIT = (CASE WHEN 'No' = 'Si' THEN 1 ELSE 0 END) DECLARE @IDCITY INT = (SELECT CITY_ID FROM cities a JOIN departments b ON b.DEPARTMENT_ID = a.DEPARTMENT_ID JOIN countries c ON c.COUNTRY_ID = B.COUNTRY_ID WHERE c.COUNTRY_CODE +'-'+B.DEPARTMENT_NAME+'-'+a.CITY_NAME = 'CO-Cundinamarca-Bogota') insert into process_satellites (PROCESS_SATELLITE_NAME, PROCESS_SATELLITE_ADDRESS, IDENTITY_TYPE_ID, IDENTITY_NUMBER, PHONE, FAX, EMAIL, CITY_ID, LEGAL_REPRESENTATIVE, IS_ACTIVE) values  ('Etipress S.A','Cra 39 B nº 17-98',@IDIDENTTYPE,'23658','3142458963',NULL,'etipress_info@etipress.com.co',@IDCITY,'Perencejo',@ISACTIVE)
GO</v>
      </c>
    </row>
    <row r="25" spans="12:12" x14ac:dyDescent="0.25">
      <c r="L25" s="53"/>
    </row>
  </sheetData>
  <dataValidations count="2">
    <dataValidation type="list" allowBlank="1" showInputMessage="1" showErrorMessage="1" sqref="J6:J8">
      <formula1>$N$6:$N$7</formula1>
    </dataValidation>
    <dataValidation type="list" allowBlank="1" showInputMessage="1" showErrorMessage="1" sqref="H9:I9 H10:H1048576">
      <formula1>#REF!</formula1>
    </dataValidation>
  </dataValidations>
  <hyperlinks>
    <hyperlink ref="G6" r:id="rId1"/>
    <hyperlink ref="G7" r:id="rId2"/>
    <hyperlink ref="G8" r:id="rId3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C6:C8</xm:sqref>
        </x14:dataValidation>
        <x14:dataValidation type="list" allowBlank="1" showInputMessage="1" showErrorMessage="1">
          <x14:formula1>
            <xm:f>Ciudades!$C$6:$C$99998</xm:f>
          </x14:formula1>
          <xm:sqref>H6:H8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opLeftCell="G1" workbookViewId="0">
      <pane ySplit="5" topLeftCell="A6" activePane="bottomLeft" state="frozen"/>
      <selection pane="bottomLeft" activeCell="O6" sqref="O6"/>
    </sheetView>
  </sheetViews>
  <sheetFormatPr baseColWidth="10" defaultRowHeight="15" x14ac:dyDescent="0.25"/>
  <cols>
    <col min="1" max="1" width="25.140625" style="23" customWidth="1"/>
    <col min="2" max="2" width="20.140625" style="23" customWidth="1"/>
    <col min="3" max="3" width="20.28515625" style="23" bestFit="1" customWidth="1"/>
    <col min="4" max="6" width="16.5703125" style="23" bestFit="1" customWidth="1"/>
    <col min="7" max="7" width="18.42578125" style="23" customWidth="1"/>
    <col min="8" max="8" width="16.5703125" style="23" bestFit="1" customWidth="1"/>
    <col min="9" max="9" width="20.85546875" style="23" customWidth="1"/>
    <col min="10" max="10" width="24" style="23" bestFit="1" customWidth="1"/>
    <col min="11" max="11" width="17.140625" style="23" customWidth="1"/>
    <col min="12" max="12" width="12" style="4" hidden="1" customWidth="1"/>
    <col min="13" max="13" width="11.42578125" style="15" hidden="1" customWidth="1"/>
    <col min="14" max="16384" width="11.42578125" style="15"/>
  </cols>
  <sheetData>
    <row r="1" spans="1:26" ht="45" customHeight="1" x14ac:dyDescent="0.25">
      <c r="A1" s="28" t="s">
        <v>90</v>
      </c>
      <c r="B1" s="33"/>
      <c r="C1" s="28"/>
      <c r="D1" s="33"/>
      <c r="E1" s="33"/>
      <c r="F1" s="33"/>
      <c r="G1" s="33"/>
      <c r="H1" s="33"/>
      <c r="I1" s="33"/>
      <c r="J1" s="33"/>
      <c r="K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/>
      <c r="G2" s="34"/>
      <c r="H2" s="34" t="s">
        <v>3</v>
      </c>
      <c r="I2" s="34" t="s">
        <v>3</v>
      </c>
      <c r="J2" s="34"/>
      <c r="K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 t="s">
        <v>28</v>
      </c>
      <c r="K3" s="36" t="s">
        <v>28</v>
      </c>
      <c r="T3" s="53" t="s">
        <v>273</v>
      </c>
      <c r="U3" s="53"/>
      <c r="V3" s="53" t="s">
        <v>274</v>
      </c>
      <c r="W3" s="53"/>
      <c r="X3" s="53"/>
      <c r="Y3" s="53"/>
      <c r="Z3" s="53"/>
    </row>
    <row r="4" spans="1:26" ht="15.75" thickBot="1" x14ac:dyDescent="0.3">
      <c r="A4" s="31"/>
      <c r="B4" s="31" t="s">
        <v>88</v>
      </c>
      <c r="C4" s="31" t="s">
        <v>17</v>
      </c>
      <c r="D4" s="31" t="s">
        <v>89</v>
      </c>
      <c r="E4" s="31" t="s">
        <v>89</v>
      </c>
      <c r="F4" s="31" t="s">
        <v>99</v>
      </c>
      <c r="G4" s="31" t="s">
        <v>100</v>
      </c>
      <c r="H4" s="31" t="s">
        <v>88</v>
      </c>
      <c r="I4" s="31" t="s">
        <v>101</v>
      </c>
      <c r="J4" s="31"/>
      <c r="K4" s="31"/>
    </row>
    <row r="5" spans="1:26" s="16" customFormat="1" x14ac:dyDescent="0.25">
      <c r="A5" s="32" t="s">
        <v>71</v>
      </c>
      <c r="B5" s="32" t="s">
        <v>72</v>
      </c>
      <c r="C5" s="32" t="s">
        <v>92</v>
      </c>
      <c r="D5" s="32" t="s">
        <v>94</v>
      </c>
      <c r="E5" s="32" t="s">
        <v>93</v>
      </c>
      <c r="F5" s="32" t="s">
        <v>74</v>
      </c>
      <c r="G5" s="32" t="s">
        <v>95</v>
      </c>
      <c r="H5" s="32" t="s">
        <v>96</v>
      </c>
      <c r="I5" s="32" t="s">
        <v>106</v>
      </c>
      <c r="J5" s="32" t="s">
        <v>76</v>
      </c>
      <c r="K5" s="32" t="s">
        <v>98</v>
      </c>
      <c r="L5" s="13" t="s">
        <v>107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23" t="s">
        <v>114</v>
      </c>
      <c r="B6" s="23" t="s">
        <v>260</v>
      </c>
      <c r="C6" s="23" t="s">
        <v>261</v>
      </c>
      <c r="D6" s="23" t="s">
        <v>262</v>
      </c>
      <c r="E6" s="23" t="s">
        <v>263</v>
      </c>
      <c r="G6" s="23" t="s">
        <v>269</v>
      </c>
      <c r="H6" s="23" t="s">
        <v>262</v>
      </c>
      <c r="I6" s="56" t="s">
        <v>264</v>
      </c>
      <c r="J6" s="23" t="s">
        <v>254</v>
      </c>
      <c r="K6" s="23" t="s">
        <v>85</v>
      </c>
      <c r="L6" s="4" t="str">
        <f>IF(A6&lt;&gt;"",IF(B6&lt;&gt;"",CONCATENATE(A6,"-",B6),""),"")</f>
        <v>CC-79872389</v>
      </c>
      <c r="M6" s="15" t="s">
        <v>85</v>
      </c>
      <c r="O6" s="53" t="str">
        <f>CONCATENATE("DECLARE @IDIDENTTYPE INT = (SELECT IDENTITY_TYPE_ID FROM identity_types WHERE IDENTITY_TYPE_CODE =  '",C6,"')")</f>
        <v>DECLARE @IDIDENTTYPE INT = (SELECT IDENTITY_TYPE_ID FROM identity_types WHERE IDENTITY_TYPE_CODE =  'Andres Diaz')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'",H6,"')")</f>
        <v>DECLARE @IDCITY INT = (SELECT CITY_ID FROM cities a JOIN departments b ON b.DEPARTMENT_ID = a.DEPARTMENT_ID JOIN countries c ON c.COUNTRY_ID = B.COUNTRY_ID WHERE c.COUNTRY_CODE +'-'+B.DEPARTMENT_NAME+'-'+a.CITY_NAME = '3008987553')</v>
      </c>
      <c r="Q6" s="53" t="str">
        <f>CONCATENATE("DECLARE @ISACTIVE BIT = (CASE WHEN '",J6,"' = 'Si' THEN 1 ELSE 0 END)")</f>
        <v>DECLARE @ISACTIVE BIT = (CASE WHEN 'CO-Cundinamarca-Bogota' = 'Si' THEN 1 ELSE 0 END)</v>
      </c>
      <c r="R6" s="53" t="str">
        <f>CONCATENATE($W$2,A6,$W$2,$X$2,$W$2,B6,$W$2,$X$2,"@IDIDENTTYPE",$X$2,$W$2,D6,$W$2,$X$2,$W$2,E6,$W$2,$X$2,IF(LEN(F6)&gt;0,CONCATENATE($W$2,F6,$W$2),$Z$2),$X$2,IF(LEN(G6)&gt;0,CONCATENATE($W$2,G6,$W$2),$Z$2),$X$2,"@IDCITY",$X$2,$W$2,I6,$W$2,$X$2,"@ISACTIVE")</f>
        <v>'CC','79872389',@IDIDENTTYPE,'3008987553','3004587458',NULL,'calle 4a # 29 - 25',@IDCITY,'ardc2440@gmail.com;paolaflorezp@gmail.com',@ISACTIVE</v>
      </c>
      <c r="T6" s="59" t="str">
        <f>CONCATENATE(O6," ",Q6," ",P6," ",$T$2,$T$3,$V$2,$V$3,$Y$2,$U$2,$V$2,R6,$Y$2,CHAR(10),"GO")</f>
        <v>DECLARE @IDIDENTTYPE INT = (SELECT IDENTITY_TYPE_ID FROM identity_types WHERE IDENTITY_TYPE_CODE =  'Andres Diaz') DECLARE @ISACTIVE BIT = (CASE WHEN 'CO-Cundinamarca-Bogota' = 'Si' THEN 1 ELSE 0 END) DECLARE @IDCITY INT = (SELECT CITY_ID FROM cities a JOIN departments b ON b.DEPARTMENT_ID = a.DEPARTMENT_ID JOIN countries c ON c.COUNTRY_ID = B.COUNTRY_ID WHERE c.COUNTRY_CODE +'-'+B.DEPARTMENT_NAME+'-'+a.CITY_NAME = '3008987553') insert into customers (IDENTITY_TYPE_ID, IDENTITY_NUMBER, CUSTOMER_NAME, PHONE1, PHONE2, FAX, CUSTOMER_ADDRESS, CELL_PHONE, EMAIL, CITY_ID, SEND_EMAIL) values  ('CC','79872389',@IDIDENTTYPE,'3008987553','3004587458',NULL,'calle 4a # 29 - 25',@IDCITY,'ardc2440@gmail.com;paolaflorezp@gmail.com',@ISACTIVE)
GO</v>
      </c>
    </row>
    <row r="7" spans="1:26" x14ac:dyDescent="0.25">
      <c r="A7" s="23" t="s">
        <v>114</v>
      </c>
      <c r="B7" s="23" t="s">
        <v>265</v>
      </c>
      <c r="C7" s="23" t="s">
        <v>266</v>
      </c>
      <c r="D7" s="23" t="s">
        <v>267</v>
      </c>
      <c r="E7" s="23" t="s">
        <v>268</v>
      </c>
      <c r="G7" s="23" t="s">
        <v>270</v>
      </c>
      <c r="H7" s="23" t="s">
        <v>271</v>
      </c>
      <c r="I7" s="56" t="s">
        <v>272</v>
      </c>
      <c r="J7" s="23" t="s">
        <v>255</v>
      </c>
      <c r="K7" s="23" t="s">
        <v>85</v>
      </c>
      <c r="L7" s="4" t="str">
        <f>IF(A7&lt;&gt;"",IF(B7&lt;&gt;"",CONCATENATE(A7,"-",B7),""),"")</f>
        <v>CC-35427339</v>
      </c>
      <c r="M7" s="15" t="s">
        <v>86</v>
      </c>
      <c r="O7" s="53" t="str">
        <f t="shared" ref="O7" si="0">CONCATENATE("DECLARE @IDIDENTTYPE INT = (SELECT IDENTITY_TYPE_ID FROM identity_types WHERE IDENTITY_TYPE_CODE =  '",C7,"')")</f>
        <v>DECLARE @IDIDENTTYPE INT = (SELECT IDENTITY_TYPE_ID FROM identity_types WHERE IDENTITY_TYPE_CODE =  'Paola Florez')</v>
      </c>
      <c r="P7" s="53" t="str">
        <f t="shared" ref="P7" si="1">CONCATENATE("DECLARE @IDCITY INT = (SELECT CITY_ID FROM cities a JOIN departments b ON b.DEPARTMENT_ID = a.DEPARTMENT_ID JOIN countries c ON c.COUNTRY_ID = B.COUNTRY_ID WHERE c.COUNTRY_CODE +'-'+B.DEPARTMENT_NAME+'-'+a.CITY_NAME = '",H7,"')")</f>
        <v>DECLARE @IDCITY INT = (SELECT CITY_ID FROM cities a JOIN departments b ON b.DEPARTMENT_ID = a.DEPARTMENT_ID JOIN countries c ON c.COUNTRY_ID = B.COUNTRY_ID WHERE c.COUNTRY_CODE +'-'+B.DEPARTMENT_NAME+'-'+a.CITY_NAME = '3014296649')</v>
      </c>
      <c r="Q7" s="53" t="str">
        <f t="shared" ref="Q7" si="2">CONCATENATE("DECLARE @ISACTIVE BIT = (CASE WHEN '",J7,"' = 'Si' THEN 1 ELSE 0 END)")</f>
        <v>DECLARE @ISACTIVE BIT = (CASE WHEN 'CO-Cundinamarca-Chia' = 'Si' THEN 1 ELSE 0 END)</v>
      </c>
      <c r="R7" s="53" t="str">
        <f t="shared" ref="R7" si="3">CONCATENATE($W$2,A7,$W$2,$X$2,$W$2,B7,$W$2,$X$2,"@IDIDENTTYPE",$X$2,$W$2,D7,$W$2,$X$2,$W$2,E7,$W$2,$X$2,IF(LEN(F7)&gt;0,CONCATENATE($W$2,F7,$W$2),$Z$2),$X$2,IF(LEN(G7)&gt;0,CONCATENATE($W$2,G7,$W$2),$Z$2),$X$2,"@IDCITY",$X$2,$W$2,I7,$W$2,$X$2,"@ISACTIVE")</f>
        <v>'CC','35427339',@IDIDENTTYPE,'3542658925','3112457856',NULL,'Carrera 2 b # 11 - 25',@IDCITY,'paolaflorezp@gmail.com',@ISACTIVE</v>
      </c>
      <c r="T7" s="59" t="str">
        <f t="shared" ref="T7" si="4">CONCATENATE(O7," ",Q7," ",P7," ",$T$2,$T$3,$V$2,$V$3,$Y$2,$U$2,$V$2,R7,$Y$2,CHAR(10),"GO")</f>
        <v>DECLARE @IDIDENTTYPE INT = (SELECT IDENTITY_TYPE_ID FROM identity_types WHERE IDENTITY_TYPE_CODE =  'Paola Florez') DECLARE @ISACTIVE BIT = (CASE WHEN 'CO-Cundinamarca-Chia' = 'Si' THEN 1 ELSE 0 END) DECLARE @IDCITY INT = (SELECT CITY_ID FROM cities a JOIN departments b ON b.DEPARTMENT_ID = a.DEPARTMENT_ID JOIN countries c ON c.COUNTRY_ID = B.COUNTRY_ID WHERE c.COUNTRY_CODE +'-'+B.DEPARTMENT_NAME+'-'+a.CITY_NAME = '3014296649') insert into customers (IDENTITY_TYPE_ID, IDENTITY_NUMBER, CUSTOMER_NAME, PHONE1, PHONE2, FAX, CUSTOMER_ADDRESS, CELL_PHONE, EMAIL, CITY_ID, SEND_EMAIL) values  ('CC','35427339',@IDIDENTTYPE,'3542658925','3112457856',NULL,'Carrera 2 b # 11 - 25',@IDCITY,'paolaflorezp@gmail.com',@ISACTIVE)
GO</v>
      </c>
    </row>
    <row r="8" spans="1:26" x14ac:dyDescent="0.25">
      <c r="O8" s="53"/>
      <c r="P8" s="53"/>
      <c r="Q8" s="53"/>
      <c r="R8" s="53"/>
      <c r="T8" s="59"/>
    </row>
  </sheetData>
  <dataValidations count="2">
    <dataValidation type="list" allowBlank="1" showInputMessage="1" showErrorMessage="1" sqref="K6:K1048576">
      <formula1>$M$6:$M$7</formula1>
    </dataValidation>
    <dataValidation type="list" allowBlank="1" showInputMessage="1" showErrorMessage="1" sqref="J8:J1048576">
      <formula1>#REF!</formula1>
    </dataValidation>
  </dataValidations>
  <hyperlinks>
    <hyperlink ref="I6" r:id="rId1"/>
    <hyperlink ref="I7" r:id="rId2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A6:A7</xm:sqref>
        </x14:dataValidation>
        <x14:dataValidation type="list" allowBlank="1" showInputMessage="1" showErrorMessage="1">
          <x14:formula1>
            <xm:f>Ciudades!$C$6:$C$99998</xm:f>
          </x14:formula1>
          <xm:sqref>J6:J7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6.5703125" style="23" customWidth="1"/>
    <col min="2" max="2" width="22" style="23" customWidth="1"/>
    <col min="3" max="4" width="16.5703125" style="23" bestFit="1" customWidth="1"/>
    <col min="5" max="5" width="23.85546875" style="23" customWidth="1"/>
    <col min="6" max="6" width="11.42578125" style="15"/>
    <col min="7" max="14" width="0" style="15" hidden="1" customWidth="1"/>
    <col min="15" max="16384" width="11.42578125" style="15"/>
  </cols>
  <sheetData>
    <row r="1" spans="1:26" ht="45" customHeight="1" x14ac:dyDescent="0.25">
      <c r="A1" s="28" t="s">
        <v>102</v>
      </c>
      <c r="B1" s="33"/>
      <c r="C1" s="28"/>
      <c r="D1" s="33"/>
      <c r="E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T3" s="53" t="s">
        <v>282</v>
      </c>
      <c r="U3" s="53"/>
      <c r="V3" s="53" t="s">
        <v>283</v>
      </c>
      <c r="W3" s="53"/>
      <c r="X3" s="53"/>
      <c r="Y3" s="53"/>
      <c r="Z3" s="53"/>
    </row>
    <row r="4" spans="1:26" ht="15.75" thickBot="1" x14ac:dyDescent="0.3">
      <c r="A4" s="31"/>
      <c r="B4" s="31" t="s">
        <v>17</v>
      </c>
      <c r="C4" s="31" t="s">
        <v>89</v>
      </c>
      <c r="D4" s="31" t="s">
        <v>88</v>
      </c>
      <c r="E4" s="31" t="s">
        <v>31</v>
      </c>
    </row>
    <row r="5" spans="1:26" s="17" customFormat="1" x14ac:dyDescent="0.25">
      <c r="A5" s="32" t="s">
        <v>103</v>
      </c>
      <c r="B5" s="32" t="s">
        <v>104</v>
      </c>
      <c r="C5" s="32" t="s">
        <v>105</v>
      </c>
      <c r="D5" s="32" t="s">
        <v>73</v>
      </c>
      <c r="E5" s="32" t="s">
        <v>106</v>
      </c>
    </row>
    <row r="6" spans="1:26" x14ac:dyDescent="0.25">
      <c r="A6" s="23" t="s">
        <v>275</v>
      </c>
      <c r="B6" s="23" t="s">
        <v>276</v>
      </c>
      <c r="C6" s="23" t="s">
        <v>277</v>
      </c>
      <c r="D6" s="23" t="s">
        <v>262</v>
      </c>
      <c r="E6" s="56" t="s">
        <v>278</v>
      </c>
      <c r="P6" s="53" t="str">
        <f>CONCATENATE("DECLARE @IDCUSTOMER INT = (SELECT CITY_ID FROM customers a JOIN identity_types b ON b.IDENTITY_TYPE_ID = a.IDENTITY_TYPE_ID WHERE b.IDENTITY_TYPE_CODE +'-'+a.IDENTITY_NUMBER = '",A6,"')")</f>
        <v>DECLARE @IDCUSTOMER INT = (SELECT CITY_ID FROM customers a JOIN identity_types b ON b.IDENTITY_TYPE_ID = a.IDENTITY_TYPE_ID WHERE b.IDENTITY_TYPE_CODE +'-'+a.IDENTITY_NUMBER = 'CC-79872389')</v>
      </c>
      <c r="Q6" s="23"/>
      <c r="R6" s="53" t="str">
        <f>CONCATENATE("@IDCUSTOMER",$X$2,$W$2,B6,$W$2,$X$2,$W$2,C6,$W$2,$X$2,$W$2,D6,$W$2,$X$2,IF(LEN(E6)&gt;0,CONCATENATE($W$2,E6,$W$2),$Z$2))</f>
        <v>@IDCUSTOMER,'andres diaz','propietario','3008987553','ardc2440@gmail.com'</v>
      </c>
      <c r="T6" s="59" t="str">
        <f>CONCATENATE(P6," ",$T$2,$T$3,$V$2,$V$3,$Y$2,$U$2,$V$2,R6,$Y$2,CHAR(10),"GO")</f>
        <v>DECLARE @IDCUSTOMER INT = (SELECT CITY_ID FROM customers a JOIN identity_types b ON b.IDENTITY_TYPE_ID = a.IDENTITY_TYPE_ID WHERE b.IDENTITY_TYPE_CODE +'-'+a.IDENTITY_NUMBER = 'CC-79872389') insert into customer_contacts (CUSTOMER_ID, CUSTOMER_CONTACT_NAME, TITLE, PHONE, EMAIL) values  (@IDCUSTOMER,'andres diaz','propietario','3008987553','ardc2440@gmail.com')
GO</v>
      </c>
    </row>
    <row r="7" spans="1:26" x14ac:dyDescent="0.25">
      <c r="A7" s="23" t="s">
        <v>279</v>
      </c>
      <c r="B7" s="23" t="s">
        <v>266</v>
      </c>
      <c r="C7" s="23" t="s">
        <v>280</v>
      </c>
      <c r="D7" s="23" t="s">
        <v>281</v>
      </c>
      <c r="E7" s="56" t="s">
        <v>272</v>
      </c>
      <c r="P7" s="53" t="str">
        <f>CONCATENATE("DECLARE @IDCUSTOMER INT = (SELECT CITY_ID FROM customers a JOIN identity_types b ON b.IDENTITY_TYPE_ID = a.IDENTITY_TYPE_ID WHERE b.IDENTITY_TYPE_CODE +'-'+a.IDENTITY_NUMBER = '",A7,"')")</f>
        <v>DECLARE @IDCUSTOMER INT = (SELECT CITY_ID FROM customers a JOIN identity_types b ON b.IDENTITY_TYPE_ID = a.IDENTITY_TYPE_ID WHERE b.IDENTITY_TYPE_CODE +'-'+a.IDENTITY_NUMBER = 'CC-35427339')</v>
      </c>
      <c r="Q7" s="23"/>
      <c r="R7" s="53" t="str">
        <f>CONCATENATE("@IDCUSTOMER",$X$2,$W$2,B7,$W$2,$X$2,$W$2,C7,$W$2,$X$2,$W$2,D7,$W$2,$X$2,IF(LEN(E7)&gt;0,CONCATENATE($W$2,E7,$W$2),$Z$2))</f>
        <v>@IDCUSTOMER,'Paola Florez','Gerente','3014662769','paolaflorezp@gmail.com'</v>
      </c>
      <c r="T7" s="59" t="str">
        <f>CONCATENATE(P7," ",$T$2,$T$3,$V$2,$V$3,$Y$2,$U$2,$V$2,R7,$Y$2,CHAR(10),"GO")</f>
        <v>DECLARE @IDCUSTOMER INT = (SELECT CITY_ID FROM customers a JOIN identity_types b ON b.IDENTITY_TYPE_ID = a.IDENTITY_TYPE_ID WHERE b.IDENTITY_TYPE_CODE +'-'+a.IDENTITY_NUMBER = 'CC-35427339') insert into customer_contacts (CUSTOMER_ID, CUSTOMER_CONTACT_NAME, TITLE, PHONE, EMAIL) values  (@IDCUSTOMER,'Paola Florez','Gerente','3014662769','paolaflorezp@gmail.com')
GO</v>
      </c>
    </row>
  </sheetData>
  <hyperlinks>
    <hyperlink ref="E6" r:id="rId1"/>
    <hyperlink ref="E7" r:id="rId2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Clientes!$L$6:$L$100000</xm:f>
          </x14:formula1>
          <xm:sqref>A6:A7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P6" sqref="P6"/>
    </sheetView>
  </sheetViews>
  <sheetFormatPr baseColWidth="10" defaultRowHeight="15" x14ac:dyDescent="0.25"/>
  <cols>
    <col min="1" max="1" width="29" style="23" customWidth="1"/>
    <col min="2" max="2" width="20" style="23" bestFit="1" customWidth="1"/>
    <col min="3" max="4" width="16.5703125" style="23" bestFit="1" customWidth="1"/>
    <col min="5" max="5" width="16.5703125" style="23" customWidth="1"/>
    <col min="6" max="7" width="18.85546875" style="23" bestFit="1" customWidth="1"/>
    <col min="8" max="8" width="23.140625" style="23" customWidth="1"/>
    <col min="9" max="10" width="11.42578125" style="15"/>
    <col min="11" max="15" width="0" style="15" hidden="1" customWidth="1"/>
    <col min="16" max="16384" width="11.42578125" style="15"/>
  </cols>
  <sheetData>
    <row r="1" spans="1:26" ht="45" customHeight="1" x14ac:dyDescent="0.25">
      <c r="A1" s="28" t="s">
        <v>118</v>
      </c>
      <c r="B1" s="33"/>
      <c r="C1" s="28"/>
      <c r="D1" s="33"/>
      <c r="E1" s="33"/>
      <c r="F1" s="33"/>
      <c r="G1" s="33"/>
      <c r="H1" s="33"/>
    </row>
    <row r="2" spans="1:26" x14ac:dyDescent="0.25">
      <c r="A2" s="34" t="s">
        <v>3</v>
      </c>
      <c r="B2" s="34" t="s">
        <v>3</v>
      </c>
      <c r="C2" s="34"/>
      <c r="D2" s="34"/>
      <c r="E2" s="34" t="s">
        <v>3</v>
      </c>
      <c r="F2" s="34"/>
      <c r="G2" s="34"/>
      <c r="H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36"/>
      <c r="D3" s="36"/>
      <c r="E3" s="36"/>
      <c r="F3" s="36"/>
      <c r="G3" s="36"/>
      <c r="H3" s="36" t="s">
        <v>28</v>
      </c>
      <c r="T3" s="53" t="s">
        <v>293</v>
      </c>
      <c r="U3" s="53"/>
      <c r="V3" s="53" t="s">
        <v>294</v>
      </c>
      <c r="W3" s="53"/>
      <c r="X3" s="53"/>
      <c r="Y3" s="53"/>
      <c r="Z3" s="53"/>
    </row>
    <row r="4" spans="1:26" ht="15.75" thickBot="1" x14ac:dyDescent="0.3">
      <c r="A4" s="31" t="s">
        <v>17</v>
      </c>
      <c r="B4" s="31" t="s">
        <v>89</v>
      </c>
      <c r="C4" s="31" t="s">
        <v>89</v>
      </c>
      <c r="D4" s="31" t="s">
        <v>99</v>
      </c>
      <c r="E4" s="31" t="s">
        <v>100</v>
      </c>
      <c r="F4" s="31" t="s">
        <v>31</v>
      </c>
      <c r="G4" s="31" t="s">
        <v>31</v>
      </c>
      <c r="H4" s="31"/>
    </row>
    <row r="5" spans="1:26" s="17" customFormat="1" x14ac:dyDescent="0.25">
      <c r="A5" s="32" t="s">
        <v>92</v>
      </c>
      <c r="B5" s="32" t="s">
        <v>94</v>
      </c>
      <c r="C5" s="32" t="s">
        <v>93</v>
      </c>
      <c r="D5" s="32" t="s">
        <v>74</v>
      </c>
      <c r="E5" s="32" t="s">
        <v>95</v>
      </c>
      <c r="F5" s="32" t="s">
        <v>97</v>
      </c>
      <c r="G5" s="32" t="s">
        <v>119</v>
      </c>
      <c r="H5" s="32" t="s">
        <v>120</v>
      </c>
    </row>
    <row r="6" spans="1:26" x14ac:dyDescent="0.25">
      <c r="A6" s="23" t="s">
        <v>284</v>
      </c>
      <c r="B6" s="23" t="s">
        <v>285</v>
      </c>
      <c r="C6" s="23" t="s">
        <v>286</v>
      </c>
      <c r="D6" s="23" t="s">
        <v>287</v>
      </c>
      <c r="E6" s="23" t="s">
        <v>288</v>
      </c>
      <c r="F6" s="23" t="s">
        <v>289</v>
      </c>
      <c r="H6" s="23" t="s">
        <v>255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'",H6,"')")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Q6" s="23"/>
      <c r="R6" s="53" t="str">
        <f>CONCATENATE($W$2,A6,$W$2,$X$2,$W$2,B6,$W$2,$X$2,IF(LEN(C6)&gt;0,CONCATENATE($W$2,C6,$W$2),$Z$2),$X$2,IF(LEN(D6)&gt;0,CONCATENATE($W$2,D6,$W$2),$Z$2),$X$2,$W$2,E6,$W$2,$X$2,IF(LEN(F6)&gt;0,CONCATENATE($W$2,F6,$W$2),$Z$2),$X$2,IF(LEN(G6)&gt;0,CONCATENATE($W$2,G6,$W$2),$Z$2),$X$2,"@IDCITY")</f>
        <v>'trasportes fusa','745585','22222','5456456452','calle 15 parque internacional central','InterTransMar@gmail.com',NULL,@IDCITY</v>
      </c>
      <c r="T6" s="59" t="str">
        <f>CONCATENATE(P6," ",$T$2,$T$3,$V$2,$V$3,$Y$2,$U$2,$V$2,R6,$Y$2,CHAR(10),"GO")</f>
        <v>DECLARE @IDCITY INT = (SELECT CITY_ID FROM cities a JOIN departments b ON b.DEPARTMENT_ID = a.DEPARTMENT_ID JOIN countries c ON c.COUNTRY_ID = B.COUNTRY_ID WHERE c.COUNTRY_CODE +'-'+B.DEPARTMENT_NAME+'-'+a.CITY_NAME = 'CO-Cundinamarca-Chia') insert into forwarders (FORWARDER_NAME, PHONE1, PHONE2, FAX, FORWARDER_ADDRESS, MAIL1, MAIL2, CITY_ID) values  ('trasportes fusa','745585','22222','5456456452','calle 15 parque internacional central','InterTransMar@gmail.com',NULL,@IDCITY)
GO</v>
      </c>
    </row>
    <row r="7" spans="1:26" x14ac:dyDescent="0.25">
      <c r="A7" s="23" t="s">
        <v>290</v>
      </c>
      <c r="B7" s="23" t="s">
        <v>285</v>
      </c>
      <c r="E7" s="23" t="s">
        <v>291</v>
      </c>
      <c r="G7" s="56" t="s">
        <v>292</v>
      </c>
      <c r="H7" s="23" t="s">
        <v>256</v>
      </c>
      <c r="P7" s="53" t="str">
        <f>CONCATENATE("DECLARE @IDCITY INT = (SELECT CITY_ID FROM cities a JOIN departments b ON b.DEPARTMENT_ID = a.DEPARTMENT_ID JOIN countries c ON c.COUNTRY_ID = B.COUNTRY_ID WHERE c.COUNTRY_CODE +'-'+B.DEPARTMENT_NAME+'-'+a.CITY_NAME = '",H7,"')")</f>
        <v>DECLARE @IDCITY INT = (SELECT CITY_ID FROM cities a JOIN departments b ON b.DEPARTMENT_ID = a.DEPARTMENT_ID JOIN countries c ON c.COUNTRY_ID = B.COUNTRY_ID WHERE c.COUNTRY_CODE +'-'+B.DEPARTMENT_NAME+'-'+a.CITY_NAME = 'USA-Florida-Miami')</v>
      </c>
      <c r="Q7" s="23"/>
      <c r="R7" s="53" t="str">
        <f>CONCATENATE($W$2,A7,$W$2,$X$2,$W$2,B7,$W$2,$X$2,IF(LEN(C7)&gt;0,CONCATENATE($W$2,C7,$W$2),$Z$2),$X$2,IF(LEN(D7)&gt;0,CONCATENATE($W$2,D7,$W$2),$Z$2),$X$2,$W$2,E7,$W$2,$X$2,IF(LEN(F7)&gt;0,CONCATENATE($W$2,F7,$W$2),$Z$2),$X$2,IF(LEN(G7)&gt;0,CONCATENATE($W$2,G7,$W$2),$Z$2),$X$2,"@IDCITY")</f>
        <v>'International Trans Mar','745585',NULL,NULL,'la casona local 1234',NULL,'mi_correo@correo.com',@IDCITY</v>
      </c>
      <c r="T7" s="59" t="str">
        <f>CONCATENATE(P7," ",$T$2,$T$3,$V$2,$V$3,$Y$2,$U$2,$V$2,R7,$Y$2,CHAR(10),"GO")</f>
        <v>DECLARE @IDCITY INT = (SELECT CITY_ID FROM cities a JOIN departments b ON b.DEPARTMENT_ID = a.DEPARTMENT_ID JOIN countries c ON c.COUNTRY_ID = B.COUNTRY_ID WHERE c.COUNTRY_CODE +'-'+B.DEPARTMENT_NAME+'-'+a.CITY_NAME = 'USA-Florida-Miami') insert into forwarders (FORWARDER_NAME, PHONE1, PHONE2, FAX, FORWARDER_ADDRESS, MAIL1, MAIL2, CITY_ID) values  ('International Trans Mar','745585',NULL,NULL,'la casona local 1234',NULL,'mi_correo@correo.com',@IDCITY)
GO</v>
      </c>
    </row>
  </sheetData>
  <hyperlinks>
    <hyperlink ref="G7" r:id="rId1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Ciudades!$C$6:$C$99998</xm:f>
          </x14:formula1>
          <xm:sqref>H6:H7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pane ySplit="5" topLeftCell="A6" activePane="bottomLeft" state="frozen"/>
      <selection pane="bottomLeft" activeCell="T6" sqref="T6:T7"/>
    </sheetView>
  </sheetViews>
  <sheetFormatPr baseColWidth="10" defaultColWidth="9.140625" defaultRowHeight="15" x14ac:dyDescent="0.25"/>
  <cols>
    <col min="1" max="1" width="24.42578125" style="23" customWidth="1"/>
    <col min="2" max="2" width="1.7109375" style="15" customWidth="1"/>
    <col min="3" max="3" width="9.140625" style="15"/>
    <col min="4" max="4" width="1.28515625" style="15" customWidth="1"/>
    <col min="5" max="6" width="9.140625" style="15"/>
    <col min="7" max="7" width="23.140625" style="15" hidden="1" customWidth="1"/>
    <col min="8" max="17" width="9.140625" style="15" hidden="1" customWidth="1"/>
    <col min="18" max="19" width="9.140625" style="15" customWidth="1"/>
    <col min="20" max="16384" width="9.140625" style="15"/>
  </cols>
  <sheetData>
    <row r="1" spans="1:25" ht="44.25" customHeight="1" x14ac:dyDescent="0.25">
      <c r="A1" s="28" t="s">
        <v>1</v>
      </c>
    </row>
    <row r="2" spans="1:25" x14ac:dyDescent="0.25">
      <c r="A2" s="29" t="s">
        <v>3</v>
      </c>
      <c r="J2" s="50"/>
      <c r="T2" s="51" t="s">
        <v>170</v>
      </c>
      <c r="U2" s="51" t="s">
        <v>176</v>
      </c>
      <c r="V2" s="51" t="s">
        <v>177</v>
      </c>
      <c r="W2" s="52" t="s">
        <v>171</v>
      </c>
      <c r="X2" s="51" t="s">
        <v>172</v>
      </c>
      <c r="Y2" s="51" t="s">
        <v>173</v>
      </c>
    </row>
    <row r="3" spans="1:25" x14ac:dyDescent="0.25">
      <c r="A3" s="30"/>
      <c r="T3" s="51" t="s">
        <v>174</v>
      </c>
      <c r="U3" s="51"/>
      <c r="V3" s="51" t="s">
        <v>175</v>
      </c>
      <c r="W3" s="51"/>
      <c r="X3" s="51"/>
      <c r="Y3" s="51"/>
    </row>
    <row r="4" spans="1:25" ht="15.75" thickBot="1" x14ac:dyDescent="0.3">
      <c r="A4" s="31" t="s">
        <v>13</v>
      </c>
    </row>
    <row r="5" spans="1:25" s="17" customFormat="1" x14ac:dyDescent="0.25">
      <c r="A5" s="32" t="s">
        <v>2</v>
      </c>
    </row>
    <row r="6" spans="1:25" x14ac:dyDescent="0.25">
      <c r="A6" s="23" t="s">
        <v>178</v>
      </c>
      <c r="R6" s="53" t="str">
        <f>CONCATENATE($W$2,A6,$W$2)</f>
        <v>'Logo Pendiente'</v>
      </c>
      <c r="T6" s="59" t="str">
        <f>CONCATENATE($T$2,$T$3,$V$2,$V$3,$Y$2,$U$2,$V$2,R6,$Y$2)</f>
        <v>insert into activity_types (ACTIVITY_TYPE_NAME) values  ('Logo Pendiente')</v>
      </c>
    </row>
    <row r="7" spans="1:25" x14ac:dyDescent="0.25">
      <c r="A7" s="23" t="s">
        <v>186</v>
      </c>
      <c r="R7" s="53" t="str">
        <f>CONCATENATE($W$2,A7,$W$2)</f>
        <v>'Pedido Incompleto'</v>
      </c>
      <c r="T7" s="59" t="str">
        <f>CONCATENATE($T$2,$T$3,$V$2,$V$3,$Y$2,$U$2,$V$2,R7,$Y$2)</f>
        <v>insert into activity_types (ACTIVITY_TYPE_NAME) values  ('Pedido Incompleto')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G1"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19.42578125" style="23" customWidth="1"/>
    <col min="2" max="5" width="16.5703125" style="23" bestFit="1" customWidth="1"/>
    <col min="6" max="7" width="18.85546875" style="23" bestFit="1" customWidth="1"/>
    <col min="8" max="9" width="18.85546875" style="23" customWidth="1"/>
    <col min="10" max="10" width="24.85546875" style="23" customWidth="1"/>
    <col min="11" max="11" width="12.28515625" hidden="1" customWidth="1"/>
    <col min="12" max="16384" width="11.42578125" style="15"/>
  </cols>
  <sheetData>
    <row r="1" spans="1:26" ht="45" customHeight="1" x14ac:dyDescent="0.25">
      <c r="A1" s="28" t="s">
        <v>118</v>
      </c>
      <c r="B1" s="33"/>
      <c r="C1" s="28"/>
      <c r="D1" s="33"/>
      <c r="E1" s="33"/>
      <c r="F1" s="33"/>
      <c r="G1" s="33"/>
      <c r="H1" s="33"/>
      <c r="I1" s="33"/>
      <c r="J1" s="33"/>
      <c r="K1" s="15"/>
    </row>
    <row r="2" spans="1:26" x14ac:dyDescent="0.25">
      <c r="A2" s="34" t="s">
        <v>3</v>
      </c>
      <c r="B2" s="34" t="s">
        <v>3</v>
      </c>
      <c r="C2" s="34" t="s">
        <v>3</v>
      </c>
      <c r="D2" s="34"/>
      <c r="E2" s="34"/>
      <c r="F2" s="34" t="s">
        <v>3</v>
      </c>
      <c r="G2" s="34" t="s">
        <v>3</v>
      </c>
      <c r="H2" s="34" t="s">
        <v>3</v>
      </c>
      <c r="I2" s="34"/>
      <c r="J2" s="34"/>
      <c r="K2" s="15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F3" s="36"/>
      <c r="G3" s="36" t="s">
        <v>28</v>
      </c>
      <c r="H3" s="36"/>
      <c r="I3" s="36"/>
      <c r="J3" s="36"/>
      <c r="K3" s="15"/>
      <c r="T3" s="53" t="s">
        <v>308</v>
      </c>
      <c r="U3" s="53"/>
      <c r="V3" s="53" t="s">
        <v>307</v>
      </c>
      <c r="W3" s="53"/>
      <c r="X3" s="53"/>
      <c r="Y3" s="53"/>
      <c r="Z3" s="53"/>
    </row>
    <row r="4" spans="1:26" ht="15.75" thickBot="1" x14ac:dyDescent="0.3">
      <c r="A4" s="31"/>
      <c r="B4" s="31" t="s">
        <v>17</v>
      </c>
      <c r="C4" s="31" t="s">
        <v>89</v>
      </c>
      <c r="D4" s="31" t="s">
        <v>89</v>
      </c>
      <c r="E4" s="31" t="s">
        <v>99</v>
      </c>
      <c r="F4" s="31" t="s">
        <v>100</v>
      </c>
      <c r="G4" s="31"/>
      <c r="H4" s="31" t="s">
        <v>31</v>
      </c>
      <c r="I4" s="31" t="s">
        <v>31</v>
      </c>
      <c r="J4" s="31" t="s">
        <v>31</v>
      </c>
      <c r="K4" s="15"/>
    </row>
    <row r="5" spans="1:26" s="17" customFormat="1" x14ac:dyDescent="0.25">
      <c r="A5" s="32" t="s">
        <v>121</v>
      </c>
      <c r="B5" s="32" t="s">
        <v>92</v>
      </c>
      <c r="C5" s="32" t="s">
        <v>94</v>
      </c>
      <c r="D5" s="32" t="s">
        <v>93</v>
      </c>
      <c r="E5" s="32" t="s">
        <v>74</v>
      </c>
      <c r="F5" s="32" t="s">
        <v>95</v>
      </c>
      <c r="G5" s="32" t="s">
        <v>76</v>
      </c>
      <c r="H5" s="32" t="s">
        <v>122</v>
      </c>
      <c r="I5" s="32" t="s">
        <v>97</v>
      </c>
      <c r="J5" s="32" t="s">
        <v>119</v>
      </c>
      <c r="K5" s="22" t="s">
        <v>108</v>
      </c>
    </row>
    <row r="6" spans="1:26" x14ac:dyDescent="0.25">
      <c r="A6" s="23" t="s">
        <v>284</v>
      </c>
      <c r="B6" s="23" t="s">
        <v>295</v>
      </c>
      <c r="C6" s="23" t="s">
        <v>296</v>
      </c>
      <c r="D6" s="23" t="s">
        <v>297</v>
      </c>
      <c r="F6" s="23" t="s">
        <v>298</v>
      </c>
      <c r="G6" s="23" t="s">
        <v>254</v>
      </c>
      <c r="H6" s="23" t="s">
        <v>299</v>
      </c>
      <c r="I6" s="56" t="s">
        <v>300</v>
      </c>
      <c r="K6" s="15" t="str">
        <f>IF(A6&lt;&gt;"",IF(B6&lt;&gt;"",CONCATENATE(A6,"-",B6),""),"")</f>
        <v>trasportes fusa-Carmelita la nita</v>
      </c>
      <c r="N6" s="53" t="str">
        <f>CONCATENATE("DECLARE @IDFORWARDER INT = (SELECT FORWARDER_ID FROM forwarders WHERE FORWARDER_NAME = '",A6,"')")</f>
        <v>DECLARE @IDFORWARDER INT = (SELECT FORWARDER_ID FROM forwarders WHERE FORWARDER_NAME = 'trasportes fusa')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'",G6,"')")</f>
        <v>DECLARE @IDCITY INT = (SELECT CITY_ID FROM cities a JOIN departments b ON b.DEPARTMENT_ID = a.DEPARTMENT_ID JOIN countries c ON c.COUNTRY_ID = B.COUNTRY_ID WHERE c.COUNTRY_CODE +'-'+B.DEPARTMENT_NAME+'-'+a.CITY_NAME = 'CO-Cundinamarca-Bogota')</v>
      </c>
      <c r="Q6" s="23"/>
      <c r="R6" s="53" t="str">
        <f>CONCATENATE("@IDFORWARDER",$X$2,$W$2,B6,$W$2,$X$2,$W$2,C6,$W$2,$X$2,IF(LEN(D6)&gt;0,CONCATENATE($W$2,D6,$W$2),$Z$2),$X$2,IF(LEN(E6)&gt;0,CONCATENATE($W$2,E6,$W$2),$Z$2),$X$2,$W$2,F6,$W$2,$X$2,"@IDCITY",$X$2,$W$2,H6,$W$2,$X$2,IF(LEN(I6)&gt;0,CONCATENATE($W$2,I6,$W$2),$Z$2),$X$2,IF(LEN(J6)&gt;0,CONCATENATE($W$2,J6,$W$2),$Z$2))</f>
        <v>@IDFORWARDER,'Carmelita la nita','5454548787','21352124',NULL,'Calle 40 # 20 - 23',@IDCITY,'Camela Nita Lopez','carmela@fusa.com',NULL</v>
      </c>
      <c r="T6" s="59" t="str">
        <f>CONCATENATE(N6," ",P6," ",$T$2,$T$3,$V$2,$V$3,$Y$2,$U$2,$V$2,R6,$Y$2,CHAR(10),"GO")</f>
        <v>DECLARE @IDFORWARDER INT = (SELECT FORWARDER_ID FROM forwarders WHERE FORWARDER_NAME = 'trasportes fusa') DECLARE @IDCITY INT = (SELECT CITY_ID FROM cities a JOIN departments b ON b.DEPARTMENT_ID = a.DEPARTMENT_ID JOIN countries c ON c.COUNTRY_ID = B.COUNTRY_ID WHERE c.COUNTRY_CODE +'-'+B.DEPARTMENT_NAME+'-'+a.CITY_NAME = 'CO-Cundinamarca-Bogota') insert into forwarder_agents (FORWARDER_ID, FORWARDER_AGENT_NAME, PHONE1, PHONE2, FAX, FORWARDER_AGENT_ADDRESS, CITY_ID, CONTACT, EMAIL1, EMAIL2) values  (@IDFORWARDER,'Carmelita la nita','5454548787','21352124',NULL,'Calle 40 # 20 - 23',@IDCITY,'Camela Nita Lopez','carmela@fusa.com',NULL)
GO</v>
      </c>
    </row>
    <row r="7" spans="1:26" x14ac:dyDescent="0.25">
      <c r="A7" s="23" t="s">
        <v>290</v>
      </c>
      <c r="B7" s="23" t="s">
        <v>301</v>
      </c>
      <c r="C7" s="23" t="s">
        <v>302</v>
      </c>
      <c r="D7" s="23" t="s">
        <v>303</v>
      </c>
      <c r="F7" s="23" t="s">
        <v>304</v>
      </c>
      <c r="G7" s="23" t="s">
        <v>255</v>
      </c>
      <c r="H7" s="23" t="s">
        <v>305</v>
      </c>
      <c r="I7" s="56"/>
      <c r="J7" s="23" t="s">
        <v>306</v>
      </c>
      <c r="K7" s="15" t="str">
        <f>IF(A7&lt;&gt;"",IF(B7&lt;&gt;"",CONCATENATE(A7,"-",B7),""),"")</f>
        <v>International Trans Mar-Transmar Colombia</v>
      </c>
      <c r="N7" s="53" t="str">
        <f>CONCATENATE("DECLARE @IDFORWARDER INT = (SELECT FORWARDER_ID FROM forwarders WHERE FORWARDER_NAME = '",A7,"')")</f>
        <v>DECLARE @IDFORWARDER INT = (SELECT FORWARDER_ID FROM forwarders WHERE FORWARDER_NAME = 'International Trans Mar')</v>
      </c>
      <c r="P7" s="53" t="str">
        <f>CONCATENATE("DECLARE @IDCITY INT = (SELECT CITY_ID FROM cities a JOIN departments b ON b.DEPARTMENT_ID = a.DEPARTMENT_ID JOIN countries c ON c.COUNTRY_ID = B.COUNTRY_ID WHERE c.COUNTRY_CODE +'-'+B.DEPARTMENT_NAME+'-'+a.CITY_NAME = '",G7,"')")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Q7" s="23"/>
      <c r="R7" s="53" t="str">
        <f>CONCATENATE("@IDFORWARDER",$X$2,$W$2,B7,$W$2,$X$2,$W$2,C7,$W$2,$X$2,IF(LEN(D7)&gt;0,CONCATENATE($W$2,D7,$W$2),$Z$2),$X$2,IF(LEN(E7)&gt;0,CONCATENATE($W$2,E7,$W$2),$Z$2),$X$2,$W$2,F7,$W$2,$X$2,"@IDCITY",$X$2,$W$2,H7,$W$2,$X$2,IF(LEN(I7)&gt;0,CONCATENATE($W$2,I7,$W$2),$Z$2),$X$2,IF(LEN(J7)&gt;0,CONCATENATE($W$2,J7,$W$2),$Z$2))</f>
        <v>@IDFORWARDER,'Transmar Colombia','54252262','875412363',NULL,'Calle 28 # 12 - 35',@IDCITY,'Jose Lopez',NULL,'Lopez.jose@transmar.com'</v>
      </c>
      <c r="T7" s="59" t="str">
        <f>CONCATENATE(N7," ",P7," ",$T$2,$T$3,$V$2,$V$3,$Y$2,$U$2,$V$2,R7,$Y$2,CHAR(10),"GO")</f>
        <v>DECLARE @IDFORWARDER INT = (SELECT FORWARDER_ID FROM forwarders WHERE FORWARDER_NAME = 'International Trans Mar') DECLARE @IDCITY INT = (SELECT CITY_ID FROM cities a JOIN departments b ON b.DEPARTMENT_ID = a.DEPARTMENT_ID JOIN countries c ON c.COUNTRY_ID = B.COUNTRY_ID WHERE c.COUNTRY_CODE +'-'+B.DEPARTMENT_NAME+'-'+a.CITY_NAME = 'CO-Cundinamarca-Chia') insert into forwarder_agents (FORWARDER_ID, FORWARDER_AGENT_NAME, PHONE1, PHONE2, FAX, FORWARDER_AGENT_ADDRESS, CITY_ID, CONTACT, EMAIL1, EMAIL2) values  (@IDFORWARDER,'Transmar Colombia','54252262','875412363',NULL,'Calle 28 # 12 - 35',@IDCITY,'Jose Lopez',NULL,'Lopez.jose@transmar.com')
GO</v>
      </c>
    </row>
  </sheetData>
  <hyperlinks>
    <hyperlink ref="I6" r:id="rId1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Ciudades!$C$6:$C$99998</xm:f>
          </x14:formula1>
          <xm:sqref>G6:G7</xm:sqref>
        </x14:dataValidation>
        <x14:dataValidation type="list" allowBlank="1" showInputMessage="1" showErrorMessage="1">
          <x14:formula1>
            <xm:f>Transportadoras!$A$6:$A$1001</xm:f>
          </x14:formula1>
          <xm:sqref>A6:A7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2.28515625" style="23" customWidth="1"/>
    <col min="2" max="2" width="25.140625" style="23" customWidth="1"/>
    <col min="3" max="4" width="11.42578125" style="15"/>
    <col min="5" max="15" width="0" style="15" hidden="1" customWidth="1"/>
    <col min="16" max="16384" width="11.42578125" style="15"/>
  </cols>
  <sheetData>
    <row r="1" spans="1:26" ht="45" customHeight="1" x14ac:dyDescent="0.25">
      <c r="A1" s="28" t="s">
        <v>123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317</v>
      </c>
      <c r="U3" s="53"/>
      <c r="V3" s="53" t="s">
        <v>316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32</v>
      </c>
    </row>
    <row r="5" spans="1:26" s="17" customFormat="1" x14ac:dyDescent="0.25">
      <c r="A5" s="32" t="s">
        <v>124</v>
      </c>
      <c r="B5" s="32" t="s">
        <v>125</v>
      </c>
    </row>
    <row r="6" spans="1:26" x14ac:dyDescent="0.25">
      <c r="A6" s="23" t="s">
        <v>309</v>
      </c>
      <c r="B6" s="23" t="s">
        <v>310</v>
      </c>
      <c r="R6" s="53" t="str">
        <f>CONCATENATE($W$2,A6,$W$2,$X$2,$W$2,B6,$W$2)</f>
        <v>'Aereo','Transporte Aéreo'</v>
      </c>
      <c r="T6" s="59" t="str">
        <f>CONCATENATE($T$2,$T$3,$V$2,$V$3,$Y$2,$U$2,$V$2,R6,$Y$2)</f>
        <v>insert into shipment_methods (SHIPMENT_METHOD_NAME, SHIPMENT_METHOD_NOTES) values  ('Aereo','Transporte Aéreo')</v>
      </c>
    </row>
    <row r="7" spans="1:26" x14ac:dyDescent="0.25">
      <c r="A7" s="23" t="s">
        <v>311</v>
      </c>
      <c r="B7" s="23" t="s">
        <v>312</v>
      </c>
      <c r="R7" s="53" t="str">
        <f t="shared" ref="R7:R9" si="0">CONCATENATE($W$2,A7,$W$2,$X$2,$W$2,B7,$W$2)</f>
        <v>'Maritimo','Transporte Marítimo'</v>
      </c>
      <c r="T7" s="59" t="str">
        <f t="shared" ref="T7:T9" si="1">CONCATENATE($T$2,$T$3,$V$2,$V$3,$Y$2,$U$2,$V$2,R7,$Y$2)</f>
        <v>insert into shipment_methods (SHIPMENT_METHOD_NAME, SHIPMENT_METHOD_NOTES) values  ('Maritimo','Transporte Marítimo')</v>
      </c>
    </row>
    <row r="8" spans="1:26" x14ac:dyDescent="0.25">
      <c r="A8" s="23" t="s">
        <v>79</v>
      </c>
      <c r="B8" s="23" t="s">
        <v>313</v>
      </c>
      <c r="R8" s="53" t="str">
        <f t="shared" si="0"/>
        <v>'Combinado','Transporte Aéreo y Marítimo'</v>
      </c>
      <c r="T8" s="59" t="str">
        <f t="shared" si="1"/>
        <v>insert into shipment_methods (SHIPMENT_METHOD_NAME, SHIPMENT_METHOD_NOTES) values  ('Combinado','Transporte Aéreo y Marítimo')</v>
      </c>
    </row>
    <row r="9" spans="1:26" x14ac:dyDescent="0.25">
      <c r="A9" s="23" t="s">
        <v>314</v>
      </c>
      <c r="B9" s="23" t="s">
        <v>315</v>
      </c>
      <c r="R9" s="53" t="str">
        <f t="shared" si="0"/>
        <v>'Directo','Entrega local'</v>
      </c>
      <c r="T9" s="59" t="str">
        <f t="shared" si="1"/>
        <v>insert into shipment_methods (SHIPMENT_METHOD_NAME, SHIPMENT_METHOD_NOTES) values  ('Directo','Entrega local')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N2" sqref="N2:Z7"/>
    </sheetView>
  </sheetViews>
  <sheetFormatPr baseColWidth="10" defaultRowHeight="15" x14ac:dyDescent="0.25"/>
  <cols>
    <col min="1" max="1" width="26.85546875" style="23" customWidth="1"/>
    <col min="2" max="2" width="39.5703125" style="23" customWidth="1"/>
    <col min="3" max="4" width="11.42578125" style="15"/>
    <col min="5" max="11" width="0" style="15" hidden="1" customWidth="1"/>
    <col min="12" max="16384" width="11.42578125" style="15"/>
  </cols>
  <sheetData>
    <row r="1" spans="1:26" ht="45" customHeight="1" x14ac:dyDescent="0.25">
      <c r="A1" s="28" t="s">
        <v>126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320</v>
      </c>
      <c r="U3" s="53"/>
      <c r="V3" s="53" t="s">
        <v>321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127</v>
      </c>
      <c r="B5" s="32" t="s">
        <v>128</v>
      </c>
    </row>
    <row r="6" spans="1:26" x14ac:dyDescent="0.25">
      <c r="A6" s="23" t="s">
        <v>309</v>
      </c>
      <c r="B6" s="23" t="s">
        <v>318</v>
      </c>
      <c r="N6" s="53" t="str">
        <f>CONCATENATE("DECLARE @SHIPMENTMETHODID INT = (SELECT SHIPMENT_METHOD_ID FROM shipment_methods WHERE SHIPMENT_METHOD_NAME = '",A6,"')")</f>
        <v>DECLARE @SHIPMENTMETHODID INT = (SELECT SHIPMENT_METHOD_ID FROM shipment_methods WHERE SHIPMENT_METHOD_NAME = 'Aereo')</v>
      </c>
      <c r="P6" s="53" t="str">
        <f>CONCATENATE("DECLARE @FORWARDERAGENTID INT = (SELECT FORWARDER_AGENT_ID FROM forwarder_agents a JOIN forwarders b ON b.FORWARDER_ID = a.FORWARDER_ID WHERE b.FORWARDER_NAME +'-'+a.FORWARDER_AGENT_NAME = '",B6,"')")</f>
        <v>DECLARE @FORWARDERAGENTID INT = (SELECT FORWARDER_AGENT_ID FROM forwarder_agents a JOIN forwarders b ON b.FORWARDER_ID = a.FORWARDER_ID WHERE b.FORWARDER_NAME +'-'+a.FORWARDER_AGENT_NAME = 'trasportes fusa-Carmelita la nita')</v>
      </c>
      <c r="Q6" s="23"/>
      <c r="R6" s="53" t="str">
        <f>CONCATENATE("@SHIPMENTMETHODID",$X$2,"@FORWARDERAGENTID")</f>
        <v>@SHIPMENTMETHODID,@FORWARDERAGENTID</v>
      </c>
      <c r="T6" s="59" t="str">
        <f>CONCATENATE(N6," ",P6," ",$T$2,$T$3,$V$2,$V$3,$Y$2,$U$2,$V$2,R6,$Y$2,CHAR(10),"GO")</f>
        <v>DECLARE @SHIPMENTMETHODID INT = (SELECT SHIPMENT_METHOD_ID FROM shipment_methods WHERE SHIPMENT_METHOD_NAME = 'Aereo') DECLARE @FORWARDERAGENTID INT = (SELECT FORWARDER_AGENT_ID FROM forwarder_agents a JOIN forwarders b ON b.FORWARDER_ID = a.FORWARDER_ID WHERE b.FORWARDER_NAME +'-'+a.FORWARDER_AGENT_NAME = 'trasportes fusa-Carmelita la nita') insert into shipment_forwarder_agent_methods (SHIPMENT_METHOD_ID, FORWARDER_AGENT_ID) values  (@SHIPMENTMETHODID,@FORWARDERAGENTID)
GO</v>
      </c>
    </row>
    <row r="7" spans="1:26" x14ac:dyDescent="0.25">
      <c r="A7" s="23" t="s">
        <v>311</v>
      </c>
      <c r="B7" s="23" t="s">
        <v>319</v>
      </c>
      <c r="N7" s="53" t="str">
        <f>CONCATENATE("DECLARE @SHIPMENTMETHODID INT = (SELECT SHIPMENT_METHOD_ID FROM shipment_methods WHERE SHIPMENT_METHOD_NAME = '",A7,"')")</f>
        <v>DECLARE @SHIPMENTMETHODID INT = (SELECT SHIPMENT_METHOD_ID FROM shipment_methods WHERE SHIPMENT_METHOD_NAME = 'Maritimo')</v>
      </c>
      <c r="P7" s="53" t="str">
        <f>CONCATENATE("DECLARE @FORWARDERAGENTID INT = (SELECT FORWARDER_AGENT_ID FROM forwarder_agents a JOIN forwarders b ON b.FORWARDER_ID = a.FORWARDER_ID WHERE b.FORWARDER_NAME +'-'+a.FORWARDER_AGENT_NAME = '",B7,"')")</f>
        <v>DECLARE @FORWARDERAGENTID INT = (SELECT FORWARDER_AGENT_ID FROM forwarder_agents a JOIN forwarders b ON b.FORWARDER_ID = a.FORWARDER_ID WHERE b.FORWARDER_NAME +'-'+a.FORWARDER_AGENT_NAME = 'International Trans Mar-Transmar Colombia')</v>
      </c>
      <c r="Q7" s="23"/>
      <c r="R7" s="53" t="str">
        <f>CONCATENATE("@SHIPMENTMETHODID",$X$2,"@FORWARDERAGENTID")</f>
        <v>@SHIPMENTMETHODID,@FORWARDERAGENTID</v>
      </c>
      <c r="T7" s="59" t="str">
        <f>CONCATENATE(N7," ",P7," ",$T$2,$T$3,$V$2,$V$3,$Y$2,$U$2,$V$2,R7,$Y$2,CHAR(10),"GO")</f>
        <v>DECLARE @SHIPMENTMETHODID INT = (SELECT SHIPMENT_METHOD_ID FROM shipment_methods WHERE SHIPMENT_METHOD_NAME = 'Maritimo') DECLARE @FORWARDERAGENTID INT = (SELECT FORWARDER_AGENT_ID FROM forwarder_agents a JOIN forwarders b ON b.FORWARDER_ID = a.FORWARDER_ID WHERE b.FORWARDER_NAME +'-'+a.FORWARDER_AGENT_NAME = 'International Trans Mar-Transmar Colombia') insert into shipment_forwarder_agent_methods (SHIPMENT_METHOD_ID, FORWARDER_AGENT_ID) values  (@SHIPMENTMETHODID,@FORWARDERAGENTID)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'Agentes de Transportadora'!$K$6:$K$1000</xm:f>
          </x14:formula1>
          <xm:sqref>B6:B7</xm:sqref>
        </x14:dataValidation>
        <x14:dataValidation type="list" allowBlank="1" showInputMessage="1" showErrorMessage="1">
          <x14:formula1>
            <xm:f>'Métodos de Transporte'!$A$6:$A$1003</xm:f>
          </x14:formula1>
          <xm:sqref>A6:A7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pane ySplit="5" topLeftCell="A6" activePane="bottomLeft" state="frozen"/>
      <selection pane="bottomLeft" activeCell="T6" sqref="T6"/>
    </sheetView>
  </sheetViews>
  <sheetFormatPr baseColWidth="10" defaultRowHeight="15" x14ac:dyDescent="0.25"/>
  <cols>
    <col min="1" max="2" width="28.140625" style="23" customWidth="1"/>
    <col min="3" max="3" width="15" style="23" bestFit="1" customWidth="1"/>
    <col min="4" max="4" width="11" style="23" bestFit="1" customWidth="1"/>
    <col min="5" max="5" width="11.42578125" style="15"/>
    <col min="6" max="6" width="0" style="15" hidden="1" customWidth="1"/>
    <col min="7" max="12" width="11.42578125" style="15" hidden="1" customWidth="1"/>
    <col min="13" max="16" width="11.42578125" style="15" customWidth="1"/>
    <col min="17" max="16384" width="11.42578125" style="15"/>
  </cols>
  <sheetData>
    <row r="1" spans="1:26" ht="45" customHeight="1" x14ac:dyDescent="0.25">
      <c r="A1" s="28" t="s">
        <v>129</v>
      </c>
      <c r="B1" s="28"/>
      <c r="C1" s="28"/>
      <c r="D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36" t="s">
        <v>28</v>
      </c>
      <c r="D3" s="36" t="s">
        <v>28</v>
      </c>
      <c r="T3" s="53" t="s">
        <v>322</v>
      </c>
      <c r="U3" s="53"/>
      <c r="V3" s="53" t="s">
        <v>323</v>
      </c>
      <c r="W3" s="53"/>
      <c r="X3" s="53"/>
      <c r="Y3" s="53"/>
      <c r="Z3" s="53"/>
    </row>
    <row r="4" spans="1:26" ht="15.75" thickBot="1" x14ac:dyDescent="0.3">
      <c r="A4" s="31" t="s">
        <v>5</v>
      </c>
      <c r="B4" s="31" t="s">
        <v>31</v>
      </c>
      <c r="C4" s="31"/>
      <c r="D4" s="31"/>
    </row>
    <row r="5" spans="1:26" s="17" customFormat="1" x14ac:dyDescent="0.25">
      <c r="A5" s="32" t="s">
        <v>130</v>
      </c>
      <c r="B5" s="32" t="s">
        <v>92</v>
      </c>
      <c r="C5" s="32" t="s">
        <v>131</v>
      </c>
      <c r="D5" s="32" t="s">
        <v>132</v>
      </c>
    </row>
    <row r="6" spans="1:26" x14ac:dyDescent="0.25">
      <c r="A6" s="23" t="s">
        <v>181</v>
      </c>
      <c r="B6" s="23" t="s">
        <v>154</v>
      </c>
      <c r="C6" s="23" t="s">
        <v>85</v>
      </c>
      <c r="D6" s="23" t="s">
        <v>85</v>
      </c>
      <c r="N6" s="53" t="str">
        <f>CONCATENATE("DECLARE @ISDEMON BIT = (CASE WHEN '",C6,"' = 'Si' THEN 1 ELSE 0 END)")</f>
        <v>DECLARE @ISDEMON BIT = (CASE WHEN 'Si' = 'Si' THEN 1 ELSE 0 END)</v>
      </c>
      <c r="P6" s="53" t="str">
        <f>CONCATENATE("DECLARE @ISACTIVE BIT = (CASE WHEN '",D6,"' = 'Si' THEN 1 ELSE 0 END)")</f>
        <v>DECLARE @ISACTIVE BIT = (CASE WHEN 'Si' = 'Si' THEN 1 ELSE 0 END)</v>
      </c>
      <c r="R6" s="53" t="str">
        <f>CONCATENATE($W$2,A6,$W$2,$X$2,$W$2,B6,$W$2,$X$2,"@ISDEMON",$X$2,"@ISACTIVE")</f>
        <v>'001','Importados',@ISDEMON,@ISACTIVE</v>
      </c>
      <c r="T6" s="59" t="str">
        <f>CONCATENATE(N6," ",P6," ",$T$2,$T$3,$V$2,$V$3,$Y$2,$U$2,$V$2,R6,$Y$2,CHAR(10),"GO")</f>
        <v>DECLARE @ISDEMON BIT = (CASE WHEN 'Si' = 'Si' THEN 1 ELSE 0 END) DECLARE @ISACTIVE BIT = (CASE WHEN 'Si' = 'Si' THEN 1 ELSE 0 END) insert into lines (LINE_CODE, LINE_NAME, IS_DEMON, IS_ACTIVE) values  ('001','Importados',@ISDEMON,@ISACTIVE)
GO</v>
      </c>
    </row>
  </sheetData>
  <dataValidations count="1">
    <dataValidation type="list" allowBlank="1" showInputMessage="1" showErrorMessage="1" sqref="C6:D6">
      <formula1>"Si,No"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2.7109375" style="23" customWidth="1"/>
    <col min="2" max="2" width="22.7109375" style="15" customWidth="1"/>
    <col min="3" max="3" width="11.42578125" style="15"/>
    <col min="4" max="13" width="12.42578125" style="15" hidden="1" customWidth="1"/>
    <col min="14" max="16" width="0" style="15" hidden="1" customWidth="1"/>
    <col min="17" max="16384" width="11.42578125" style="15"/>
  </cols>
  <sheetData>
    <row r="1" spans="1:26" ht="45" customHeight="1" x14ac:dyDescent="0.25">
      <c r="A1" s="28" t="s">
        <v>133</v>
      </c>
    </row>
    <row r="2" spans="1:26" x14ac:dyDescent="0.25">
      <c r="A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T3" s="53" t="s">
        <v>327</v>
      </c>
      <c r="U3" s="53"/>
      <c r="V3" s="53" t="s">
        <v>328</v>
      </c>
      <c r="W3" s="53"/>
      <c r="X3" s="53"/>
      <c r="Y3" s="53"/>
      <c r="Z3" s="53"/>
    </row>
    <row r="4" spans="1:26" ht="15.75" thickBot="1" x14ac:dyDescent="0.3">
      <c r="A4" s="31" t="s">
        <v>31</v>
      </c>
    </row>
    <row r="5" spans="1:26" s="17" customFormat="1" x14ac:dyDescent="0.25">
      <c r="A5" s="32" t="s">
        <v>92</v>
      </c>
    </row>
    <row r="6" spans="1:26" x14ac:dyDescent="0.25">
      <c r="A6" s="23" t="s">
        <v>324</v>
      </c>
      <c r="R6" s="53" t="str">
        <f>CONCATENATE($W$2,A6,$W$2)</f>
        <v>'EURO'</v>
      </c>
      <c r="T6" s="59" t="str">
        <f>CONCATENATE($T$2,$T$3,$V$2,$V$3,$Y$2,$U$2,$V$2,R6,$Y$2)</f>
        <v>insert into currencies (CURRENCY_NAME) values  ('EURO')</v>
      </c>
    </row>
    <row r="7" spans="1:26" x14ac:dyDescent="0.25">
      <c r="A7" s="23" t="s">
        <v>325</v>
      </c>
      <c r="R7" s="53" t="str">
        <f t="shared" ref="R7:R8" si="0">CONCATENATE($W$2,A7,$W$2)</f>
        <v>'PESO'</v>
      </c>
      <c r="T7" s="59" t="str">
        <f t="shared" ref="T7:T8" si="1">CONCATENATE($T$2,$T$3,$V$2,$V$3,$Y$2,$U$2,$V$2,R7,$Y$2)</f>
        <v>insert into currencies (CURRENCY_NAME) values  ('PESO')</v>
      </c>
    </row>
    <row r="8" spans="1:26" x14ac:dyDescent="0.25">
      <c r="A8" s="23" t="s">
        <v>326</v>
      </c>
      <c r="R8" s="53" t="str">
        <f t="shared" si="0"/>
        <v>'USD'</v>
      </c>
      <c r="T8" s="59" t="str">
        <f t="shared" si="1"/>
        <v>insert into currencies (CURRENCY_NAME) values  ('USD')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R2" sqref="R2:Z9"/>
    </sheetView>
  </sheetViews>
  <sheetFormatPr baseColWidth="10" defaultRowHeight="15" x14ac:dyDescent="0.25"/>
  <cols>
    <col min="1" max="1" width="22" style="23" customWidth="1"/>
    <col min="2" max="5" width="11.42578125" style="15"/>
    <col min="6" max="16" width="0" style="15" hidden="1" customWidth="1"/>
    <col min="17" max="16384" width="11.42578125" style="15"/>
  </cols>
  <sheetData>
    <row r="1" spans="1:26" ht="45" customHeight="1" x14ac:dyDescent="0.25">
      <c r="A1" s="28" t="s">
        <v>134</v>
      </c>
    </row>
    <row r="2" spans="1:26" x14ac:dyDescent="0.25">
      <c r="A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T3" s="53" t="s">
        <v>329</v>
      </c>
      <c r="U3" s="53"/>
      <c r="V3" s="53" t="s">
        <v>330</v>
      </c>
      <c r="W3" s="53"/>
      <c r="X3" s="53"/>
      <c r="Y3" s="53"/>
      <c r="Z3" s="53"/>
    </row>
    <row r="4" spans="1:26" ht="15.75" thickBot="1" x14ac:dyDescent="0.3">
      <c r="A4" s="31" t="s">
        <v>31</v>
      </c>
    </row>
    <row r="5" spans="1:26" s="17" customFormat="1" x14ac:dyDescent="0.25">
      <c r="A5" s="32" t="s">
        <v>92</v>
      </c>
    </row>
    <row r="6" spans="1:26" x14ac:dyDescent="0.25">
      <c r="A6" s="23" t="s">
        <v>331</v>
      </c>
      <c r="R6" s="53" t="str">
        <f>CONCATENATE($W$2,A6,$W$2)</f>
        <v>'Caja'</v>
      </c>
      <c r="T6" s="59" t="str">
        <f>CONCATENATE($T$2,$T$3,$V$2,$V$3,$Y$2,$U$2,$V$2,R6,$Y$2)</f>
        <v>insert into measure_units (MEASURE_UNIT_NAME) values  ('Caja')</v>
      </c>
    </row>
    <row r="7" spans="1:26" x14ac:dyDescent="0.25">
      <c r="A7" s="23" t="s">
        <v>332</v>
      </c>
      <c r="R7" s="53" t="str">
        <f t="shared" ref="R7:R8" si="0">CONCATENATE($W$2,A7,$W$2)</f>
        <v>'Centimetro Cúbico'</v>
      </c>
      <c r="T7" s="59" t="str">
        <f t="shared" ref="T7:T8" si="1">CONCATENATE($T$2,$T$3,$V$2,$V$3,$Y$2,$U$2,$V$2,R7,$Y$2)</f>
        <v>insert into measure_units (MEASURE_UNIT_NAME) values  ('Centimetro Cúbico')</v>
      </c>
    </row>
    <row r="8" spans="1:26" x14ac:dyDescent="0.25">
      <c r="A8" s="23" t="s">
        <v>333</v>
      </c>
      <c r="R8" s="53" t="str">
        <f t="shared" si="0"/>
        <v>'Gramo'</v>
      </c>
      <c r="T8" s="59" t="str">
        <f t="shared" si="1"/>
        <v>insert into measure_units (MEASURE_UNIT_NAME) values  ('Gramo')</v>
      </c>
    </row>
    <row r="9" spans="1:26" x14ac:dyDescent="0.25">
      <c r="A9" s="23" t="s">
        <v>334</v>
      </c>
      <c r="R9" s="53" t="str">
        <f t="shared" ref="R9" si="2">CONCATENATE($W$2,A9,$W$2)</f>
        <v>'Pieza'</v>
      </c>
      <c r="T9" s="59" t="str">
        <f t="shared" ref="T9" si="3">CONCATENATE($T$2,$T$3,$V$2,$V$3,$Y$2,$U$2,$V$2,R9,$Y$2)</f>
        <v>insert into measure_units (MEASURE_UNIT_NAME) values  ('Pieza')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topLeftCell="J1" workbookViewId="0">
      <pane ySplit="5" topLeftCell="A6" activePane="bottomLeft" state="frozen"/>
      <selection pane="bottomLeft" activeCell="AA6" sqref="AA6"/>
    </sheetView>
  </sheetViews>
  <sheetFormatPr baseColWidth="10" defaultRowHeight="15" x14ac:dyDescent="0.25"/>
  <cols>
    <col min="1" max="1" width="18.5703125" style="23" customWidth="1"/>
    <col min="2" max="2" width="20.140625" style="23" customWidth="1"/>
    <col min="3" max="3" width="23.42578125" style="23" customWidth="1"/>
    <col min="4" max="4" width="18.140625" style="23" customWidth="1"/>
    <col min="5" max="5" width="22.42578125" style="23" customWidth="1"/>
    <col min="6" max="6" width="13.7109375" style="43" customWidth="1"/>
    <col min="7" max="7" width="11" style="23" bestFit="1" customWidth="1"/>
    <col min="8" max="8" width="17.5703125" style="23" bestFit="1" customWidth="1"/>
    <col min="9" max="9" width="14.85546875" style="23" customWidth="1"/>
    <col min="10" max="10" width="13.28515625" style="44" customWidth="1"/>
    <col min="11" max="11" width="13.42578125" style="44" customWidth="1"/>
    <col min="12" max="12" width="13.28515625" style="44" customWidth="1"/>
    <col min="13" max="13" width="14.85546875" style="23" customWidth="1"/>
    <col min="14" max="14" width="14.7109375" style="23" customWidth="1"/>
    <col min="15" max="15" width="17.28515625" style="23" bestFit="1" customWidth="1"/>
    <col min="16" max="16" width="11" style="23" bestFit="1" customWidth="1"/>
    <col min="17" max="17" width="16.28515625" style="23" customWidth="1"/>
    <col min="18" max="18" width="11.42578125" hidden="1" customWidth="1"/>
    <col min="19" max="16384" width="11.42578125" style="15"/>
  </cols>
  <sheetData>
    <row r="1" spans="1:35" ht="54.75" customHeight="1" x14ac:dyDescent="0.25">
      <c r="A1" s="28" t="s">
        <v>135</v>
      </c>
      <c r="B1" s="28"/>
      <c r="C1" s="28"/>
      <c r="D1" s="28"/>
      <c r="E1" s="28"/>
      <c r="F1" s="38"/>
      <c r="G1" s="66" t="s">
        <v>346</v>
      </c>
      <c r="H1" s="66"/>
      <c r="I1" s="66"/>
      <c r="J1" s="66"/>
      <c r="K1" s="66"/>
      <c r="L1" s="66"/>
      <c r="M1" s="66"/>
      <c r="N1" s="66"/>
      <c r="O1" s="66"/>
      <c r="P1" s="66"/>
      <c r="Q1" s="66"/>
      <c r="R1" s="15"/>
    </row>
    <row r="2" spans="1:35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9" t="s">
        <v>3</v>
      </c>
      <c r="G2" s="34" t="s">
        <v>3</v>
      </c>
      <c r="H2" s="34"/>
      <c r="I2" s="34" t="s">
        <v>3</v>
      </c>
      <c r="J2" s="45" t="s">
        <v>3</v>
      </c>
      <c r="K2" s="45" t="s">
        <v>3</v>
      </c>
      <c r="L2" s="45" t="s">
        <v>3</v>
      </c>
      <c r="M2" s="34" t="s">
        <v>3</v>
      </c>
      <c r="N2" s="34"/>
      <c r="O2" s="34" t="s">
        <v>3</v>
      </c>
      <c r="P2" s="34" t="s">
        <v>3</v>
      </c>
      <c r="Q2" s="34" t="s">
        <v>3</v>
      </c>
      <c r="R2" s="15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35" x14ac:dyDescent="0.25">
      <c r="A3" s="36" t="s">
        <v>28</v>
      </c>
      <c r="B3" s="36"/>
      <c r="C3" s="36"/>
      <c r="D3" s="36"/>
      <c r="E3" s="36"/>
      <c r="F3" s="40"/>
      <c r="G3" s="36" t="s">
        <v>28</v>
      </c>
      <c r="H3" s="36"/>
      <c r="I3" s="36" t="s">
        <v>28</v>
      </c>
      <c r="J3" s="46"/>
      <c r="K3" s="46"/>
      <c r="L3" s="46"/>
      <c r="M3" s="36" t="s">
        <v>28</v>
      </c>
      <c r="N3" s="36" t="s">
        <v>28</v>
      </c>
      <c r="O3" s="36" t="s">
        <v>28</v>
      </c>
      <c r="P3" s="36" t="s">
        <v>28</v>
      </c>
      <c r="Q3" s="36" t="s">
        <v>28</v>
      </c>
      <c r="R3" s="15"/>
      <c r="T3" s="53" t="s">
        <v>347</v>
      </c>
      <c r="U3" s="53"/>
      <c r="V3" s="53" t="s">
        <v>348</v>
      </c>
      <c r="W3" s="53"/>
      <c r="X3" s="53"/>
      <c r="Y3" s="53"/>
      <c r="Z3" s="53"/>
    </row>
    <row r="4" spans="1:35" ht="15.75" thickBot="1" x14ac:dyDescent="0.3">
      <c r="A4" s="31"/>
      <c r="B4" s="31" t="s">
        <v>5</v>
      </c>
      <c r="C4" s="31" t="s">
        <v>17</v>
      </c>
      <c r="D4" s="31" t="s">
        <v>150</v>
      </c>
      <c r="E4" s="31" t="s">
        <v>17</v>
      </c>
      <c r="F4" s="41" t="s">
        <v>149</v>
      </c>
      <c r="G4" s="31"/>
      <c r="H4" s="31" t="s">
        <v>51</v>
      </c>
      <c r="I4" s="31"/>
      <c r="J4" s="47" t="s">
        <v>149</v>
      </c>
      <c r="K4" s="47" t="s">
        <v>149</v>
      </c>
      <c r="L4" s="47" t="s">
        <v>149</v>
      </c>
      <c r="M4" s="31"/>
      <c r="N4" s="31"/>
      <c r="O4" s="31"/>
      <c r="P4" s="31"/>
      <c r="Q4" s="31"/>
      <c r="R4" s="15"/>
    </row>
    <row r="5" spans="1:35" s="25" customFormat="1" ht="30" x14ac:dyDescent="0.25">
      <c r="A5" s="37" t="s">
        <v>151</v>
      </c>
      <c r="B5" s="37" t="s">
        <v>136</v>
      </c>
      <c r="C5" s="37" t="s">
        <v>137</v>
      </c>
      <c r="D5" s="37" t="s">
        <v>139</v>
      </c>
      <c r="E5" s="37" t="s">
        <v>138</v>
      </c>
      <c r="F5" s="42" t="s">
        <v>140</v>
      </c>
      <c r="G5" s="37" t="s">
        <v>141</v>
      </c>
      <c r="H5" s="37" t="s">
        <v>16</v>
      </c>
      <c r="I5" s="37" t="s">
        <v>335</v>
      </c>
      <c r="J5" s="48" t="s">
        <v>142</v>
      </c>
      <c r="K5" s="48" t="s">
        <v>143</v>
      </c>
      <c r="L5" s="48" t="s">
        <v>144</v>
      </c>
      <c r="M5" s="37" t="s">
        <v>145</v>
      </c>
      <c r="N5" s="37" t="s">
        <v>148</v>
      </c>
      <c r="O5" s="37" t="s">
        <v>146</v>
      </c>
      <c r="P5" s="37" t="s">
        <v>84</v>
      </c>
      <c r="Q5" s="37" t="s">
        <v>147</v>
      </c>
      <c r="R5" s="27" t="s">
        <v>79</v>
      </c>
      <c r="T5" s="17"/>
      <c r="U5" s="17"/>
      <c r="V5" s="17"/>
      <c r="W5" s="17"/>
      <c r="X5" s="17"/>
      <c r="Y5" s="17"/>
      <c r="Z5" s="17"/>
      <c r="AB5" s="25" t="s">
        <v>336</v>
      </c>
      <c r="AC5" s="25" t="s">
        <v>141</v>
      </c>
      <c r="AD5" s="25" t="s">
        <v>337</v>
      </c>
      <c r="AE5" s="25" t="s">
        <v>338</v>
      </c>
      <c r="AF5" s="25" t="s">
        <v>339</v>
      </c>
      <c r="AG5" s="25" t="s">
        <v>340</v>
      </c>
      <c r="AH5" s="25" t="s">
        <v>84</v>
      </c>
      <c r="AI5" s="25" t="s">
        <v>341</v>
      </c>
    </row>
    <row r="6" spans="1:35" x14ac:dyDescent="0.25">
      <c r="A6" s="23" t="s">
        <v>181</v>
      </c>
      <c r="B6" s="23" t="s">
        <v>349</v>
      </c>
      <c r="C6" s="23" t="s">
        <v>345</v>
      </c>
      <c r="D6" s="23" t="s">
        <v>344</v>
      </c>
      <c r="E6" s="23" t="s">
        <v>343</v>
      </c>
      <c r="F6" s="57">
        <v>0.12458569999999999</v>
      </c>
      <c r="G6" s="23" t="s">
        <v>325</v>
      </c>
      <c r="H6" s="23" t="s">
        <v>342</v>
      </c>
      <c r="I6" s="23" t="s">
        <v>86</v>
      </c>
      <c r="J6" s="57">
        <v>1</v>
      </c>
      <c r="K6" s="57">
        <v>1</v>
      </c>
      <c r="L6" s="57">
        <v>1</v>
      </c>
      <c r="M6" s="23" t="s">
        <v>331</v>
      </c>
      <c r="N6" s="23" t="s">
        <v>332</v>
      </c>
      <c r="O6" s="23" t="s">
        <v>86</v>
      </c>
      <c r="P6" s="23" t="s">
        <v>85</v>
      </c>
      <c r="Q6" s="23" t="s">
        <v>85</v>
      </c>
      <c r="R6" s="15" t="str">
        <f>IF(A6&lt;&gt;"",IF(B6&lt;&gt;"",CONCATENATE(A6,"-",B6),""),"")</f>
        <v>001-MI001</v>
      </c>
      <c r="T6" s="59" t="str">
        <f>CONCATENATE(AB6," ",AC6," ",AD6," ",AE6," ",AF6," ",AG6," ",AH6," ",AI6," ",$T$2,$T$3,$V$2,$V$3,$Y$2,$U$2,$V$2,AA6,$Y$2,CHAR(10),"GO")</f>
        <v>DECLARE @LINEID INT = (SELECT LINE_ID FROM lines WHERE LINE_CODE = '001') DECLARE @CURRENCYID INT = (SELECT CURRENCY_ID FROM currencies WHERE CURRENCY_NAME = 'PESO') DECLARE @ISEXTERNAL BIT = (CASE WHEN 'No' = 'Si' THEN 1 ELSE 0 END) DECLARE @FOBID INT = (SELECT MEASURE_UNIT_ID FROM measure_units WHERE MEASURE_UNIT_NAME ='Caja') DECLARE @CIIFID INT = (SELECT MEASURE_UNIT_ID FROM measure_units WHERE MEASURE_UNIT_NAME ='Centimetro Cúbico') DECLARE @ISPRODNAL BIT = (CASE WHEN 'No' = 'Si' THEN 1 ELSE 0 END) DECLARE @ISACTIVE BIT = (CASE WHEN 'Si' = 'Si' THEN 1 ELSE 0 END) DECLARE @ISVISIBLE BIT = (CASE WHEN 'Si'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(@LINEID,'MI001','MI PRUEBA','0001 AZUL','MIPRUEBA PROV',0.1245857,@CURRENCYID,'PRUEBA',@ISEXTERNAL,1,1,1,@FOBID,@CIIFID,@ISPRODNAL,@ISACTIVE,@ISVISIBLE)
GO</v>
      </c>
      <c r="AA6" s="53" t="str">
        <f>CONCATENATE("@LINEID",$X$2,$W$2,B6,$W$2,$X$2,$W$2,C6,$W$2,$X$2,$W$2,D6,$W$2,$X$2,$W$2,E6,$W$2,$X$2,F6,$X$2,"@CURRENCYID",$X$2,IF(LEN(H6)&gt;0,CONCATENATE($W$2,H6,$W$2),$Z$2),$X$2,"@ISEXTERNAL",$X$2,J6,$X$2,K6,$X$2,L6,$X$2,"@FOBID",$X$2,"@CIIFID",$X$2,"@ISPRODNAL",$X$2,"@ISACTIVE",$X$2,"@ISVISIBLE")</f>
        <v>@LINEID,'MI001','MI PRUEBA','0001 AZUL','MIPRUEBA PROV',0.1245857,@CURRENCYID,'PRUEBA',@ISEXTERNAL,1,1,1,@FOBID,@CIIFID,@ISPRODNAL,@ISACTIVE,@ISVISIBLE</v>
      </c>
      <c r="AB6" s="53" t="str">
        <f>CONCATENATE("DECLARE @LINEID INT = (SELECT LINE_ID FROM lines WHERE LINE_CODE = '",A6,"')")</f>
        <v>DECLARE @LINEID INT = (SELECT LINE_ID FROM lines WHERE LINE_CODE = '001')</v>
      </c>
      <c r="AC6" s="53" t="str">
        <f>CONCATENATE("DECLARE @CURRENCYID INT = (SELECT CURRENCY_ID FROM currencies WHERE CURRENCY_NAME = '",G6,"')")</f>
        <v>DECLARE @CURRENCYID INT = (SELECT CURRENCY_ID FROM currencies WHERE CURRENCY_NAME = 'PESO')</v>
      </c>
      <c r="AD6" s="53" t="str">
        <f>CONCATENATE("DECLARE @ISEXTERNAL BIT = (CASE WHEN '",I6,"' = 'Si' THEN 1 ELSE 0 END)")</f>
        <v>DECLARE @ISEXTERNAL BIT = (CASE WHEN 'No' = 'Si' THEN 1 ELSE 0 END)</v>
      </c>
      <c r="AE6" s="53" t="str">
        <f>CONCATENATE("DECLARE @FOBID INT = (SELECT MEASURE_UNIT_ID FROM measure_units WHERE MEASURE_UNIT_NAME ='",M6,"')")</f>
        <v>DECLARE @FOBID INT = (SELECT MEASURE_UNIT_ID FROM measure_units WHERE MEASURE_UNIT_NAME ='Caja')</v>
      </c>
      <c r="AF6" s="53" t="str">
        <f>CONCATENATE("DECLARE @CIIFID INT = (SELECT MEASURE_UNIT_ID FROM measure_units WHERE MEASURE_UNIT_NAME ='",N6,"')")</f>
        <v>DECLARE @CIIFID INT = (SELECT MEASURE_UNIT_ID FROM measure_units WHERE MEASURE_UNIT_NAME ='Centimetro Cúbico')</v>
      </c>
      <c r="AG6" s="53" t="str">
        <f>CONCATENATE("DECLARE @ISPRODNAL BIT = (CASE WHEN '",O6,"' = 'Si' THEN 1 ELSE 0 END)")</f>
        <v>DECLARE @ISPRODNAL BIT = (CASE WHEN 'No' = 'Si' THEN 1 ELSE 0 END)</v>
      </c>
      <c r="AH6" s="53" t="str">
        <f>CONCATENATE("DECLARE @ISACTIVE BIT = (CASE WHEN '",P6,"' = 'Si' THEN 1 ELSE 0 END)")</f>
        <v>DECLARE @ISACTIVE BIT = (CASE WHEN 'Si' = 'Si' THEN 1 ELSE 0 END)</v>
      </c>
      <c r="AI6" s="53" t="str">
        <f>CONCATENATE("DECLARE @ISVISIBLE BIT = (CASE WHEN '",Q6,"' = 'Si' THEN 1 ELSE 0 END)")</f>
        <v>DECLARE @ISVISIBLE BIT = (CASE WHEN 'Si' = 'Si' THEN 1 ELSE 0 END)</v>
      </c>
    </row>
  </sheetData>
  <mergeCells count="1">
    <mergeCell ref="G1:Q1"/>
  </mergeCells>
  <dataValidations count="1">
    <dataValidation type="list" allowBlank="1" showInputMessage="1" showErrorMessage="1" sqref="O6:Q6 I6">
      <formula1>"Si,No"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'Unidades de Medida'!$A$6:$A$1000</xm:f>
          </x14:formula1>
          <xm:sqref>M6:N6</xm:sqref>
        </x14:dataValidation>
        <x14:dataValidation type="list" allowBlank="1" showInputMessage="1" showErrorMessage="1">
          <x14:formula1>
            <xm:f>Lineas!$A$6:$A$100</xm:f>
          </x14:formula1>
          <xm:sqref>A6</xm:sqref>
        </x14:dataValidation>
        <x14:dataValidation type="list" allowBlank="1" showInputMessage="1" showErrorMessage="1">
          <x14:formula1>
            <xm:f>Monedas!$A$6:$A$1000</xm:f>
          </x14:formula1>
          <xm:sqref>G6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8.85546875" style="23" customWidth="1"/>
    <col min="2" max="2" width="22.85546875" style="23" customWidth="1"/>
    <col min="3" max="4" width="11.42578125" style="15"/>
    <col min="5" max="11" width="0" style="15" hidden="1" customWidth="1"/>
    <col min="12" max="16384" width="11.42578125" style="15"/>
  </cols>
  <sheetData>
    <row r="1" spans="1:26" ht="45" customHeight="1" x14ac:dyDescent="0.25">
      <c r="A1" s="28" t="s">
        <v>152</v>
      </c>
      <c r="B1" s="28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352</v>
      </c>
      <c r="U3" s="53"/>
      <c r="V3" s="53" t="s">
        <v>351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153</v>
      </c>
      <c r="B5" s="32" t="s">
        <v>15</v>
      </c>
    </row>
    <row r="6" spans="1:26" x14ac:dyDescent="0.25">
      <c r="A6" s="23" t="s">
        <v>350</v>
      </c>
      <c r="B6" s="23" t="s">
        <v>181</v>
      </c>
      <c r="N6" s="53" t="str">
        <f>CONCATENATE("DECLARE @ITEM_ID INT = (SELECT ITEM_ID FROM items a join lines b on b.LINE_ID = a.LINE_ID WHERE b.LINE_CODE +'-'+a.INTERNAL_REFERENCE = '",A6,"')")</f>
        <v>DECLARE @ITEM_ID INT = (SELECT ITEM_ID FROM items a join lines b on b.LINE_ID = a.LINE_ID WHERE b.LINE_CODE +'-'+a.INTERNAL_REFERENCE = '001-MI001')</v>
      </c>
      <c r="P6" s="53" t="str">
        <f>CONCATENATE(" DECLARE @AREA_ID SMALLINT = (SELECT AREA_ID FROM areas WHERE AREA_NAME = '",B6,"')")</f>
        <v xml:space="preserve"> DECLARE @AREA_ID SMALLINT = (SELECT AREA_ID FROM areas WHERE AREA_NAME = '001')</v>
      </c>
      <c r="Q6" s="23"/>
      <c r="R6" s="53" t="str">
        <f>CONCATENATE("@ITEM_ID",$X$2,"@AREA_ID")</f>
        <v>@ITEM_ID,@AREA_ID</v>
      </c>
      <c r="T6" s="59" t="str">
        <f>CONCATENATE(N6," ",P6," ",$T$2,$T$3,$V$2,$V$3,$Y$2,$U$2,$V$2,R6,$Y$2,CHAR(10),"GO")</f>
        <v>DECLARE @ITEM_ID INT = (SELECT ITEM_ID FROM items a join lines b on b.LINE_ID = a.LINE_ID WHERE b.LINE_CODE +'-'+a.INTERNAL_REFERENCE = '001-MI001')  DECLARE @AREA_ID SMALLINT = (SELECT AREA_ID FROM areas WHERE AREA_NAME = '001') insert into items_area (ITEM_ID, AREA_ID) values  (@ITEM_ID,@AREA_ID)
GO</v>
      </c>
    </row>
    <row r="7" spans="1:26" x14ac:dyDescent="0.25">
      <c r="N7" s="53"/>
      <c r="P7" s="53"/>
      <c r="Q7" s="23"/>
      <c r="R7" s="53"/>
      <c r="T7" s="59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Articulos!$R$6:$R$100000</xm:f>
          </x14:formula1>
          <xm:sqref>A6</xm:sqref>
        </x14:dataValidation>
        <x14:dataValidation type="list" allowBlank="1" showInputMessage="1" showErrorMessage="1">
          <x14:formula1>
            <xm:f>Areas!$A$6:$A$999</xm:f>
          </x14:formula1>
          <xm:sqref>B6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pane ySplit="5" topLeftCell="A6" activePane="bottomLeft" state="frozen"/>
      <selection pane="bottomLeft" activeCell="P6" sqref="P6"/>
    </sheetView>
  </sheetViews>
  <sheetFormatPr baseColWidth="10" defaultRowHeight="15" x14ac:dyDescent="0.25"/>
  <cols>
    <col min="1" max="1" width="25.140625" style="23" bestFit="1" customWidth="1"/>
    <col min="2" max="2" width="16.5703125" style="23" bestFit="1" customWidth="1"/>
    <col min="3" max="3" width="23.7109375" style="23" customWidth="1"/>
    <col min="4" max="4" width="25.140625" style="23" customWidth="1"/>
    <col min="5" max="5" width="25.7109375" style="23" customWidth="1"/>
    <col min="6" max="6" width="17.5703125" style="23" bestFit="1" customWidth="1"/>
    <col min="7" max="7" width="16.140625" style="43" customWidth="1"/>
    <col min="8" max="8" width="14.42578125" style="43" customWidth="1"/>
    <col min="9" max="9" width="11" style="23" bestFit="1" customWidth="1"/>
    <col min="10" max="10" width="17" customWidth="1"/>
    <col min="11" max="11" width="0" style="15" hidden="1" customWidth="1"/>
    <col min="12" max="13" width="11.42578125" style="15"/>
    <col min="14" max="15" width="0" style="15" hidden="1" customWidth="1"/>
    <col min="16" max="26" width="11.42578125" style="15"/>
    <col min="27" max="27" width="9.28515625" style="15" customWidth="1"/>
    <col min="28" max="16384" width="11.42578125" style="15"/>
  </cols>
  <sheetData>
    <row r="1" spans="1:32" ht="106.5" customHeight="1" x14ac:dyDescent="0.25">
      <c r="A1" s="67" t="s">
        <v>155</v>
      </c>
      <c r="B1" s="67"/>
      <c r="C1" s="67"/>
      <c r="D1" s="67"/>
      <c r="E1" s="67"/>
      <c r="F1" s="67"/>
      <c r="G1" s="67"/>
      <c r="H1" s="67"/>
      <c r="I1" s="67"/>
      <c r="J1" s="67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32" x14ac:dyDescent="0.25">
      <c r="A2" s="34" t="s">
        <v>3</v>
      </c>
      <c r="B2" s="34" t="s">
        <v>3</v>
      </c>
      <c r="C2" s="34"/>
      <c r="D2" s="34" t="s">
        <v>3</v>
      </c>
      <c r="E2" s="34"/>
      <c r="F2" s="34"/>
      <c r="G2" s="39" t="s">
        <v>3</v>
      </c>
      <c r="H2" s="39" t="s">
        <v>3</v>
      </c>
      <c r="I2" s="34" t="s">
        <v>3</v>
      </c>
      <c r="J2" s="11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  <c r="AA2" s="53" t="s">
        <v>355</v>
      </c>
    </row>
    <row r="3" spans="1:32" x14ac:dyDescent="0.25">
      <c r="A3" s="36" t="s">
        <v>28</v>
      </c>
      <c r="B3" s="36"/>
      <c r="C3" s="36"/>
      <c r="D3" s="36"/>
      <c r="E3" s="36"/>
      <c r="F3" s="36"/>
      <c r="G3" s="40"/>
      <c r="H3" s="40"/>
      <c r="I3" s="36" t="s">
        <v>28</v>
      </c>
      <c r="J3" s="12"/>
      <c r="T3" s="53" t="s">
        <v>353</v>
      </c>
      <c r="U3" s="53"/>
      <c r="V3" s="53" t="s">
        <v>354</v>
      </c>
      <c r="W3" s="53"/>
      <c r="X3" s="53"/>
      <c r="Y3" s="53"/>
      <c r="Z3" s="53"/>
    </row>
    <row r="4" spans="1:32" ht="15.75" thickBot="1" x14ac:dyDescent="0.3">
      <c r="A4" s="31"/>
      <c r="B4" s="31" t="s">
        <v>31</v>
      </c>
      <c r="C4" s="31" t="s">
        <v>5</v>
      </c>
      <c r="D4" s="31" t="s">
        <v>31</v>
      </c>
      <c r="E4" s="31" t="s">
        <v>31</v>
      </c>
      <c r="F4" s="31" t="s">
        <v>161</v>
      </c>
      <c r="G4" s="41" t="s">
        <v>162</v>
      </c>
      <c r="H4" s="41" t="s">
        <v>162</v>
      </c>
      <c r="I4" s="31"/>
      <c r="J4" s="10" t="s">
        <v>162</v>
      </c>
    </row>
    <row r="5" spans="1:32" s="25" customFormat="1" ht="30" customHeight="1" x14ac:dyDescent="0.25">
      <c r="A5" s="37" t="s">
        <v>160</v>
      </c>
      <c r="B5" s="37" t="s">
        <v>156</v>
      </c>
      <c r="C5" s="37" t="s">
        <v>157</v>
      </c>
      <c r="D5" s="37" t="s">
        <v>158</v>
      </c>
      <c r="E5" s="37" t="s">
        <v>159</v>
      </c>
      <c r="F5" s="37" t="s">
        <v>16</v>
      </c>
      <c r="G5" s="42" t="s">
        <v>163</v>
      </c>
      <c r="H5" s="42" t="s">
        <v>164</v>
      </c>
      <c r="I5" s="37" t="s">
        <v>84</v>
      </c>
      <c r="J5" s="24" t="s">
        <v>165</v>
      </c>
      <c r="K5" s="27" t="s">
        <v>79</v>
      </c>
      <c r="P5" s="25" t="s">
        <v>356</v>
      </c>
      <c r="Q5" s="25" t="s">
        <v>84</v>
      </c>
      <c r="R5" s="17"/>
      <c r="S5" s="17"/>
      <c r="T5" s="17"/>
      <c r="U5" s="17"/>
      <c r="V5" s="17"/>
      <c r="W5" s="17"/>
      <c r="X5" s="17"/>
      <c r="Y5" s="17"/>
      <c r="Z5" s="17"/>
    </row>
    <row r="6" spans="1:32" x14ac:dyDescent="0.25">
      <c r="A6" s="23" t="s">
        <v>350</v>
      </c>
      <c r="B6" s="23" t="s">
        <v>357</v>
      </c>
      <c r="C6" s="23" t="s">
        <v>358</v>
      </c>
      <c r="D6" s="23" t="s">
        <v>359</v>
      </c>
      <c r="E6" s="23" t="s">
        <v>359</v>
      </c>
      <c r="G6" s="49">
        <v>200</v>
      </c>
      <c r="H6" s="49">
        <v>50</v>
      </c>
      <c r="I6" s="23" t="s">
        <v>85</v>
      </c>
      <c r="J6" s="49">
        <v>100</v>
      </c>
      <c r="K6" s="15" t="str">
        <f>IF(A6&lt;&gt;"",IF(B6&lt;&gt;"",CONCATENATE(A6,"-",B6),""),"")</f>
        <v>001-MI001-004</v>
      </c>
      <c r="P6" s="53" t="str">
        <f>CONCATENATE("DECLARE @ITEM_ID INT = (SELECT ITEM_ID FROM items a join lines b on b.LINE_ID = a.LINE_ID WHERE b.LINE_CODE +'-'+a.INTERNAL_REFERENCE = '",A6,"')")</f>
        <v>DECLARE @ITEM_ID INT = (SELECT ITEM_ID FROM items a join lines b on b.LINE_ID = a.LINE_ID WHERE b.LINE_CODE +'-'+a.INTERNAL_REFERENCE = '001-MI001')</v>
      </c>
      <c r="Q6" s="53" t="str">
        <f>CONCATENATE("DECLARE @ISACTIVE BIT = (CASE WHEN '",I6,"' = 'Si' THEN 1 ELSE 0 END)")</f>
        <v>DECLARE @ISACTIVE BIT = (CASE WHEN 'Si' = 'Si' THEN 1 ELSE 0 END)</v>
      </c>
      <c r="R6" s="53" t="str">
        <f>CONCATENATE("@ITEM_ID",$X$2,$W$2,B6,$W$2,$X$2,$W$2,C6,$W$2,$X$2,$W$2,D6,$W$2,$X$2,$W$2,E6,$W$2,$X$2,IF(LEN(F6)&gt;0,CONCATENATE($W$2,F6,$W$2),$Z$2),$X$2,G6+H6,$X$2,"@ISACTIVE",$X$2,J6)</f>
        <v>@ITEM_ID,'004','001AA','Amarillo','Amarillo',NULL,250,@ISACTIVE,100</v>
      </c>
      <c r="T6" s="59" t="str">
        <f>CONCATENATE($AA$2," ",P6," ",Q6," ",$T$2,$T$3,$V$2,$V$3,$Y$2,$U$2,$V$2,R6,$Y$2,CHAR(10),AB6," ",AD6," ",AF6,CHAR(10),"GO")</f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'001-MI001') DECLARE @ISACTIVE BIT = (CASE WHEN 'Si' = 'Si' THEN 1 ELSE 0 END) insert into item_references (ITEM_ID, REFERENCE_CODE, PROVIDER_REFERENCE_CODE, REFERENCE_NAME, PROVIDER_REFERENCE_NAME, NOTES, INVENTORY_QUANTITY, IS_ACTIVE, ALARM_MINIMUM_QUANTITY) values  (@ITEM_ID,'004','001AA','Amarillo','Amarillo',NULL,250,@ISACTIVE,100)
DECLARE @REFERENCE_ID INT = (SELECT REFERENCE_ID FROM item_references WHERE ITEM_ID = @ITEM_ID AND REFERENCE_CODE = '004') UPDATE references_warehouse set QUANTITY = 200 WHERE WAREHOUSE_ID = @LOCAL AND REFERENCE_ID = @REFERENCE_ID UPDATE references_warehouse set QUANTITY = 50 WHERE WAREHOUSE_ID = @FRANCA AND REFERENCE_ID = @REFERENCE_ID
GO</v>
      </c>
      <c r="AB6" s="58" t="str">
        <f>CONCATENATE("DECLARE @REFERENCE_ID INT = (SELECT REFERENCE_ID FROM item_references WHERE ITEM_ID = @ITEM_ID AND REFERENCE_CODE = '",B6,"')")</f>
        <v>DECLARE @REFERENCE_ID INT = (SELECT REFERENCE_ID FROM item_references WHERE ITEM_ID = @ITEM_ID AND REFERENCE_CODE = '004')</v>
      </c>
      <c r="AD6" s="58" t="str">
        <f>CONCATENATE("UPDATE references_warehouse set QUANTITY = ",G6," WHERE WAREHOUSE_ID = @LOCAL AND REFERENCE_ID = @REFERENCE_ID")</f>
        <v>UPDATE references_warehouse set QUANTITY = 200 WHERE WAREHOUSE_ID = @LOCAL AND REFERENCE_ID = @REFERENCE_ID</v>
      </c>
      <c r="AF6" s="58" t="str">
        <f>CONCATENATE("UPDATE references_warehouse set QUANTITY = ",H6," WHERE WAREHOUSE_ID = @FRANCA AND REFERENCE_ID = @REFERENCE_ID")</f>
        <v>UPDATE references_warehouse set QUANTITY = 50 WHERE WAREHOUSE_ID = @FRANCA AND REFERENCE_ID = @REFERENCE_ID</v>
      </c>
    </row>
  </sheetData>
  <mergeCells count="1">
    <mergeCell ref="A1:J1"/>
  </mergeCells>
  <dataValidations count="2">
    <dataValidation type="list" allowBlank="1" showInputMessage="1" showErrorMessage="1" sqref="I6">
      <formula1>"Si,No"</formula1>
    </dataValidation>
    <dataValidation type="whole" allowBlank="1" showInputMessage="1" showErrorMessage="1" sqref="G6:H6 J6">
      <formula1>0</formula1>
      <formula2>1000000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Articulos!$R$6:$R$100000</xm:f>
          </x14:formula1>
          <xm:sqref>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F1" workbookViewId="0">
      <pane ySplit="5" topLeftCell="A6" activePane="bottomLeft" state="frozen"/>
      <selection pane="bottomLeft" activeCell="T6" sqref="T6"/>
    </sheetView>
  </sheetViews>
  <sheetFormatPr baseColWidth="10" defaultRowHeight="15" x14ac:dyDescent="0.25"/>
  <cols>
    <col min="1" max="1" width="23.5703125" style="23" customWidth="1"/>
    <col min="2" max="7" width="16.5703125" style="23" bestFit="1" customWidth="1"/>
    <col min="8" max="8" width="17.42578125" style="23" bestFit="1" customWidth="1"/>
    <col min="9" max="9" width="16.5703125" style="23" bestFit="1" customWidth="1"/>
    <col min="10" max="10" width="11.42578125" style="23"/>
    <col min="11" max="16384" width="11.42578125" style="15"/>
  </cols>
  <sheetData>
    <row r="1" spans="1:26" ht="45" customHeight="1" x14ac:dyDescent="0.25">
      <c r="A1" s="28" t="s">
        <v>168</v>
      </c>
      <c r="B1" s="28"/>
      <c r="C1" s="28"/>
      <c r="D1" s="28"/>
      <c r="E1" s="28"/>
      <c r="F1" s="28"/>
      <c r="G1" s="28"/>
      <c r="H1" s="28"/>
      <c r="I1" s="28"/>
      <c r="J1" s="28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/>
      <c r="F2" s="34"/>
      <c r="G2" s="34"/>
      <c r="H2" s="34"/>
      <c r="I2" s="34"/>
      <c r="J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 t="s">
        <v>28</v>
      </c>
      <c r="T3" s="53" t="s">
        <v>366</v>
      </c>
      <c r="U3" s="53"/>
      <c r="V3" s="53" t="s">
        <v>367</v>
      </c>
      <c r="W3" s="53"/>
      <c r="X3" s="53"/>
      <c r="Y3" s="53"/>
      <c r="Z3" s="53"/>
    </row>
    <row r="4" spans="1:26" ht="15.75" thickBot="1" x14ac:dyDescent="0.3">
      <c r="A4" s="31"/>
      <c r="B4" s="31" t="s">
        <v>88</v>
      </c>
      <c r="C4" s="31" t="s">
        <v>5</v>
      </c>
      <c r="D4" s="31" t="s">
        <v>17</v>
      </c>
      <c r="E4" s="31" t="s">
        <v>13</v>
      </c>
      <c r="F4" s="31" t="s">
        <v>89</v>
      </c>
      <c r="G4" s="31" t="s">
        <v>99</v>
      </c>
      <c r="H4" s="31" t="s">
        <v>31</v>
      </c>
      <c r="I4" s="31" t="s">
        <v>17</v>
      </c>
      <c r="J4" s="31"/>
    </row>
    <row r="5" spans="1:26" s="17" customFormat="1" x14ac:dyDescent="0.25">
      <c r="A5" s="32" t="s">
        <v>71</v>
      </c>
      <c r="B5" s="32" t="s">
        <v>72</v>
      </c>
      <c r="C5" s="32" t="s">
        <v>130</v>
      </c>
      <c r="D5" s="32" t="s">
        <v>92</v>
      </c>
      <c r="E5" s="32" t="s">
        <v>95</v>
      </c>
      <c r="F5" s="32" t="s">
        <v>73</v>
      </c>
      <c r="G5" s="32" t="s">
        <v>74</v>
      </c>
      <c r="H5" s="32" t="s">
        <v>106</v>
      </c>
      <c r="I5" s="32" t="s">
        <v>122</v>
      </c>
      <c r="J5" s="32" t="s">
        <v>76</v>
      </c>
      <c r="P5" s="25"/>
      <c r="Q5" s="25"/>
    </row>
    <row r="6" spans="1:26" x14ac:dyDescent="0.25">
      <c r="A6" s="23" t="s">
        <v>234</v>
      </c>
      <c r="B6" s="23" t="s">
        <v>360</v>
      </c>
      <c r="C6" s="23" t="s">
        <v>361</v>
      </c>
      <c r="D6" s="23" t="s">
        <v>362</v>
      </c>
      <c r="E6" s="23" t="s">
        <v>368</v>
      </c>
      <c r="F6" s="23" t="s">
        <v>363</v>
      </c>
      <c r="H6" s="56" t="s">
        <v>364</v>
      </c>
      <c r="I6" s="23" t="s">
        <v>365</v>
      </c>
      <c r="J6" s="23" t="s">
        <v>255</v>
      </c>
      <c r="P6" s="53" t="str">
        <f>CONCATENATE("DECLARE @IDIDENTTYPE INT = (SELECT IDENTITY_TYPE_ID FROM identity_types WHERE IDENTITY_TYPE_CODE =  '",A6,"')")</f>
        <v>DECLARE @IDIDENTTYPE INT = (SELECT IDENTITY_TYPE_ID FROM identity_types WHERE IDENTITY_TYPE_CODE =  'NIT')</v>
      </c>
      <c r="Q6" s="53" t="str">
        <f>CONCATENATE("DECLARE @IDCITY INT = (SELECT CITY_ID FROM cities a JOIN departments b ON b.DEPARTMENT_ID = a.DEPARTMENT_ID JOIN countries c ON c.COUNTRY_ID = B.COUNTRY_ID WHERE c.COUNTRY_CODE +'-'+B.DEPARTMENT_NAME+'-'+a.CITY_NAME = '",J6,"')")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R6" s="53" t="str">
        <f>CONCATENATE("@IDIDENTTYPE",$X$2,$W$2,B6,$W$2,$X$2,$W$2,C6,$W$2,$X$2,$W$2,D6,$W$2,$X$2,IF(LEN(E6)&gt;0,CONCATENATE($W$2,E6,$W$2),$Z$2),$X$2,IF(LEN(F6)&gt;0,CONCATENATE($W$2,F6,$W$2),$Z$2),$X$2,IF(LEN(G6)&gt;0,CONCATENATE($W$2,G6,$W$2),$Z$2),$X$2,IF(LEN(H6)&gt;0,CONCATENATE($W$2,H6,$W$2),$Z$2),$X$2,IF(LEN(I6)&gt;0,CONCATENATE($W$2,I6,$W$2),$Z$2),$X$2,"@IDCITY")</f>
        <v>@IDIDENTTYPE,'41401793','CARDASOC','Cardenas Asociados','calle 1 a No. 20 -34','300 4525212',NULL,'info@cardasociados.com.co','Francelina Cardenas',@IDCITY</v>
      </c>
      <c r="T6" s="59" t="str">
        <f>CONCATENATE(P6," ",Q6," ",$T$2,$T$3,$V$2,$V$3,$Y$2,$U$2,$V$2,R6,$Y$2,CHAR(10),"GO")</f>
        <v>DECLARE @IDIDENTTYPE INT = (SELECT IDENTITY_TYPE_ID FROM identity_types WHERE IDENTITY_TYPE_CODE =  'NIT') DECLARE @IDCITY INT = (SELECT CITY_ID FROM cities a JOIN departments b ON b.DEPARTMENT_ID = a.DEPARTMENT_ID JOIN countries c ON c.COUNTRY_ID = B.COUNTRY_ID WHERE c.COUNTRY_CODE +'-'+B.DEPARTMENT_NAME+'-'+a.CITY_NAME = 'CO-Cundinamarca-Chia') insert into providers (IDENTITY_TYPE_ID, IDENTITY_NUMBER, PROVIDER_CODE, PROVIDER_NAME, PROVIDER_ADDRESS, PHONE, FAX, EMAIL, CONTACT_PERSON, CITY_ID) values  (@IDIDENTTYPE,'41401793','CARDASOC','Cardenas Asociados','calle 1 a No. 20 -34','300 4525212',NULL,'info@cardasociados.com.co','Francelina Cardenas',@IDCITY)
GO</v>
      </c>
    </row>
  </sheetData>
  <hyperlinks>
    <hyperlink ref="H6" r:id="rId1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</xm:sqref>
        </x14:dataValidation>
        <x14:dataValidation type="list" allowBlank="1" showInputMessage="1" showErrorMessage="1">
          <x14:formula1>
            <xm:f>Ciudades!$C$6:$C$99998</xm:f>
          </x14:formula1>
          <xm:sqref>J6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0.140625" style="23" customWidth="1"/>
    <col min="2" max="2" width="23.5703125" style="31" customWidth="1"/>
    <col min="3" max="3" width="32.5703125" style="31" customWidth="1"/>
    <col min="4" max="4" width="1.28515625" style="15" customWidth="1"/>
    <col min="5" max="7" width="11.42578125" style="15"/>
    <col min="8" max="8" width="0" style="15" hidden="1" customWidth="1"/>
    <col min="9" max="17" width="11.42578125" style="15" hidden="1" customWidth="1"/>
    <col min="18" max="18" width="11.85546875" style="15" bestFit="1" customWidth="1"/>
    <col min="19" max="19" width="11.42578125" style="15" customWidth="1"/>
    <col min="20" max="20" width="11.85546875" style="15" bestFit="1" customWidth="1"/>
    <col min="21" max="16384" width="11.42578125" style="15"/>
  </cols>
  <sheetData>
    <row r="1" spans="1:26" ht="45.75" customHeight="1" x14ac:dyDescent="0.25">
      <c r="A1" s="28" t="s">
        <v>34</v>
      </c>
      <c r="B1" s="33"/>
      <c r="C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5"/>
      <c r="B3" s="35"/>
      <c r="C3" s="35"/>
      <c r="T3" s="53" t="s">
        <v>179</v>
      </c>
      <c r="U3" s="53"/>
      <c r="V3" s="53" t="s">
        <v>180</v>
      </c>
      <c r="W3" s="53"/>
      <c r="X3" s="53"/>
      <c r="Y3" s="53"/>
      <c r="Z3" s="53"/>
    </row>
    <row r="4" spans="1:26" ht="15.75" thickBot="1" x14ac:dyDescent="0.3">
      <c r="A4" s="31" t="s">
        <v>5</v>
      </c>
      <c r="B4" s="31" t="s">
        <v>17</v>
      </c>
      <c r="C4" s="31" t="s">
        <v>18</v>
      </c>
    </row>
    <row r="5" spans="1:26" s="17" customFormat="1" x14ac:dyDescent="0.25">
      <c r="A5" s="32" t="s">
        <v>15</v>
      </c>
      <c r="B5" s="32" t="s">
        <v>4</v>
      </c>
      <c r="C5" s="32" t="s">
        <v>16</v>
      </c>
    </row>
    <row r="6" spans="1:26" x14ac:dyDescent="0.25">
      <c r="A6" s="23" t="s">
        <v>181</v>
      </c>
      <c r="B6" s="31" t="s">
        <v>182</v>
      </c>
      <c r="R6" s="53" t="str">
        <f>CONCATENATE($W$2,A6,$W$2,$X$2,$W$2,B6,$W$2,$X$2,IF(LEN(C6)&gt;0,CONCATENATE($W$2,C6,$W$2),$Z$2))</f>
        <v>'001','Despachos',NULL</v>
      </c>
      <c r="T6" s="59" t="str">
        <f>CONCATENATE($T$2,$T$3,$V$2,$V$3,$Y$2,$U$2,$V$2,R6,$Y$2)</f>
        <v>insert into areas (AREA_CODE,AREA_NAME,DESCRIPTION) values  ('001','Despachos',NULL)</v>
      </c>
    </row>
    <row r="7" spans="1:26" x14ac:dyDescent="0.25">
      <c r="A7" s="23" t="s">
        <v>187</v>
      </c>
      <c r="B7" s="31" t="s">
        <v>188</v>
      </c>
      <c r="C7" s="31" t="s">
        <v>189</v>
      </c>
      <c r="R7" s="53" t="str">
        <f>CONCATENATE($W$2,A7,$W$2,$X$2,$W$2,B7,$W$2,$X$2,IF(LEN(C7)&gt;0,CONCATENATE($W$2,C7,$W$2),$Z$2))</f>
        <v>'005','Marca Nacional','Servicio al cliente nacional'</v>
      </c>
      <c r="T7" s="59" t="str">
        <f>CONCATENATE($T$2,$T$3,$V$2,$V$3,$Y$2,$U$2,$V$2,R7,$Y$2)</f>
        <v>insert into areas (AREA_CODE,AREA_NAME,DESCRIPTION) values  ('005','Marca Nacional','Servicio al cliente nacional')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"/>
    </sheetView>
  </sheetViews>
  <sheetFormatPr baseColWidth="10" defaultRowHeight="15" x14ac:dyDescent="0.25"/>
  <cols>
    <col min="1" max="1" width="23.42578125" style="23" customWidth="1"/>
    <col min="2" max="2" width="19.7109375" style="23" customWidth="1"/>
    <col min="3" max="4" width="11.42578125" style="15"/>
    <col min="5" max="12" width="0" style="15" hidden="1" customWidth="1"/>
    <col min="13" max="16384" width="11.42578125" style="15"/>
  </cols>
  <sheetData>
    <row r="1" spans="1:26" ht="45" customHeight="1" x14ac:dyDescent="0.25">
      <c r="A1" s="28" t="s">
        <v>167</v>
      </c>
      <c r="B1" s="28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372</v>
      </c>
      <c r="U3" s="53"/>
      <c r="V3" s="53" t="s">
        <v>371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169</v>
      </c>
      <c r="B5" s="32" t="s">
        <v>156</v>
      </c>
    </row>
    <row r="6" spans="1:26" x14ac:dyDescent="0.25">
      <c r="A6" s="23" t="s">
        <v>361</v>
      </c>
      <c r="B6" s="23" t="s">
        <v>373</v>
      </c>
      <c r="N6" s="53" t="str">
        <f>CONCATENATE("DECLARE @PROVIDERID INT = (SELECT PROVIDER_ID FROM providers WHERE PROVIDER_CODE = '",A6,"')")</f>
        <v>DECLARE @PROVIDERID INT = (SELECT PROVIDER_ID FROM providers WHERE PROVIDER_CODE = 'CARDASOC')</v>
      </c>
      <c r="P6" s="53" t="str">
        <f>CONCATENATE("DECLARE @REFERENCEID INT = (SELECT REFERENCE_ID FROM item_references a JOIN items b ON b.ITEM_ID = a.ITEM_ID JOIN lines c ON c.LINE_ID = b.LINE_ID WHERE c.LINE_CODE+'-'+b.INTERNAL_REFERENCE +'-'+a.REFERENCE_CODE = '",B6,"')")</f>
        <v>DECLARE @REFERENCEID INT = (SELECT REFERENCE_ID FROM item_references a JOIN items b ON b.ITEM_ID = a.ITEM_ID JOIN lines c ON c.LINE_ID = b.LINE_ID WHERE c.LINE_CODE+'-'+b.INTERNAL_REFERENCE +'-'+a.REFERENCE_CODE = '001-MI001-004')</v>
      </c>
      <c r="Q6" s="23"/>
      <c r="R6" s="53" t="str">
        <f>CONCATENATE("@REFERENCEID",$X$2,"@PROVIDERID")</f>
        <v>@REFERENCEID,@PROVIDERID</v>
      </c>
      <c r="T6" s="59" t="str">
        <f>CONCATENATE(N6," ",P6," ",$T$2,$T$3,$V$2,$V$3,$Y$2,$U$2,$V$2,R6,$Y$2,CHAR(10),"GO")</f>
        <v>DECLARE @PROVIDERID INT = (SELECT PROVIDER_ID FROM providers WHERE PROVIDER_CODE = 'CARDASOC') DECLARE @REFERENCEID INT = (SELECT REFERENCE_ID FROM item_references a JOIN items b ON b.ITEM_ID = a.ITEM_ID JOIN lines c ON c.LINE_ID = b.LINE_ID WHERE c.LINE_CODE+'-'+b.INTERNAL_REFERENCE +'-'+a.REFERENCE_CODE = '001-MI001-004') insert into provider_references (REFERENCE_ID, PROVIDER_ID) values  (@REFERENCEID,@PROVIDERID)
GO</v>
      </c>
    </row>
    <row r="7" spans="1:26" x14ac:dyDescent="0.25">
      <c r="N7" s="53"/>
      <c r="P7" s="53"/>
      <c r="Q7" s="23"/>
      <c r="R7" s="53"/>
      <c r="T7" s="59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Referencias!$K$6:$K$100000</xm:f>
          </x14:formula1>
          <xm:sqref>B6</xm:sqref>
        </x14:dataValidation>
        <x14:dataValidation type="list" allowBlank="1" showInputMessage="1" showErrorMessage="1">
          <x14:formula1>
            <xm:f>Proveedores!$C$6:$C$10000</xm:f>
          </x14:formula1>
          <xm:sqref>A6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sqref="A1:Z6"/>
    </sheetView>
  </sheetViews>
  <sheetFormatPr baseColWidth="10" defaultRowHeight="15" x14ac:dyDescent="0.25"/>
  <cols>
    <col min="1" max="1" width="19.42578125" style="23" customWidth="1"/>
    <col min="2" max="2" width="29.85546875" style="23" customWidth="1"/>
    <col min="3" max="4" width="11.42578125" style="15"/>
    <col min="5" max="15" width="0" style="15" hidden="1" customWidth="1"/>
    <col min="16" max="16384" width="11.42578125" style="15"/>
  </cols>
  <sheetData>
    <row r="1" spans="1:26" ht="45" customHeight="1" x14ac:dyDescent="0.25">
      <c r="A1" s="28" t="s">
        <v>166</v>
      </c>
      <c r="B1" s="28"/>
    </row>
    <row r="2" spans="1:26" x14ac:dyDescent="0.25">
      <c r="A2" s="34" t="s">
        <v>3</v>
      </c>
      <c r="B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375</v>
      </c>
      <c r="U3" s="53"/>
      <c r="V3" s="53" t="s">
        <v>374</v>
      </c>
      <c r="W3" s="53"/>
      <c r="X3" s="53"/>
      <c r="Y3" s="53"/>
      <c r="Z3" s="53"/>
    </row>
    <row r="4" spans="1:26" ht="15.75" thickBot="1" x14ac:dyDescent="0.3">
      <c r="A4" s="31" t="s">
        <v>5</v>
      </c>
      <c r="B4" s="31" t="s">
        <v>31</v>
      </c>
    </row>
    <row r="5" spans="1:26" s="17" customFormat="1" x14ac:dyDescent="0.25">
      <c r="A5" s="32" t="s">
        <v>124</v>
      </c>
      <c r="B5" s="32" t="s">
        <v>16</v>
      </c>
    </row>
    <row r="6" spans="1:26" x14ac:dyDescent="0.25">
      <c r="A6" s="23" t="s">
        <v>376</v>
      </c>
      <c r="R6" s="53" t="str">
        <f>CONCATENATE($W$2,A6,$W$2,$X$2,IF(LEN(B6)&gt;0,CONCATENATE($W$2,B6,$W$2),$Z$2))</f>
        <v>'Coordinadora',NULL</v>
      </c>
      <c r="T6" s="59" t="str">
        <f>CONCATENATE($T$2,$T$3,$V$2,$V$3,$Y$2,$U$2,$V$2,R6,$Y$2)</f>
        <v>insert into shipping_methods (SHIPPING_METHOD_NAME, SHIPPING_METHOD_NOTES) values  ('Coordinadora',NULL)</v>
      </c>
    </row>
    <row r="7" spans="1:26" x14ac:dyDescent="0.25">
      <c r="A7" s="23" t="s">
        <v>377</v>
      </c>
      <c r="R7" s="53" t="str">
        <f t="shared" ref="R7:R9" si="0">CONCATENATE($W$2,A7,$W$2,$X$2,IF(LEN(B7)&gt;0,CONCATENATE($W$2,B7,$W$2),$Z$2))</f>
        <v>'Servientrega',NULL</v>
      </c>
      <c r="T7" s="59" t="str">
        <f t="shared" ref="T7:T9" si="1">CONCATENATE($T$2,$T$3,$V$2,$V$3,$Y$2,$U$2,$V$2,R7,$Y$2)</f>
        <v>insert into shipping_methods (SHIPPING_METHOD_NAME, SHIPPING_METHOD_NOTES) values  ('Servientrega',NULL)</v>
      </c>
    </row>
    <row r="8" spans="1:26" x14ac:dyDescent="0.25">
      <c r="A8" s="23" t="s">
        <v>378</v>
      </c>
      <c r="R8" s="53" t="str">
        <f t="shared" si="0"/>
        <v>'Redetrans',NULL</v>
      </c>
      <c r="T8" s="59" t="str">
        <f t="shared" si="1"/>
        <v>insert into shipping_methods (SHIPPING_METHOD_NAME, SHIPPING_METHOD_NOTES) values  ('Redetrans',NULL)</v>
      </c>
    </row>
    <row r="9" spans="1:26" x14ac:dyDescent="0.25">
      <c r="A9" s="23" t="s">
        <v>314</v>
      </c>
      <c r="R9" s="53" t="str">
        <f t="shared" si="0"/>
        <v>'Directo',NULL</v>
      </c>
      <c r="T9" s="59" t="str">
        <f t="shared" si="1"/>
        <v>insert into shipping_methods (SHIPPING_METHOD_NAME, SHIPPING_METHOD_NOTES) values  ('Directo',NULL)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zoomScaleNormal="100" workbookViewId="0">
      <pane ySplit="5" topLeftCell="A6" activePane="bottomLeft" state="frozen"/>
      <selection pane="bottomLeft" activeCell="T6" sqref="T6"/>
    </sheetView>
  </sheetViews>
  <sheetFormatPr baseColWidth="10" defaultRowHeight="15" x14ac:dyDescent="0.25"/>
  <cols>
    <col min="1" max="1" width="26.28515625" style="23" customWidth="1"/>
    <col min="2" max="2" width="13" style="23" customWidth="1"/>
    <col min="3" max="4" width="11.42578125" style="15"/>
    <col min="5" max="6" width="11.42578125" style="15" customWidth="1"/>
    <col min="7" max="14" width="11.42578125" style="15" hidden="1" customWidth="1"/>
    <col min="15" max="15" width="11.42578125" style="15" customWidth="1"/>
    <col min="16" max="16384" width="11.42578125" style="15"/>
  </cols>
  <sheetData>
    <row r="1" spans="1:26" ht="45" customHeight="1" x14ac:dyDescent="0.25">
      <c r="A1" s="28" t="s">
        <v>379</v>
      </c>
      <c r="B1" s="28"/>
    </row>
    <row r="2" spans="1:26" x14ac:dyDescent="0.25">
      <c r="A2" s="34" t="s">
        <v>3</v>
      </c>
      <c r="B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T3" s="53" t="s">
        <v>381</v>
      </c>
      <c r="U3" s="53"/>
      <c r="V3" s="53" t="s">
        <v>380</v>
      </c>
      <c r="W3" s="53"/>
      <c r="X3" s="53"/>
      <c r="Y3" s="53"/>
      <c r="Z3" s="53"/>
    </row>
    <row r="4" spans="1:26" ht="15.75" thickBot="1" x14ac:dyDescent="0.3">
      <c r="A4" s="31"/>
      <c r="B4" s="31" t="s">
        <v>149</v>
      </c>
      <c r="C4" s="15" t="s">
        <v>149</v>
      </c>
      <c r="D4" s="15" t="s">
        <v>149</v>
      </c>
      <c r="E4" s="15" t="s">
        <v>149</v>
      </c>
      <c r="F4" s="15" t="s">
        <v>162</v>
      </c>
    </row>
    <row r="5" spans="1:26" s="17" customFormat="1" x14ac:dyDescent="0.25">
      <c r="A5" s="68" t="s">
        <v>160</v>
      </c>
      <c r="B5" s="69" t="s">
        <v>144</v>
      </c>
      <c r="C5" s="70" t="s">
        <v>382</v>
      </c>
      <c r="D5" s="70" t="s">
        <v>383</v>
      </c>
      <c r="E5" s="70" t="s">
        <v>384</v>
      </c>
      <c r="F5" s="70" t="s">
        <v>385</v>
      </c>
    </row>
    <row r="6" spans="1:26" x14ac:dyDescent="0.25">
      <c r="A6" s="23" t="s">
        <v>350</v>
      </c>
      <c r="B6" s="71">
        <v>1.1245000000000001</v>
      </c>
      <c r="C6" s="71">
        <v>1</v>
      </c>
      <c r="D6" s="71">
        <v>1</v>
      </c>
      <c r="E6" s="71">
        <v>1</v>
      </c>
      <c r="F6" s="49">
        <v>100</v>
      </c>
      <c r="P6" s="53" t="str">
        <f>CONCATENATE("DECLARE @ITEM_ID INT = (SELECT ITEM_ID FROM items a join lines b on b.LINE_ID = a.LINE_ID WHERE b.LINE_CODE +'-'+a.INTERNAL_REFERENCE = '",A6,"')")</f>
        <v>DECLARE @ITEM_ID INT = (SELECT ITEM_ID FROM items a join lines b on b.LINE_ID = a.LINE_ID WHERE b.LINE_CODE +'-'+a.INTERNAL_REFERENCE = '001-MI001')</v>
      </c>
      <c r="R6" s="53" t="str">
        <f>CONCATENATE("@ITEM_ID",$X$2,IF(LEN(B6)&gt;0,B6,$Z$2),$X$2,IF(LEN(C6)&gt;0,C6,$Z$2),$X$2,IF(LEN(D6)&gt;0,D6,$Z$2),$X$2,IF(LEN(E6)&gt;0,E6,$Z$2),$X$2,IF(LEN(F6)&gt;0,F6,$Z$2))</f>
        <v>@ITEM_ID,1.1245,1,1,1,100</v>
      </c>
      <c r="T6" s="59" t="str">
        <f>CONCATENATE(P6," ",$T$2,$T$3,$V$2,$V$3,$Y$2,$U$2,$V$2,R6,$Y$2,CHAR(10),"GO")</f>
        <v>DECLARE @ITEM_ID INT = (SELECT ITEM_ID FROM items a join lines b on b.LINE_ID = a.LINE_ID WHERE b.LINE_CODE +'-'+a.INTERNAL_REFERENCE = '001-MI001') insert into packaging (ITEM_ID, WEIGHT, HEIGHT, WIDTH, LENGTH, QUANTITY) values  (@ITEM_ID,1.1245,1,1,1,100)
GO</v>
      </c>
    </row>
    <row r="7" spans="1:26" x14ac:dyDescent="0.25">
      <c r="R7" s="53"/>
      <c r="T7" s="59"/>
    </row>
    <row r="8" spans="1:26" x14ac:dyDescent="0.25">
      <c r="R8" s="53"/>
      <c r="T8" s="59"/>
    </row>
    <row r="9" spans="1:26" x14ac:dyDescent="0.25">
      <c r="R9" s="53"/>
      <c r="T9" s="59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Articulos!$R$6:$R$100000</xm:f>
          </x14:formula1>
          <xm:sqref>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18.140625" style="23" customWidth="1"/>
    <col min="2" max="2" width="18.5703125" style="23" customWidth="1"/>
    <col min="3" max="3" width="2.42578125" style="15" customWidth="1"/>
    <col min="4" max="6" width="11.42578125" style="15"/>
    <col min="7" max="7" width="0" style="15" hidden="1" customWidth="1"/>
    <col min="8" max="14" width="11.42578125" style="15" hidden="1" customWidth="1"/>
    <col min="15" max="17" width="11.42578125" style="15" customWidth="1"/>
    <col min="18" max="16384" width="11.42578125" style="15"/>
  </cols>
  <sheetData>
    <row r="1" spans="1:26" ht="45" customHeight="1" x14ac:dyDescent="0.25">
      <c r="A1" s="28" t="s">
        <v>14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184</v>
      </c>
      <c r="U3" s="53"/>
      <c r="V3" s="53" t="s">
        <v>185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26</v>
      </c>
      <c r="B5" s="32" t="s">
        <v>27</v>
      </c>
    </row>
    <row r="6" spans="1:26" x14ac:dyDescent="0.25">
      <c r="A6" s="23" t="s">
        <v>178</v>
      </c>
      <c r="B6" s="23" t="s">
        <v>182</v>
      </c>
      <c r="O6" s="53" t="str">
        <f>CONCATENATE("DECLARE @IDACTIVITY SMALLINT = (SELECT ACTIVITY_TYPE_ID FROM activity_types WHERE ACTIVITY_TYPE_NAME = '",A6,"')")</f>
        <v>DECLARE @IDACTIVITY SMALLINT = (SELECT ACTIVITY_TYPE_ID FROM activity_types WHERE ACTIVITY_TYPE_NAME = 'Logo Pendiente')</v>
      </c>
      <c r="P6" s="53" t="str">
        <f>CONCATENATE(" DECLARE @IDAREA SMALLINT = (SELECT AREA_ID FROM areas WHERE AREA_NAME = '",B6,"')")</f>
        <v xml:space="preserve"> DECLARE @IDAREA SMALLINT = (SELECT AREA_ID FROM areas WHERE AREA_NAME = 'Despachos')</v>
      </c>
      <c r="R6" s="53" t="str">
        <f>CONCATENATE("@IDACTIVITY",",","@IDAREA")</f>
        <v>@IDACTIVITY,@IDAREA</v>
      </c>
      <c r="T6" s="59" t="str">
        <f>CONCATENATE(O6," ",P6," ",$T$2,$T$3,$V$2,$V$3,$Y$2,$U$2,$V$2,R6,$Y$2,CHAR(10),"GO")</f>
        <v>DECLARE @IDACTIVITY SMALLINT = (SELECT ACTIVITY_TYPE_ID FROM activity_types WHERE ACTIVITY_TYPE_NAME = 'Logo Pendiente')  DECLARE @IDAREA SMALLINT = (SELECT AREA_ID FROM areas WHERE AREA_NAME = 'Despachos') insert into activity_types_area (ACTIVITY_TYPE_ID, AREA_ID) values  (@IDACTIVITY,@IDAREA)
GO</v>
      </c>
    </row>
    <row r="7" spans="1:26" x14ac:dyDescent="0.25">
      <c r="A7" s="23" t="s">
        <v>186</v>
      </c>
      <c r="B7" s="23" t="s">
        <v>188</v>
      </c>
      <c r="O7" s="53" t="str">
        <f>CONCATENATE("DECLARE @IDACTIVITY SMALLINT = (SELECT ACTIVITY_TYPE_ID FROM activity_types WHERE ACTIVITY_TYPE_NAME = '",A7,"')")</f>
        <v>DECLARE @IDACTIVITY SMALLINT = (SELECT ACTIVITY_TYPE_ID FROM activity_types WHERE ACTIVITY_TYPE_NAME = 'Pedido Incompleto')</v>
      </c>
      <c r="P7" s="53" t="str">
        <f>CONCATENATE(" DECLARE @IDAREA SMALLINT = (SELECT AREA_ID FROM areas WHERE AREA_NAME = '",B7,"')")</f>
        <v xml:space="preserve"> DECLARE @IDAREA SMALLINT = (SELECT AREA_ID FROM areas WHERE AREA_NAME = 'Marca Nacional')</v>
      </c>
      <c r="R7" s="53" t="str">
        <f>CONCATENATE("@IDACTIVITY",",","@IDAREA")</f>
        <v>@IDACTIVITY,@IDAREA</v>
      </c>
      <c r="T7" s="59" t="str">
        <f>CONCATENATE(O7," ",P7," ",$T$2,$T$3,$V$2,$V$3,$Y$2,$U$2,$V$2,R7,$Y$2,CHAR(10),"GO")</f>
        <v>DECLARE @IDACTIVITY SMALLINT = (SELECT ACTIVITY_TYPE_ID FROM activity_types WHERE ACTIVITY_TYPE_NAME = 'Pedido Incompleto')  DECLARE @IDAREA SMALLINT = (SELECT AREA_ID FROM areas WHERE AREA_NAME = 'Marca Nacional') insert into activity_types_area (ACTIVITY_TYPE_ID, AREA_ID) values  (@IDACTIVITY,@IDAREA)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Actividades'!$A$6:$A$1000</xm:f>
          </x14:formula1>
          <xm:sqref>A6:A1048576</xm:sqref>
        </x14:dataValidation>
        <x14:dataValidation type="list" allowBlank="1" showInputMessage="1" showErrorMessage="1">
          <x14:formula1>
            <xm:f>Areas!$B$6:$B$999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2.5703125" style="23" customWidth="1"/>
    <col min="2" max="2" width="34.5703125" style="23" customWidth="1"/>
    <col min="3" max="3" width="1.7109375" style="15" customWidth="1"/>
    <col min="4" max="7" width="11.42578125" style="15"/>
    <col min="8" max="17" width="0" style="15" hidden="1" customWidth="1"/>
    <col min="18" max="16384" width="11.42578125" style="15"/>
  </cols>
  <sheetData>
    <row r="1" spans="1:26" ht="45" customHeight="1" x14ac:dyDescent="0.25">
      <c r="A1" s="28" t="s">
        <v>29</v>
      </c>
      <c r="B1" s="33"/>
    </row>
    <row r="2" spans="1:26" x14ac:dyDescent="0.25">
      <c r="A2" s="34" t="s">
        <v>3</v>
      </c>
      <c r="B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190</v>
      </c>
      <c r="U3" s="53"/>
      <c r="V3" s="53" t="s">
        <v>191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32</v>
      </c>
    </row>
    <row r="5" spans="1:26" s="17" customFormat="1" x14ac:dyDescent="0.25">
      <c r="A5" s="32" t="s">
        <v>30</v>
      </c>
      <c r="B5" s="32" t="s">
        <v>16</v>
      </c>
    </row>
    <row r="6" spans="1:26" x14ac:dyDescent="0.25">
      <c r="A6" s="23" t="s">
        <v>192</v>
      </c>
      <c r="R6" s="53" t="str">
        <f>CONCATENATE($W$2,A6,$W$2,$X$2,IF(LEN(C6)&gt;0,CONCATENATE($W$2,C6,$W$2),$Z$2))</f>
        <v>'Dif. Ent. Nacionalización',NULL</v>
      </c>
      <c r="T6" s="59" t="str">
        <f>CONCATENATE($T$2,$T$3,$V$2,$V$3,$Y$2,$U$2,$V$2,R6,$Y$2)</f>
        <v>insert into adjustment_reasons (ADJUSTMENT_REASON_NAME, ADJUSTMENT_REASON_NOTES) values  ('Dif. Ent. Nacionalización',NULL)</v>
      </c>
    </row>
    <row r="7" spans="1:26" x14ac:dyDescent="0.25">
      <c r="A7" s="23" t="s">
        <v>193</v>
      </c>
      <c r="R7" s="53" t="str">
        <f t="shared" ref="R7:R9" si="0">CONCATENATE($W$2,A7,$W$2,$X$2,IF(LEN(C7)&gt;0,CONCATENATE($W$2,C7,$W$2),$Z$2))</f>
        <v>'Devolución',NULL</v>
      </c>
      <c r="T7" s="59" t="str">
        <f t="shared" ref="T7:T9" si="1">CONCATENATE($T$2,$T$3,$V$2,$V$3,$Y$2,$U$2,$V$2,R7,$Y$2)</f>
        <v>insert into adjustment_reasons (ADJUSTMENT_REASON_NAME, ADJUSTMENT_REASON_NOTES) values  ('Devolución',NULL)</v>
      </c>
    </row>
    <row r="8" spans="1:26" x14ac:dyDescent="0.25">
      <c r="A8" s="23" t="s">
        <v>194</v>
      </c>
      <c r="R8" s="53" t="str">
        <f t="shared" si="0"/>
        <v>'Producto Defectuoso',NULL</v>
      </c>
      <c r="T8" s="59" t="str">
        <f t="shared" si="1"/>
        <v>insert into adjustment_reasons (ADJUSTMENT_REASON_NAME, ADJUSTMENT_REASON_NOTES) values  ('Producto Defectuoso',NULL)</v>
      </c>
    </row>
    <row r="9" spans="1:26" x14ac:dyDescent="0.25">
      <c r="A9" s="23" t="s">
        <v>195</v>
      </c>
      <c r="R9" s="53" t="str">
        <f t="shared" si="0"/>
        <v>'Por Ensamble',NULL</v>
      </c>
      <c r="T9" s="59" t="str">
        <f t="shared" si="1"/>
        <v>insert into adjustment_reasons (ADJUSTMENT_REASON_NAME, ADJUSTMENT_REASON_NOTES) values  ('Por Ensamble',NULL)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6.85546875" style="23" customWidth="1"/>
    <col min="2" max="2" width="29.7109375" style="23" customWidth="1"/>
    <col min="3" max="3" width="2" style="15" customWidth="1"/>
    <col min="4" max="6" width="11.42578125" style="15"/>
    <col min="7" max="17" width="0" style="15" hidden="1" customWidth="1"/>
    <col min="18" max="16384" width="11.42578125" style="15"/>
  </cols>
  <sheetData>
    <row r="1" spans="1:26" ht="45.75" customHeight="1" x14ac:dyDescent="0.25">
      <c r="A1" s="28" t="s">
        <v>33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T3" s="53" t="s">
        <v>196</v>
      </c>
      <c r="U3" s="53"/>
      <c r="V3" s="53" t="s">
        <v>197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</row>
    <row r="5" spans="1:26" s="17" customFormat="1" x14ac:dyDescent="0.25">
      <c r="A5" s="32" t="s">
        <v>35</v>
      </c>
      <c r="B5" s="32" t="s">
        <v>38</v>
      </c>
    </row>
    <row r="6" spans="1:26" x14ac:dyDescent="0.25">
      <c r="A6" s="23" t="s">
        <v>198</v>
      </c>
      <c r="B6" s="23" t="s">
        <v>36</v>
      </c>
      <c r="R6" s="53" t="str">
        <f>CONCATENATE($W$2,A6,$W$2,$X$2,IF(B6="Agrega",1,-1))</f>
        <v>'iingresar',1</v>
      </c>
      <c r="T6" s="59" t="str">
        <f>CONCATENATE($T$2,$T$3,$V$2,$V$3,$Y$2,$U$2,$V$2,R6,$Y$2)</f>
        <v>insert into adjustment_types (ADJUSTMENT_TYPE_NAME, OPERATOR) values  ('iingresar',1)</v>
      </c>
    </row>
    <row r="7" spans="1:26" x14ac:dyDescent="0.25">
      <c r="A7" s="23" t="s">
        <v>199</v>
      </c>
      <c r="B7" s="23" t="s">
        <v>37</v>
      </c>
      <c r="I7" s="15" t="s">
        <v>36</v>
      </c>
      <c r="R7" s="53" t="str">
        <f>CONCATENATE($W$2,A7,$W$2,$X$2,IF(B7="Agrega",1,-1))</f>
        <v>'retirar',-1</v>
      </c>
      <c r="T7" s="59" t="str">
        <f t="shared" ref="T7" si="0">CONCATENATE($T$2,$T$3,$V$2,$V$3,$Y$2,$U$2,$V$2,R7,$Y$2)</f>
        <v>insert into adjustment_types (ADJUSTMENT_TYPE_NAME, OPERATOR) values  ('retirar',-1)</v>
      </c>
    </row>
    <row r="8" spans="1:26" x14ac:dyDescent="0.25">
      <c r="I8" s="15" t="s">
        <v>37</v>
      </c>
      <c r="R8" s="53"/>
      <c r="T8" s="59"/>
    </row>
    <row r="9" spans="1:26" x14ac:dyDescent="0.25">
      <c r="R9" s="53"/>
      <c r="T9" s="59"/>
    </row>
  </sheetData>
  <dataValidations count="1">
    <dataValidation type="list" allowBlank="1" showInputMessage="1" showErrorMessage="1" sqref="B6:B1048576">
      <formula1>$I$7:$I$8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7.28515625" style="23" customWidth="1"/>
    <col min="2" max="2" width="28.28515625" style="23" customWidth="1"/>
    <col min="3" max="3" width="30.85546875" style="15" bestFit="1" customWidth="1"/>
    <col min="4" max="5" width="11.42578125" style="15"/>
    <col min="6" max="7" width="11.42578125" style="15" customWidth="1"/>
    <col min="8" max="10" width="11.42578125" style="15" hidden="1" customWidth="1"/>
    <col min="11" max="11" width="33.85546875" style="15" hidden="1" customWidth="1"/>
    <col min="12" max="15" width="11.42578125" style="15" hidden="1" customWidth="1"/>
    <col min="16" max="17" width="11.42578125" style="15" customWidth="1"/>
    <col min="18" max="16384" width="11.42578125" style="15"/>
  </cols>
  <sheetData>
    <row r="1" spans="1:26" ht="45" customHeight="1" x14ac:dyDescent="0.25">
      <c r="A1" s="28" t="s">
        <v>45</v>
      </c>
      <c r="B1" s="33"/>
    </row>
    <row r="2" spans="1:26" x14ac:dyDescent="0.25">
      <c r="A2" s="34" t="s">
        <v>3</v>
      </c>
      <c r="B2" s="34" t="s">
        <v>3</v>
      </c>
      <c r="C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T3" s="53" t="s">
        <v>207</v>
      </c>
      <c r="U3" s="53"/>
      <c r="V3" s="53" t="s">
        <v>208</v>
      </c>
      <c r="W3" s="53"/>
      <c r="X3" s="53"/>
      <c r="Y3" s="53"/>
      <c r="Z3" s="53"/>
    </row>
    <row r="4" spans="1:26" ht="15.75" thickBot="1" x14ac:dyDescent="0.3">
      <c r="A4" s="31"/>
      <c r="B4" s="31" t="s">
        <v>31</v>
      </c>
      <c r="C4" s="31" t="s">
        <v>51</v>
      </c>
    </row>
    <row r="5" spans="1:26" s="17" customFormat="1" x14ac:dyDescent="0.25">
      <c r="A5" s="32" t="s">
        <v>39</v>
      </c>
      <c r="B5" s="32" t="s">
        <v>40</v>
      </c>
      <c r="C5" s="55" t="s">
        <v>203</v>
      </c>
    </row>
    <row r="6" spans="1:26" x14ac:dyDescent="0.25">
      <c r="A6" s="23" t="s">
        <v>41</v>
      </c>
      <c r="B6" s="23" t="s">
        <v>200</v>
      </c>
      <c r="C6" s="23" t="s">
        <v>206</v>
      </c>
      <c r="I6" s="15" t="s">
        <v>41</v>
      </c>
      <c r="P6" s="53" t="str">
        <f>CONCATENATE("DECLARE @IDDOCUMENT SMALLINT = (SELECT DOCUMENT_TYPE_ID FROM document_types WHERE DOCUMENT_TYPE_NAME = '",A6,"')")</f>
        <v>DECLARE @IDDOCUMENT SMALLINT = (SELECT DOCUMENT_TYPE_ID FROM document_types WHERE DOCUMENT_TYPE_NAME = 'Orden')</v>
      </c>
      <c r="R6" s="53" t="str">
        <f>CONCATENATE("@IDDOCUMENT",$X$2,$W$2,B6,$W$2,$X$2,$W$2,C6,$W$2)</f>
        <v>@IDDOCUMENT,'Alarmas de Ordenes','Alarmas para Ordenes de Compra'</v>
      </c>
      <c r="T6" s="59" t="str">
        <f>CONCATENATE(P6," ",$T$2,$T$3,$V$2,$V$3,$Y$2,$U$2,$V$2,R6,$Y$2,CHAR(10),"GO")</f>
        <v>DECLARE @IDDOCUMENT SMALLINT = (SELECT DOCUMENT_TYPE_ID FROM document_types WHERE DOCUMENT_TYPE_NAME = 'Orden') insert into alarm_types (DOCUMENT_TYPE_ID, NAME, DESCRIPTION) values  (@IDDOCUMENT,'Alarmas de Ordenes','Alarmas para Ordenes de Compra')
GO</v>
      </c>
    </row>
    <row r="7" spans="1:26" x14ac:dyDescent="0.25">
      <c r="A7" s="23" t="s">
        <v>42</v>
      </c>
      <c r="B7" s="23" t="s">
        <v>201</v>
      </c>
      <c r="C7" s="23" t="s">
        <v>204</v>
      </c>
      <c r="I7" s="15" t="s">
        <v>42</v>
      </c>
      <c r="P7" s="53" t="str">
        <f t="shared" ref="P7:P8" si="0">CONCATENATE("DECLARE @IDDOCUMENT SMALLINT = (SELECT DOCUMENT_TYPE_ID FROM document_types WHERE DOCUMENT_TYPE_NAME = '",A7,"')")</f>
        <v>DECLARE @IDDOCUMENT SMALLINT = (SELECT DOCUMENT_TYPE_ID FROM document_types WHERE DOCUMENT_TYPE_NAME = 'Pedido')</v>
      </c>
      <c r="R7" s="53" t="str">
        <f t="shared" ref="R7:R8" si="1">CONCATENATE("@IDDOCUMENT",$X$2,$W$2,B7,$W$2,$X$2,$W$2,C7,$W$2)</f>
        <v>@IDDOCUMENT,'Alarmas de Pedidos','Alarmas para Pedidos'</v>
      </c>
      <c r="T7" s="59" t="str">
        <f t="shared" ref="T7:T8" si="2">CONCATENATE(P7," ",$T$2,$T$3,$V$2,$V$3,$Y$2,$U$2,$V$2,R7,$Y$2,CHAR(10),"GO")</f>
        <v>DECLARE @IDDOCUMENT SMALLINT = (SELECT DOCUMENT_TYPE_ID FROM document_types WHERE DOCUMENT_TYPE_NAME = 'Pedido') insert into alarm_types (DOCUMENT_TYPE_ID, NAME, DESCRIPTION) values  (@IDDOCUMENT,'Alarmas de Pedidos','Alarmas para Pedidos')
GO</v>
      </c>
    </row>
    <row r="8" spans="1:26" x14ac:dyDescent="0.25">
      <c r="A8" s="23" t="s">
        <v>43</v>
      </c>
      <c r="B8" s="23" t="s">
        <v>202</v>
      </c>
      <c r="C8" s="23" t="s">
        <v>205</v>
      </c>
      <c r="I8" s="15" t="s">
        <v>43</v>
      </c>
      <c r="P8" s="53" t="str">
        <f t="shared" si="0"/>
        <v>DECLARE @IDDOCUMENT SMALLINT = (SELECT DOCUMENT_TYPE_ID FROM document_types WHERE DOCUMENT_TYPE_NAME = 'Reserva')</v>
      </c>
      <c r="R8" s="53" t="str">
        <f t="shared" si="1"/>
        <v>@IDDOCUMENT,'Alarmas de Reservas','Alarmas para Reservas'</v>
      </c>
      <c r="T8" s="59" t="str">
        <f t="shared" si="2"/>
        <v>DECLARE @IDDOCUMENT SMALLINT = (SELECT DOCUMENT_TYPE_ID FROM document_types WHERE DOCUMENT_TYPE_NAME = 'Reserva') insert into alarm_types (DOCUMENT_TYPE_ID, NAME, DESCRIPTION) values  (@IDDOCUMENT,'Alarmas de Reservas','Alarmas para Reservas')
GO</v>
      </c>
    </row>
    <row r="9" spans="1:26" x14ac:dyDescent="0.25">
      <c r="P9" s="53"/>
      <c r="R9" s="53"/>
      <c r="T9" s="59"/>
    </row>
  </sheetData>
  <dataValidations count="1">
    <dataValidation type="list" allowBlank="1" showInputMessage="1" showErrorMessage="1" sqref="A6:A1048576">
      <formula1>$I$6:$I$8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opLeftCell="B1" workbookViewId="0">
      <pane ySplit="5" topLeftCell="A6" activePane="bottomLeft" state="frozen"/>
      <selection pane="bottomLeft" activeCell="T8" sqref="T6:T8"/>
    </sheetView>
  </sheetViews>
  <sheetFormatPr baseColWidth="10" defaultRowHeight="15" x14ac:dyDescent="0.25"/>
  <cols>
    <col min="1" max="1" width="18.5703125" style="23" customWidth="1"/>
    <col min="2" max="2" width="30.7109375" style="23" bestFit="1" customWidth="1"/>
    <col min="3" max="3" width="1.85546875" style="15" customWidth="1"/>
    <col min="4" max="7" width="11.42578125" style="15"/>
    <col min="8" max="15" width="0" style="15" hidden="1" customWidth="1"/>
    <col min="16" max="16384" width="11.42578125" style="15"/>
  </cols>
  <sheetData>
    <row r="1" spans="1:26" ht="45.75" customHeight="1" x14ac:dyDescent="0.25">
      <c r="A1" s="28" t="s">
        <v>44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T3" s="53" t="s">
        <v>212</v>
      </c>
      <c r="U3" s="53"/>
      <c r="V3" s="53" t="s">
        <v>211</v>
      </c>
      <c r="W3" s="53"/>
      <c r="X3" s="53"/>
      <c r="Y3" s="53"/>
      <c r="Z3" s="53"/>
    </row>
    <row r="4" spans="1:26" ht="15.75" thickBot="1" x14ac:dyDescent="0.3">
      <c r="A4" s="31"/>
      <c r="B4" s="31" t="s">
        <v>18</v>
      </c>
    </row>
    <row r="5" spans="1:26" s="17" customFormat="1" x14ac:dyDescent="0.25">
      <c r="A5" s="32" t="s">
        <v>46</v>
      </c>
      <c r="B5" s="32" t="s">
        <v>47</v>
      </c>
    </row>
    <row r="6" spans="1:26" x14ac:dyDescent="0.25">
      <c r="A6" s="23" t="s">
        <v>200</v>
      </c>
      <c r="B6" s="23" t="s">
        <v>209</v>
      </c>
      <c r="P6" s="53" t="str">
        <f>CONCATENATE("DECLARE @IDALARMTYPE SMALLINT = (SELECT ALARM_TYPE_ID FROM alarm_types WHERE NAME = '",A6,"')")</f>
        <v>DECLARE @IDALARMTYPE SMALLINT = (SELECT ALARM_TYPE_ID FROM alarm_types WHERE NAME = 'Alarmas de Ordenes')</v>
      </c>
      <c r="R6" s="53" t="str">
        <f>CONCATENATE("@IDALARMTYPE",$X$2,$W$2,B6,$W$2)</f>
        <v>@IDALARMTYPE,'Revisar estado de importacion'</v>
      </c>
      <c r="T6" s="59" t="str">
        <f>CONCATENATE(P6," ",$T$2,$T$3,$V$2,$V$3,$Y$2,$U$2,$V$2,R6,$Y$2,CHAR(10),"GO")</f>
        <v>DECLARE @IDALARMTYPE SMALLINT = (SELECT ALARM_TYPE_ID FROM alarm_types WHERE NAME = 'Alarmas de Ordenes') insert into alarm_messages (ALARM_TYPE_ID, ALARM_MESSAGE) values  (@IDALARMTYPE,'Revisar estado de importacion')
GO</v>
      </c>
    </row>
    <row r="7" spans="1:26" x14ac:dyDescent="0.25">
      <c r="A7" s="23" t="s">
        <v>201</v>
      </c>
      <c r="B7" s="23" t="s">
        <v>210</v>
      </c>
      <c r="P7" s="53" t="str">
        <f t="shared" ref="P7" si="0">CONCATENATE("DECLARE @IDALARMTYPE SMALLINT = (SELECT ALARM_TYPE_ID FROM alarm_types WHERE NAME = '",A7,"')")</f>
        <v>DECLARE @IDALARMTYPE SMALLINT = (SELECT ALARM_TYPE_ID FROM alarm_types WHERE NAME = 'Alarmas de Pedidos')</v>
      </c>
      <c r="R7" s="53" t="str">
        <f t="shared" ref="R7" si="1">CONCATENATE("@IDALARMTYPE",$X$2,$W$2,B7,$W$2)</f>
        <v>@IDALARMTYPE,'Confirmar Marcacion de Articulos'</v>
      </c>
      <c r="T7" s="59" t="str">
        <f t="shared" ref="T7" si="2">CONCATENATE(P7," ",$T$2,$T$3,$V$2,$V$3,$Y$2,$U$2,$V$2,R7,$Y$2,CHAR(10),"GO")</f>
        <v>DECLARE @IDALARMTYPE SMALLINT = (SELECT ALARM_TYPE_ID FROM alarm_types WHERE NAME = 'Alarmas de Pedidos') insert into alarm_messages (ALARM_TYPE_ID, ALARM_MESSAGE) values  (@IDALARMTYPE,'Confirmar Marcacion de Articulos')
GO</v>
      </c>
    </row>
    <row r="8" spans="1:26" x14ac:dyDescent="0.25">
      <c r="P8" s="53"/>
      <c r="R8" s="53"/>
      <c r="T8" s="59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'Tipos de Alarma'!$B$6:$B$1000</xm:f>
          </x14:formula1>
          <xm:sqref>A6:A1048576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zoomScaleNormal="100"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2.42578125" style="23" customWidth="1"/>
    <col min="2" max="2" width="20.42578125" style="23" customWidth="1"/>
    <col min="3" max="3" width="43.5703125" style="23" customWidth="1"/>
    <col min="4" max="4" width="1" style="15" customWidth="1"/>
    <col min="5" max="5" width="11.42578125" style="15"/>
    <col min="6" max="14" width="0" style="15" hidden="1" customWidth="1"/>
    <col min="15" max="16384" width="11.42578125" style="15"/>
  </cols>
  <sheetData>
    <row r="1" spans="1:26" ht="45" customHeight="1" x14ac:dyDescent="0.25">
      <c r="A1" s="28" t="s">
        <v>48</v>
      </c>
      <c r="B1" s="33"/>
      <c r="C1" s="33"/>
    </row>
    <row r="2" spans="1:26" x14ac:dyDescent="0.25">
      <c r="A2" s="34" t="s">
        <v>3</v>
      </c>
      <c r="B2" s="34" t="s">
        <v>3</v>
      </c>
      <c r="C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36"/>
      <c r="T3" s="53" t="s">
        <v>218</v>
      </c>
      <c r="U3" s="53"/>
      <c r="V3" s="53" t="s">
        <v>217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  <c r="C4" s="31" t="s">
        <v>18</v>
      </c>
    </row>
    <row r="5" spans="1:26" s="17" customFormat="1" x14ac:dyDescent="0.25">
      <c r="A5" s="32" t="s">
        <v>30</v>
      </c>
      <c r="B5" s="32" t="s">
        <v>39</v>
      </c>
      <c r="C5" s="32" t="s">
        <v>16</v>
      </c>
    </row>
    <row r="6" spans="1:26" x14ac:dyDescent="0.25">
      <c r="A6" s="23" t="s">
        <v>213</v>
      </c>
      <c r="B6" s="23" t="s">
        <v>42</v>
      </c>
      <c r="P6" s="53" t="str">
        <f>CONCATENATE("DECLARE @IDDOCUMENT SMALLINT = (SELECT DOCUMENT_TYPE_ID FROM document_types WHERE DOCUMENT_TYPE_NAME = '",B6,"')")</f>
        <v>DECLARE @IDDOCUMENT SMALLINT = (SELECT DOCUMENT_TYPE_ID FROM document_types WHERE DOCUMENT_TYPE_NAME = 'Pedido')</v>
      </c>
      <c r="R6" s="53" t="str">
        <f>CONCATENATE($W$2,A6,$W$2,$X$2,"@IDDOCUMENT",$X$2,IF(LEN(C6)&gt;0,CONCATENATE($W$2,C6,$W$2),$Z$2))</f>
        <v>'solicitud del cliente',@IDDOCUMENT,NULL</v>
      </c>
      <c r="T6" s="59" t="str">
        <f>CONCATENATE(P6," ",$T$2,$T$3,$V$2,$V$3,$Y$2,$U$2,$V$2,R6,$Y$2,CHAR(10),"GO")</f>
        <v>DECLARE @IDDOCUMENT SMALLINT = (SELECT DOCUMENT_TYPE_ID FROM document_types WHERE DOCUMENT_TYPE_NAME = 'Pedido') insert into cancellation_reasons (CANCELLATION_REASON_NAME, DOCUMENT_TYPE_ID, NOTES) values  ('solicitud del cliente',@IDDOCUMENT,NULL)
GO</v>
      </c>
    </row>
    <row r="7" spans="1:26" x14ac:dyDescent="0.25">
      <c r="A7" s="23" t="s">
        <v>214</v>
      </c>
      <c r="B7" s="23" t="s">
        <v>41</v>
      </c>
      <c r="C7" s="23" t="s">
        <v>216</v>
      </c>
      <c r="I7" s="15" t="s">
        <v>41</v>
      </c>
      <c r="P7" s="53" t="str">
        <f t="shared" ref="P7:P8" si="0">CONCATENATE("DECLARE @IDDOCUMENT SMALLINT = (SELECT DOCUMENT_TYPE_ID FROM document_types WHERE DOCUMENT_TYPE_NAME = '",B7,"')")</f>
        <v>DECLARE @IDDOCUMENT SMALLINT = (SELECT DOCUMENT_TYPE_ID FROM document_types WHERE DOCUMENT_TYPE_NAME = 'Orden')</v>
      </c>
      <c r="R7" s="53" t="str">
        <f t="shared" ref="R7:R8" si="1">CONCATENATE($W$2,A7,$W$2,$X$2,"@IDDOCUMENT",$X$2,IF(LEN(C7)&gt;0,CONCATENATE($W$2,C7,$W$2),$Z$2))</f>
        <v>'Inventario Insuficiente',@IDDOCUMENT,'Proveedor no cuenta con los Articulos solicitados'</v>
      </c>
      <c r="T7" s="59" t="str">
        <f t="shared" ref="T7:T8" si="2">CONCATENATE(P7," ",$T$2,$T$3,$V$2,$V$3,$Y$2,$U$2,$V$2,R7,$Y$2,CHAR(10),"GO")</f>
        <v>DECLARE @IDDOCUMENT SMALLINT = (SELECT DOCUMENT_TYPE_ID FROM document_types WHERE DOCUMENT_TYPE_NAME = 'Orden') insert into cancellation_reasons (CANCELLATION_REASON_NAME, DOCUMENT_TYPE_ID, NOTES) values  ('Inventario Insuficiente',@IDDOCUMENT,'Proveedor no cuenta con los Articulos solicitados')
GO</v>
      </c>
    </row>
    <row r="8" spans="1:26" x14ac:dyDescent="0.25">
      <c r="A8" s="23" t="s">
        <v>215</v>
      </c>
      <c r="B8" s="23" t="s">
        <v>43</v>
      </c>
      <c r="I8" s="15" t="s">
        <v>42</v>
      </c>
      <c r="P8" s="53" t="str">
        <f t="shared" si="0"/>
        <v>DECLARE @IDDOCUMENT SMALLINT = (SELECT DOCUMENT_TYPE_ID FROM document_types WHERE DOCUMENT_TYPE_NAME = 'Reserva')</v>
      </c>
      <c r="R8" s="53" t="str">
        <f t="shared" si="1"/>
        <v>'Cancelado por el cliente',@IDDOCUMENT,NULL</v>
      </c>
      <c r="T8" s="59" t="str">
        <f t="shared" si="2"/>
        <v>DECLARE @IDDOCUMENT SMALLINT = (SELECT DOCUMENT_TYPE_ID FROM document_types WHERE DOCUMENT_TYPE_NAME = 'Reserva') insert into cancellation_reasons (CANCELLATION_REASON_NAME, DOCUMENT_TYPE_ID, NOTES) values  ('Cancelado por el cliente',@IDDOCUMENT,NULL)
GO</v>
      </c>
    </row>
    <row r="9" spans="1:26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Descripcion del Archivo</vt:lpstr>
      <vt:lpstr>Tipos de Actividades</vt:lpstr>
      <vt:lpstr>Areas</vt:lpstr>
      <vt:lpstr>Actividades por Area</vt:lpstr>
      <vt:lpstr>Motivos de Ajustes de Inventari</vt:lpstr>
      <vt:lpstr>Tipos de ajustes de Inventario</vt:lpstr>
      <vt:lpstr>Tipos de Alarma</vt:lpstr>
      <vt:lpstr>Mensajes x Tipo de Alarma</vt:lpstr>
      <vt:lpstr>Motivos de Cancelación</vt:lpstr>
      <vt:lpstr>Motivos de Modificacion</vt:lpstr>
      <vt:lpstr>Motivos de Cierre de Pedidos</vt:lpstr>
      <vt:lpstr>Paises</vt:lpstr>
      <vt:lpstr>Departamentos-Estados</vt:lpstr>
      <vt:lpstr>Ciudades</vt:lpstr>
      <vt:lpstr>Tipos de Identificación</vt:lpstr>
      <vt:lpstr>Satelites</vt:lpstr>
      <vt:lpstr>Clientes</vt:lpstr>
      <vt:lpstr>Contactos del Cliente</vt:lpstr>
      <vt:lpstr>Transportadoras</vt:lpstr>
      <vt:lpstr>Agentes de Transportadora</vt:lpstr>
      <vt:lpstr>Métodos de Transporte</vt:lpstr>
      <vt:lpstr>Metodos de Transporte por Agent</vt:lpstr>
      <vt:lpstr>Lineas</vt:lpstr>
      <vt:lpstr>Monedas</vt:lpstr>
      <vt:lpstr>Unidades de Medida</vt:lpstr>
      <vt:lpstr>Articulos</vt:lpstr>
      <vt:lpstr>Articulos por Area</vt:lpstr>
      <vt:lpstr>Referencias</vt:lpstr>
      <vt:lpstr>Proveedores</vt:lpstr>
      <vt:lpstr>Referencias por Proveedor</vt:lpstr>
      <vt:lpstr>Metodos de envio</vt:lpstr>
      <vt:lpstr>Embalajes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2024-06-15T18:41:19Z</dcterms:modified>
</cp:coreProperties>
</file>