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eb_kopenas\dokumen\2016_april\"/>
    </mc:Choice>
  </mc:AlternateContent>
  <bookViews>
    <workbookView xWindow="0" yWindow="0" windowWidth="19530" windowHeight="4695"/>
  </bookViews>
  <sheets>
    <sheet name="Rekap SHU dan Jasa Simpanan" sheetId="1" r:id="rId1"/>
    <sheet name="Perincian SHU dan Jasa Simpanan" sheetId="2" r:id="rId2"/>
    <sheet name="Tanda Terima SHU Organik" sheetId="11" r:id="rId3"/>
    <sheet name="Tanda Terima SHU Rekanan" sheetId="12" r:id="rId4"/>
    <sheet name="Tanda Terima SHU Pensiunan" sheetId="13" r:id="rId5"/>
    <sheet name="Tanda Terima Uang Duduk Organik" sheetId="14" r:id="rId6"/>
    <sheet name="Tanda Terima Uang Duduk Rekanan" sheetId="15" r:id="rId7"/>
    <sheet name="Tanda Terima Uang Duduk pen" sheetId="16" r:id="rId8"/>
    <sheet name="Tanda Terima Souvenir organik" sheetId="17" r:id="rId9"/>
    <sheet name="Tanda Terima souvenir rekanan" sheetId="18" r:id="rId10"/>
    <sheet name="Tanda Terima Souvenir pensiunan" sheetId="19" r:id="rId11"/>
    <sheet name="Doorprize" sheetId="21" r:id="rId12"/>
    <sheet name="Absensi RAT" sheetId="22" r:id="rId13"/>
    <sheet name="Sheet2" sheetId="3" r:id="rId14"/>
  </sheets>
  <definedNames>
    <definedName name="_xlnm.Print_Titles" localSheetId="12">'Absensi RAT'!$A:$E,'Absensi RAT'!$1:$7</definedName>
    <definedName name="_xlnm.Print_Titles" localSheetId="0">'Rekap SHU dan Jasa Simpanan'!$A:$BD,'Rekap SHU dan Jasa Simpanan'!$6:$7</definedName>
    <definedName name="_xlnm.Print_Titles" localSheetId="2">'Tanda Terima SHU Organik'!$A:$F,'Tanda Terima SHU Organik'!$1:$7</definedName>
    <definedName name="_xlnm.Print_Titles" localSheetId="4">'Tanda Terima SHU Pensiunan'!$A:$F,'Tanda Terima SHU Pensiunan'!$1:$7</definedName>
    <definedName name="_xlnm.Print_Titles" localSheetId="3">'Tanda Terima SHU Rekanan'!$A:$F,'Tanda Terima SHU Rekanan'!$1:$7</definedName>
    <definedName name="_xlnm.Print_Titles" localSheetId="8">'Tanda Terima Souvenir organik'!$A:$E,'Tanda Terima Souvenir organik'!$1:$7</definedName>
    <definedName name="_xlnm.Print_Titles" localSheetId="10">'Tanda Terima Souvenir pensiunan'!$A:$E,'Tanda Terima Souvenir pensiunan'!$1:$7</definedName>
    <definedName name="_xlnm.Print_Titles" localSheetId="9">'Tanda Terima souvenir rekanan'!$A:$E,'Tanda Terima souvenir rekanan'!$1:$7</definedName>
    <definedName name="_xlnm.Print_Titles" localSheetId="5">'Tanda Terima Uang Duduk Organik'!$A:$F,'Tanda Terima Uang Duduk Organik'!$1:$7</definedName>
    <definedName name="_xlnm.Print_Titles" localSheetId="7">'Tanda Terima Uang Duduk pen'!$A:$F,'Tanda Terima Uang Duduk pen'!$1:$7</definedName>
    <definedName name="_xlnm.Print_Titles" localSheetId="6">'Tanda Terima Uang Duduk Rekanan'!$A:$F,'Tanda Terima Uang Duduk Rekanan'!$1:$7</definedName>
  </definedNames>
  <calcPr calcId="152511"/>
</workbook>
</file>

<file path=xl/calcChain.xml><?xml version="1.0" encoding="utf-8"?>
<calcChain xmlns="http://schemas.openxmlformats.org/spreadsheetml/2006/main">
  <c r="BU202" i="1" l="1"/>
  <c r="BU201" i="1"/>
  <c r="BU198" i="1"/>
  <c r="BU197" i="1"/>
  <c r="BU196" i="1"/>
  <c r="BU195" i="1"/>
  <c r="BU193" i="1"/>
  <c r="BU192" i="1"/>
  <c r="BU191" i="1"/>
  <c r="BU190" i="1"/>
  <c r="BU189" i="1"/>
  <c r="BU187" i="1"/>
  <c r="BU186" i="1"/>
  <c r="BU181" i="1"/>
  <c r="BU180" i="1"/>
  <c r="BU179" i="1"/>
  <c r="BU176" i="1"/>
  <c r="BU174" i="1"/>
  <c r="BU172" i="1"/>
  <c r="BU171" i="1"/>
  <c r="BU170" i="1"/>
  <c r="BU165" i="1"/>
  <c r="BU164" i="1"/>
  <c r="BU163" i="1"/>
  <c r="BU162" i="1"/>
  <c r="BU161" i="1"/>
  <c r="BU160" i="1"/>
  <c r="BU159" i="1"/>
  <c r="BU158" i="1"/>
  <c r="BU157" i="1"/>
  <c r="BU156" i="1"/>
  <c r="BU153" i="1"/>
  <c r="BU152" i="1"/>
  <c r="BU151" i="1"/>
  <c r="BU150" i="1"/>
  <c r="BU148" i="1"/>
  <c r="BU144" i="1"/>
  <c r="BU141" i="1"/>
  <c r="BU140" i="1"/>
  <c r="BU139" i="1"/>
  <c r="BU138" i="1"/>
  <c r="BU137" i="1"/>
  <c r="BU135" i="1"/>
  <c r="BU132" i="1"/>
  <c r="BU131" i="1"/>
  <c r="BU130" i="1"/>
  <c r="BU128" i="1"/>
  <c r="BU127" i="1"/>
  <c r="BU125" i="1"/>
  <c r="BU121" i="1"/>
  <c r="BU120" i="1"/>
  <c r="BU110" i="1"/>
  <c r="BU107" i="1"/>
  <c r="AO61" i="1" l="1"/>
  <c r="D37" i="16" l="1"/>
  <c r="D87" i="15"/>
  <c r="D96" i="14"/>
  <c r="J1242" i="2" l="1"/>
  <c r="D1238" i="2"/>
  <c r="D1237" i="2"/>
  <c r="J1225" i="2"/>
  <c r="J1226" i="2"/>
  <c r="D1226" i="2"/>
  <c r="D1225" i="2"/>
  <c r="J1214" i="2"/>
  <c r="J1213" i="2"/>
  <c r="D1214" i="2"/>
  <c r="D1213" i="2"/>
  <c r="J1139" i="2"/>
  <c r="J1138" i="2"/>
  <c r="D1139" i="2"/>
  <c r="D1138" i="2"/>
  <c r="J1202" i="2"/>
  <c r="D1202" i="2"/>
  <c r="J1201" i="2"/>
  <c r="D1201" i="2"/>
  <c r="J1187" i="2"/>
  <c r="D1187" i="2"/>
  <c r="J1186" i="2"/>
  <c r="D1186" i="2"/>
  <c r="J1175" i="2"/>
  <c r="D1175" i="2"/>
  <c r="J1174" i="2"/>
  <c r="D1174" i="2"/>
  <c r="J1163" i="2"/>
  <c r="D1163" i="2"/>
  <c r="J1162" i="2"/>
  <c r="D1162" i="2"/>
  <c r="J1151" i="2"/>
  <c r="D1151" i="2"/>
  <c r="J1150" i="2"/>
  <c r="D1150" i="2"/>
  <c r="J935" i="2"/>
  <c r="D935" i="2"/>
  <c r="J934" i="2"/>
  <c r="D934" i="2"/>
  <c r="J923" i="2"/>
  <c r="D923" i="2"/>
  <c r="J922" i="2"/>
  <c r="D922" i="2"/>
  <c r="J911" i="2"/>
  <c r="D911" i="2"/>
  <c r="J910" i="2"/>
  <c r="D910" i="2"/>
  <c r="J899" i="2"/>
  <c r="D899" i="2"/>
  <c r="J898" i="2"/>
  <c r="D898" i="2"/>
  <c r="J887" i="2"/>
  <c r="D887" i="2"/>
  <c r="J886" i="2"/>
  <c r="D886" i="2"/>
  <c r="J809" i="2"/>
  <c r="D809" i="2"/>
  <c r="J808" i="2"/>
  <c r="D808" i="2"/>
  <c r="J797" i="2"/>
  <c r="D797" i="2"/>
  <c r="J796" i="2"/>
  <c r="D796" i="2"/>
  <c r="J785" i="2"/>
  <c r="D785" i="2"/>
  <c r="J784" i="2"/>
  <c r="D784" i="2"/>
  <c r="J773" i="2"/>
  <c r="D773" i="2"/>
  <c r="J772" i="2"/>
  <c r="D772" i="2"/>
  <c r="J761" i="2"/>
  <c r="D761" i="2"/>
  <c r="J760" i="2"/>
  <c r="D760" i="2"/>
  <c r="J872" i="2"/>
  <c r="D872" i="2"/>
  <c r="J871" i="2"/>
  <c r="D871" i="2"/>
  <c r="J860" i="2"/>
  <c r="D860" i="2"/>
  <c r="J859" i="2"/>
  <c r="D859" i="2"/>
  <c r="J848" i="2"/>
  <c r="D848" i="2"/>
  <c r="J847" i="2"/>
  <c r="D847" i="2"/>
  <c r="J836" i="2"/>
  <c r="D836" i="2"/>
  <c r="J835" i="2"/>
  <c r="D835" i="2"/>
  <c r="J824" i="2"/>
  <c r="D824" i="2"/>
  <c r="J823" i="2"/>
  <c r="D823" i="2"/>
  <c r="J998" i="2"/>
  <c r="D998" i="2"/>
  <c r="J997" i="2"/>
  <c r="D997" i="2"/>
  <c r="J986" i="2"/>
  <c r="D986" i="2"/>
  <c r="J985" i="2"/>
  <c r="D985" i="2"/>
  <c r="J974" i="2"/>
  <c r="D974" i="2"/>
  <c r="J973" i="2"/>
  <c r="D973" i="2"/>
  <c r="J962" i="2"/>
  <c r="D962" i="2"/>
  <c r="J961" i="2"/>
  <c r="D961" i="2"/>
  <c r="J950" i="2"/>
  <c r="D950" i="2"/>
  <c r="J949" i="2"/>
  <c r="D949" i="2"/>
  <c r="J1061" i="2"/>
  <c r="D1061" i="2"/>
  <c r="J1060" i="2"/>
  <c r="D1060" i="2"/>
  <c r="J1049" i="2"/>
  <c r="D1049" i="2"/>
  <c r="J1048" i="2"/>
  <c r="D1048" i="2"/>
  <c r="J1037" i="2"/>
  <c r="D1037" i="2"/>
  <c r="J1036" i="2"/>
  <c r="D1036" i="2"/>
  <c r="J1025" i="2"/>
  <c r="D1025" i="2"/>
  <c r="J1024" i="2"/>
  <c r="D1024" i="2"/>
  <c r="J1013" i="2"/>
  <c r="D1013" i="2"/>
  <c r="J1012" i="2"/>
  <c r="D1012" i="2"/>
  <c r="D1075" i="2"/>
  <c r="J1075" i="2"/>
  <c r="D1076" i="2"/>
  <c r="J1076" i="2"/>
  <c r="D1087" i="2"/>
  <c r="J1087" i="2"/>
  <c r="D1088" i="2"/>
  <c r="J1088" i="2"/>
  <c r="D1099" i="2"/>
  <c r="J1099" i="2"/>
  <c r="D1100" i="2"/>
  <c r="J1100" i="2"/>
  <c r="D1111" i="2"/>
  <c r="J1111" i="2"/>
  <c r="D1112" i="2"/>
  <c r="J1112" i="2"/>
  <c r="D1123" i="2"/>
  <c r="J1123" i="2"/>
  <c r="D1124" i="2"/>
  <c r="J1124" i="2"/>
  <c r="J746" i="2"/>
  <c r="J745" i="2"/>
  <c r="D746" i="2"/>
  <c r="D745" i="2"/>
  <c r="J734" i="2"/>
  <c r="J733" i="2"/>
  <c r="D734" i="2"/>
  <c r="D733" i="2"/>
  <c r="J722" i="2"/>
  <c r="J721" i="2"/>
  <c r="D722" i="2"/>
  <c r="D721" i="2"/>
  <c r="J710" i="2"/>
  <c r="J709" i="2"/>
  <c r="D709" i="2"/>
  <c r="D710" i="2"/>
  <c r="J698" i="2"/>
  <c r="J697" i="2"/>
  <c r="D698" i="2"/>
  <c r="D697" i="2"/>
  <c r="J683" i="2"/>
  <c r="J682" i="2"/>
  <c r="D683" i="2"/>
  <c r="D682" i="2"/>
  <c r="J671" i="2"/>
  <c r="J670" i="2"/>
  <c r="D671" i="2"/>
  <c r="D670" i="2"/>
  <c r="J659" i="2"/>
  <c r="J658" i="2"/>
  <c r="D659" i="2"/>
  <c r="D658" i="2"/>
  <c r="J647" i="2"/>
  <c r="J646" i="2"/>
  <c r="D647" i="2"/>
  <c r="D646" i="2"/>
  <c r="J635" i="2"/>
  <c r="J634" i="2"/>
  <c r="D635" i="2"/>
  <c r="D634" i="2"/>
  <c r="J620" i="2"/>
  <c r="J619" i="2"/>
  <c r="D620" i="2"/>
  <c r="D619" i="2"/>
  <c r="J607" i="2"/>
  <c r="J608" i="2"/>
  <c r="D608" i="2"/>
  <c r="D607" i="2"/>
  <c r="J596" i="2"/>
  <c r="J595" i="2"/>
  <c r="D596" i="2"/>
  <c r="D595" i="2"/>
  <c r="J584" i="2"/>
  <c r="J583" i="2"/>
  <c r="D584" i="2"/>
  <c r="D583" i="2"/>
  <c r="J572" i="2"/>
  <c r="J571" i="2"/>
  <c r="D572" i="2"/>
  <c r="D571" i="2"/>
  <c r="J557" i="2"/>
  <c r="J556" i="2"/>
  <c r="D557" i="2"/>
  <c r="D556" i="2"/>
  <c r="J545" i="2"/>
  <c r="J544" i="2"/>
  <c r="D545" i="2"/>
  <c r="D544" i="2"/>
  <c r="J533" i="2"/>
  <c r="J532" i="2"/>
  <c r="D533" i="2"/>
  <c r="D532" i="2"/>
  <c r="J521" i="2"/>
  <c r="J520" i="2"/>
  <c r="D521" i="2"/>
  <c r="D520" i="2"/>
  <c r="J509" i="2"/>
  <c r="J508" i="2"/>
  <c r="D509" i="2"/>
  <c r="D508" i="2"/>
  <c r="J494" i="2"/>
  <c r="J493" i="2"/>
  <c r="D494" i="2"/>
  <c r="D493" i="2"/>
  <c r="J482" i="2"/>
  <c r="J481" i="2"/>
  <c r="D482" i="2"/>
  <c r="D481" i="2"/>
  <c r="J469" i="2"/>
  <c r="J470" i="2"/>
  <c r="D470" i="2"/>
  <c r="D469" i="2"/>
  <c r="J458" i="2"/>
  <c r="J457" i="2"/>
  <c r="D458" i="2"/>
  <c r="D457" i="2"/>
  <c r="J446" i="2"/>
  <c r="J445" i="2"/>
  <c r="D446" i="2"/>
  <c r="D445" i="2"/>
  <c r="J431" i="2"/>
  <c r="J430" i="2"/>
  <c r="D431" i="2"/>
  <c r="D430" i="2"/>
  <c r="J419" i="2"/>
  <c r="J418" i="2"/>
  <c r="D419" i="2"/>
  <c r="D418" i="2"/>
  <c r="J407" i="2"/>
  <c r="J406" i="2"/>
  <c r="D407" i="2"/>
  <c r="D406" i="2"/>
  <c r="J395" i="2"/>
  <c r="J394" i="2"/>
  <c r="D395" i="2"/>
  <c r="D394" i="2"/>
  <c r="J383" i="2"/>
  <c r="J382" i="2"/>
  <c r="D383" i="2"/>
  <c r="D382" i="2"/>
  <c r="J368" i="2"/>
  <c r="J367" i="2"/>
  <c r="D368" i="2"/>
  <c r="D367" i="2"/>
  <c r="J356" i="2"/>
  <c r="J355" i="2"/>
  <c r="D356" i="2"/>
  <c r="D355" i="2"/>
  <c r="J344" i="2"/>
  <c r="J343" i="2"/>
  <c r="D344" i="2"/>
  <c r="D343" i="2"/>
  <c r="J332" i="2"/>
  <c r="J331" i="2"/>
  <c r="D332" i="2"/>
  <c r="D331" i="2"/>
  <c r="J320" i="2"/>
  <c r="J319" i="2"/>
  <c r="D320" i="2"/>
  <c r="D319" i="2"/>
  <c r="J305" i="2"/>
  <c r="J304" i="2"/>
  <c r="D305" i="2"/>
  <c r="D304" i="2"/>
  <c r="J293" i="2"/>
  <c r="J292" i="2"/>
  <c r="D293" i="2"/>
  <c r="D292" i="2"/>
  <c r="J281" i="2"/>
  <c r="J280" i="2"/>
  <c r="D281" i="2"/>
  <c r="D280" i="2"/>
  <c r="J269" i="2"/>
  <c r="J268" i="2"/>
  <c r="D269" i="2"/>
  <c r="D268" i="2"/>
  <c r="J257" i="2"/>
  <c r="J256" i="2"/>
  <c r="D257" i="2"/>
  <c r="D256" i="2"/>
  <c r="J242" i="2"/>
  <c r="J241" i="2"/>
  <c r="D242" i="2"/>
  <c r="D241" i="2"/>
  <c r="J230" i="2"/>
  <c r="J229" i="2"/>
  <c r="D230" i="2"/>
  <c r="D229" i="2"/>
  <c r="J218" i="2"/>
  <c r="J217" i="2"/>
  <c r="D218" i="2"/>
  <c r="D217" i="2"/>
  <c r="J206" i="2"/>
  <c r="J205" i="2"/>
  <c r="D206" i="2"/>
  <c r="D205" i="2"/>
  <c r="J194" i="2"/>
  <c r="J193" i="2"/>
  <c r="D194" i="2"/>
  <c r="D193" i="2"/>
  <c r="J179" i="2"/>
  <c r="J178" i="2"/>
  <c r="D179" i="2"/>
  <c r="D178" i="2"/>
  <c r="J167" i="2"/>
  <c r="J166" i="2"/>
  <c r="D167" i="2"/>
  <c r="D166" i="2"/>
  <c r="J155" i="2"/>
  <c r="J154" i="2"/>
  <c r="D155" i="2"/>
  <c r="D154" i="2"/>
  <c r="J143" i="2"/>
  <c r="J142" i="2"/>
  <c r="D143" i="2"/>
  <c r="D142" i="2"/>
  <c r="J131" i="2"/>
  <c r="J130" i="2"/>
  <c r="D131" i="2"/>
  <c r="D130" i="2"/>
  <c r="J116" i="2"/>
  <c r="J115" i="2"/>
  <c r="D116" i="2"/>
  <c r="D115" i="2"/>
  <c r="J104" i="2"/>
  <c r="J103" i="2"/>
  <c r="D104" i="2"/>
  <c r="D103" i="2"/>
  <c r="J92" i="2"/>
  <c r="J91" i="2"/>
  <c r="D92" i="2"/>
  <c r="D91" i="2"/>
  <c r="J80" i="2"/>
  <c r="J79" i="2"/>
  <c r="D80" i="2"/>
  <c r="D79" i="2"/>
  <c r="J68" i="2"/>
  <c r="J67" i="2"/>
  <c r="D68" i="2"/>
  <c r="D67" i="2"/>
  <c r="J53" i="2"/>
  <c r="J52" i="2"/>
  <c r="D53" i="2"/>
  <c r="D52" i="2"/>
  <c r="J41" i="2"/>
  <c r="J40" i="2"/>
  <c r="D41" i="2"/>
  <c r="D40" i="2"/>
  <c r="J29" i="2"/>
  <c r="J28" i="2"/>
  <c r="D29" i="2"/>
  <c r="D28" i="2"/>
  <c r="J17" i="2"/>
  <c r="J16" i="2"/>
  <c r="D17" i="2"/>
  <c r="D16" i="2"/>
  <c r="J5" i="2"/>
  <c r="J4" i="2"/>
  <c r="D4" i="2"/>
  <c r="D5" i="2"/>
  <c r="BC74" i="1" l="1"/>
  <c r="BB74" i="1"/>
  <c r="BB205" i="1" s="1"/>
  <c r="BR14" i="1" s="1"/>
  <c r="D44" i="2" s="1"/>
  <c r="BC40" i="1"/>
  <c r="Q205" i="1"/>
  <c r="V205" i="1"/>
  <c r="D205" i="1"/>
  <c r="BR199" i="1" l="1"/>
  <c r="J1178" i="2" s="1"/>
  <c r="BR191" i="1"/>
  <c r="D1127" i="2" s="1"/>
  <c r="BR183" i="1"/>
  <c r="D1079" i="2" s="1"/>
  <c r="BR175" i="1"/>
  <c r="J1028" i="2" s="1"/>
  <c r="BR167" i="1"/>
  <c r="D989" i="2" s="1"/>
  <c r="BR159" i="1"/>
  <c r="D938" i="2" s="1"/>
  <c r="BR151" i="1"/>
  <c r="D890" i="2" s="1"/>
  <c r="BR143" i="1"/>
  <c r="D839" i="2" s="1"/>
  <c r="BR135" i="1"/>
  <c r="D788" i="2" s="1"/>
  <c r="BR127" i="1"/>
  <c r="J737" i="2" s="1"/>
  <c r="BR114" i="1"/>
  <c r="J662" i="2" s="1"/>
  <c r="BR98" i="1"/>
  <c r="D575" i="2" s="1"/>
  <c r="BR82" i="1"/>
  <c r="D473" i="2" s="1"/>
  <c r="BR66" i="1"/>
  <c r="D371" i="2" s="1"/>
  <c r="BR50" i="1"/>
  <c r="D272" i="2" s="1"/>
  <c r="BR34" i="1"/>
  <c r="D170" i="2" s="1"/>
  <c r="BR18" i="1"/>
  <c r="D71" i="2" s="1"/>
  <c r="BR203" i="1"/>
  <c r="J1205" i="2" s="1"/>
  <c r="BR195" i="1"/>
  <c r="J1154" i="2" s="1"/>
  <c r="BR187" i="1"/>
  <c r="D1103" i="2" s="1"/>
  <c r="BR179" i="1"/>
  <c r="J1217" i="2" s="1"/>
  <c r="BR171" i="1"/>
  <c r="J1001" i="2" s="1"/>
  <c r="BR163" i="1"/>
  <c r="D965" i="2" s="1"/>
  <c r="BR155" i="1"/>
  <c r="D914" i="2" s="1"/>
  <c r="BR147" i="1"/>
  <c r="D863" i="2" s="1"/>
  <c r="BR139" i="1"/>
  <c r="D812" i="2" s="1"/>
  <c r="BR131" i="1"/>
  <c r="D764" i="2" s="1"/>
  <c r="BR122" i="1"/>
  <c r="D713" i="2" s="1"/>
  <c r="BR90" i="1"/>
  <c r="D524" i="2" s="1"/>
  <c r="BR74" i="1"/>
  <c r="D422" i="2" s="1"/>
  <c r="BR58" i="1"/>
  <c r="D323" i="2" s="1"/>
  <c r="BR42" i="1"/>
  <c r="D221" i="2" s="1"/>
  <c r="BR26" i="1"/>
  <c r="D119" i="2" s="1"/>
  <c r="BR10" i="1"/>
  <c r="D20" i="2" s="1"/>
  <c r="BR8" i="1"/>
  <c r="D8" i="2" s="1"/>
  <c r="BR201" i="1"/>
  <c r="J1190" i="2" s="1"/>
  <c r="BR197" i="1"/>
  <c r="J1166" i="2" s="1"/>
  <c r="BR193" i="1"/>
  <c r="D1142" i="2" s="1"/>
  <c r="BR189" i="1"/>
  <c r="D1115" i="2" s="1"/>
  <c r="BR185" i="1"/>
  <c r="D1091" i="2" s="1"/>
  <c r="BR181" i="1"/>
  <c r="D1064" i="2" s="1"/>
  <c r="BR177" i="1"/>
  <c r="J1040" i="2" s="1"/>
  <c r="BR173" i="1"/>
  <c r="J1016" i="2" s="1"/>
  <c r="BR169" i="1"/>
  <c r="D1217" i="2" s="1"/>
  <c r="BR165" i="1"/>
  <c r="D977" i="2" s="1"/>
  <c r="BR161" i="1"/>
  <c r="D953" i="2" s="1"/>
  <c r="BR157" i="1"/>
  <c r="D926" i="2" s="1"/>
  <c r="BR153" i="1"/>
  <c r="D902" i="2" s="1"/>
  <c r="BR149" i="1"/>
  <c r="D875" i="2" s="1"/>
  <c r="BR145" i="1"/>
  <c r="D851" i="2" s="1"/>
  <c r="BR141" i="1"/>
  <c r="D827" i="2" s="1"/>
  <c r="BR137" i="1"/>
  <c r="D800" i="2" s="1"/>
  <c r="BR133" i="1"/>
  <c r="D776" i="2" s="1"/>
  <c r="BR129" i="1"/>
  <c r="J749" i="2" s="1"/>
  <c r="BR125" i="1"/>
  <c r="J725" i="2" s="1"/>
  <c r="BR118" i="1"/>
  <c r="D686" i="2" s="1"/>
  <c r="BR110" i="1"/>
  <c r="J638" i="2" s="1"/>
  <c r="BR102" i="1"/>
  <c r="D599" i="2" s="1"/>
  <c r="BR94" i="1"/>
  <c r="D548" i="2" s="1"/>
  <c r="BR86" i="1"/>
  <c r="D497" i="2" s="1"/>
  <c r="BR78" i="1"/>
  <c r="D449" i="2" s="1"/>
  <c r="BR70" i="1"/>
  <c r="D398" i="2" s="1"/>
  <c r="BR62" i="1"/>
  <c r="D347" i="2" s="1"/>
  <c r="BR54" i="1"/>
  <c r="D296" i="2" s="1"/>
  <c r="BR46" i="1"/>
  <c r="D245" i="2" s="1"/>
  <c r="BR38" i="1"/>
  <c r="D197" i="2" s="1"/>
  <c r="BR30" i="1"/>
  <c r="D146" i="2" s="1"/>
  <c r="BR22" i="1"/>
  <c r="D95" i="2" s="1"/>
  <c r="BR9" i="1"/>
  <c r="J8" i="2" s="1"/>
  <c r="BR11" i="1"/>
  <c r="J20" i="2" s="1"/>
  <c r="BR13" i="1"/>
  <c r="J32" i="2" s="1"/>
  <c r="BR15" i="1"/>
  <c r="J44" i="2" s="1"/>
  <c r="BR17" i="1"/>
  <c r="J56" i="2" s="1"/>
  <c r="BR19" i="1"/>
  <c r="J71" i="2" s="1"/>
  <c r="BR21" i="1"/>
  <c r="J83" i="2" s="1"/>
  <c r="BR23" i="1"/>
  <c r="J95" i="2" s="1"/>
  <c r="BR25" i="1"/>
  <c r="J107" i="2" s="1"/>
  <c r="BR27" i="1"/>
  <c r="J119" i="2" s="1"/>
  <c r="BR29" i="1"/>
  <c r="J134" i="2" s="1"/>
  <c r="BR31" i="1"/>
  <c r="J146" i="2" s="1"/>
  <c r="BR33" i="1"/>
  <c r="J158" i="2" s="1"/>
  <c r="BR35" i="1"/>
  <c r="J170" i="2" s="1"/>
  <c r="BR37" i="1"/>
  <c r="J182" i="2" s="1"/>
  <c r="BR39" i="1"/>
  <c r="J197" i="2" s="1"/>
  <c r="BR41" i="1"/>
  <c r="J209" i="2" s="1"/>
  <c r="BR43" i="1"/>
  <c r="J221" i="2" s="1"/>
  <c r="BR45" i="1"/>
  <c r="J233" i="2" s="1"/>
  <c r="BR47" i="1"/>
  <c r="J245" i="2" s="1"/>
  <c r="BR49" i="1"/>
  <c r="J260" i="2" s="1"/>
  <c r="BR51" i="1"/>
  <c r="J272" i="2" s="1"/>
  <c r="BR53" i="1"/>
  <c r="J284" i="2" s="1"/>
  <c r="BR55" i="1"/>
  <c r="J296" i="2" s="1"/>
  <c r="BR57" i="1"/>
  <c r="J308" i="2" s="1"/>
  <c r="BR59" i="1"/>
  <c r="J323" i="2" s="1"/>
  <c r="BR61" i="1"/>
  <c r="J335" i="2" s="1"/>
  <c r="BR63" i="1"/>
  <c r="J347" i="2" s="1"/>
  <c r="BR65" i="1"/>
  <c r="J359" i="2" s="1"/>
  <c r="BR67" i="1"/>
  <c r="J371" i="2" s="1"/>
  <c r="BR69" i="1"/>
  <c r="J386" i="2" s="1"/>
  <c r="BR71" i="1"/>
  <c r="J398" i="2" s="1"/>
  <c r="BR73" i="1"/>
  <c r="J410" i="2" s="1"/>
  <c r="BR75" i="1"/>
  <c r="J422" i="2" s="1"/>
  <c r="BR77" i="1"/>
  <c r="J434" i="2" s="1"/>
  <c r="BR79" i="1"/>
  <c r="J449" i="2" s="1"/>
  <c r="BR81" i="1"/>
  <c r="J461" i="2" s="1"/>
  <c r="BR83" i="1"/>
  <c r="J473" i="2" s="1"/>
  <c r="BR85" i="1"/>
  <c r="J485" i="2" s="1"/>
  <c r="BR87" i="1"/>
  <c r="J497" i="2" s="1"/>
  <c r="BR89" i="1"/>
  <c r="J512" i="2" s="1"/>
  <c r="BR91" i="1"/>
  <c r="J524" i="2" s="1"/>
  <c r="BR93" i="1"/>
  <c r="J536" i="2" s="1"/>
  <c r="BR95" i="1"/>
  <c r="J548" i="2" s="1"/>
  <c r="BR97" i="1"/>
  <c r="J560" i="2" s="1"/>
  <c r="BR99" i="1"/>
  <c r="J575" i="2" s="1"/>
  <c r="BR101" i="1"/>
  <c r="J587" i="2" s="1"/>
  <c r="BR103" i="1"/>
  <c r="J599" i="2" s="1"/>
  <c r="BR105" i="1"/>
  <c r="J611" i="2" s="1"/>
  <c r="BR107" i="1"/>
  <c r="D623" i="2" s="1"/>
  <c r="BR109" i="1"/>
  <c r="D638" i="2" s="1"/>
  <c r="BR111" i="1"/>
  <c r="D650" i="2" s="1"/>
  <c r="BR113" i="1"/>
  <c r="D662" i="2" s="1"/>
  <c r="BR115" i="1"/>
  <c r="D674" i="2" s="1"/>
  <c r="BR117" i="1"/>
  <c r="J674" i="2" s="1"/>
  <c r="BR119" i="1"/>
  <c r="J686" i="2" s="1"/>
  <c r="BR121" i="1"/>
  <c r="J701" i="2" s="1"/>
  <c r="BR123" i="1"/>
  <c r="J713" i="2" s="1"/>
  <c r="BR204" i="1"/>
  <c r="D1229" i="2" s="1"/>
  <c r="BR202" i="1"/>
  <c r="D1205" i="2" s="1"/>
  <c r="BR200" i="1"/>
  <c r="D1190" i="2" s="1"/>
  <c r="BR198" i="1"/>
  <c r="D1178" i="2" s="1"/>
  <c r="BR196" i="1"/>
  <c r="D1166" i="2" s="1"/>
  <c r="BR194" i="1"/>
  <c r="D1154" i="2" s="1"/>
  <c r="BR192" i="1"/>
  <c r="J1127" i="2" s="1"/>
  <c r="BR190" i="1"/>
  <c r="J1115" i="2" s="1"/>
  <c r="BR188" i="1"/>
  <c r="J1103" i="2" s="1"/>
  <c r="BR186" i="1"/>
  <c r="J1091" i="2" s="1"/>
  <c r="BR184" i="1"/>
  <c r="J1079" i="2" s="1"/>
  <c r="BR182" i="1"/>
  <c r="J1064" i="2" s="1"/>
  <c r="BR180" i="1"/>
  <c r="J1052" i="2" s="1"/>
  <c r="BR178" i="1"/>
  <c r="D1052" i="2" s="1"/>
  <c r="BR176" i="1"/>
  <c r="D1040" i="2" s="1"/>
  <c r="BR174" i="1"/>
  <c r="D1028" i="2" s="1"/>
  <c r="BR172" i="1"/>
  <c r="D1016" i="2" s="1"/>
  <c r="BR170" i="1"/>
  <c r="D1001" i="2" s="1"/>
  <c r="BR168" i="1"/>
  <c r="J989" i="2" s="1"/>
  <c r="BR166" i="1"/>
  <c r="J977" i="2" s="1"/>
  <c r="BR164" i="1"/>
  <c r="J965" i="2" s="1"/>
  <c r="BR162" i="1"/>
  <c r="J953" i="2" s="1"/>
  <c r="BR160" i="1"/>
  <c r="J938" i="2" s="1"/>
  <c r="BR158" i="1"/>
  <c r="J926" i="2" s="1"/>
  <c r="BR156" i="1"/>
  <c r="J914" i="2" s="1"/>
  <c r="BR154" i="1"/>
  <c r="J902" i="2" s="1"/>
  <c r="BR152" i="1"/>
  <c r="J890" i="2" s="1"/>
  <c r="BR150" i="1"/>
  <c r="J875" i="2" s="1"/>
  <c r="BR148" i="1"/>
  <c r="J863" i="2" s="1"/>
  <c r="BR146" i="1"/>
  <c r="J851" i="2" s="1"/>
  <c r="BR144" i="1"/>
  <c r="J839" i="2" s="1"/>
  <c r="BR142" i="1"/>
  <c r="J827" i="2" s="1"/>
  <c r="BR140" i="1"/>
  <c r="J812" i="2" s="1"/>
  <c r="BR138" i="1"/>
  <c r="J800" i="2" s="1"/>
  <c r="BR136" i="1"/>
  <c r="J788" i="2" s="1"/>
  <c r="BR134" i="1"/>
  <c r="J776" i="2" s="1"/>
  <c r="BR132" i="1"/>
  <c r="J764" i="2" s="1"/>
  <c r="BR130" i="1"/>
  <c r="J1142" i="2" s="1"/>
  <c r="BR128" i="1"/>
  <c r="D749" i="2" s="1"/>
  <c r="BR126" i="1"/>
  <c r="D737" i="2" s="1"/>
  <c r="BR124" i="1"/>
  <c r="D725" i="2" s="1"/>
  <c r="BR120" i="1"/>
  <c r="D701" i="2" s="1"/>
  <c r="BR116" i="1"/>
  <c r="J1229" i="2" s="1"/>
  <c r="BR112" i="1"/>
  <c r="J650" i="2" s="1"/>
  <c r="BR108" i="1"/>
  <c r="J623" i="2" s="1"/>
  <c r="BR104" i="1"/>
  <c r="D611" i="2" s="1"/>
  <c r="BR100" i="1"/>
  <c r="D587" i="2" s="1"/>
  <c r="BR96" i="1"/>
  <c r="D560" i="2" s="1"/>
  <c r="BR92" i="1"/>
  <c r="D536" i="2" s="1"/>
  <c r="BR88" i="1"/>
  <c r="D512" i="2" s="1"/>
  <c r="BR84" i="1"/>
  <c r="D485" i="2" s="1"/>
  <c r="BR80" i="1"/>
  <c r="D461" i="2" s="1"/>
  <c r="BR76" i="1"/>
  <c r="D434" i="2" s="1"/>
  <c r="BR72" i="1"/>
  <c r="D410" i="2" s="1"/>
  <c r="BR68" i="1"/>
  <c r="D386" i="2" s="1"/>
  <c r="BR64" i="1"/>
  <c r="D359" i="2" s="1"/>
  <c r="BR60" i="1"/>
  <c r="D335" i="2" s="1"/>
  <c r="BR56" i="1"/>
  <c r="D308" i="2" s="1"/>
  <c r="BR52" i="1"/>
  <c r="D284" i="2" s="1"/>
  <c r="BR48" i="1"/>
  <c r="D260" i="2" s="1"/>
  <c r="BR44" i="1"/>
  <c r="D233" i="2" s="1"/>
  <c r="BR40" i="1"/>
  <c r="D209" i="2" s="1"/>
  <c r="BR36" i="1"/>
  <c r="D182" i="2" s="1"/>
  <c r="BR32" i="1"/>
  <c r="D158" i="2" s="1"/>
  <c r="BR28" i="1"/>
  <c r="D134" i="2" s="1"/>
  <c r="BR24" i="1"/>
  <c r="D107" i="2" s="1"/>
  <c r="BR20" i="1"/>
  <c r="D83" i="2" s="1"/>
  <c r="BR16" i="1"/>
  <c r="D56" i="2" s="1"/>
  <c r="BR12" i="1"/>
  <c r="D32" i="2" s="1"/>
  <c r="J1241" i="2" l="1"/>
  <c r="BR205" i="1"/>
  <c r="D1241" i="2" s="1"/>
  <c r="BC29" i="1" l="1"/>
  <c r="BC16" i="1"/>
  <c r="BC205" i="1" s="1"/>
  <c r="BP6" i="1"/>
  <c r="BO6" i="1"/>
  <c r="BN6" i="1"/>
  <c r="BM6" i="1"/>
  <c r="BL6" i="1"/>
  <c r="BK6" i="1"/>
  <c r="BJ6" i="1"/>
  <c r="BI6" i="1"/>
  <c r="BH6" i="1"/>
  <c r="BG6" i="1"/>
  <c r="BF6" i="1"/>
  <c r="BE6" i="1"/>
  <c r="O73" i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O72" i="1"/>
  <c r="N72" i="1" s="1"/>
  <c r="M72" i="1" s="1"/>
  <c r="L72" i="1" s="1"/>
  <c r="K72" i="1" s="1"/>
  <c r="J72" i="1" s="1"/>
  <c r="I72" i="1" s="1"/>
  <c r="H72" i="1" s="1"/>
  <c r="G72" i="1" s="1"/>
  <c r="F72" i="1" s="1"/>
  <c r="E72" i="1" s="1"/>
  <c r="O71" i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O70" i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O69" i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O68" i="1"/>
  <c r="N68" i="1" s="1"/>
  <c r="M68" i="1" s="1"/>
  <c r="L68" i="1" s="1"/>
  <c r="K68" i="1" s="1"/>
  <c r="J68" i="1" s="1"/>
  <c r="I68" i="1" s="1"/>
  <c r="H68" i="1" s="1"/>
  <c r="G68" i="1" s="1"/>
  <c r="F68" i="1" s="1"/>
  <c r="E68" i="1" s="1"/>
  <c r="O67" i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O66" i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O65" i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O64" i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O63" i="1"/>
  <c r="N63" i="1" s="1"/>
  <c r="M63" i="1" s="1"/>
  <c r="L63" i="1" s="1"/>
  <c r="K63" i="1" s="1"/>
  <c r="J63" i="1" s="1"/>
  <c r="I63" i="1" s="1"/>
  <c r="H63" i="1" s="1"/>
  <c r="G63" i="1" s="1"/>
  <c r="F63" i="1" s="1"/>
  <c r="E63" i="1" s="1"/>
  <c r="O62" i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O61" i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O60" i="1"/>
  <c r="N60" i="1"/>
  <c r="M60" i="1" s="1"/>
  <c r="L60" i="1" s="1"/>
  <c r="K60" i="1" s="1"/>
  <c r="J60" i="1" s="1"/>
  <c r="I60" i="1" s="1"/>
  <c r="H60" i="1" s="1"/>
  <c r="G60" i="1" s="1"/>
  <c r="F60" i="1" s="1"/>
  <c r="E60" i="1" s="1"/>
  <c r="O59" i="1"/>
  <c r="N59" i="1" s="1"/>
  <c r="M59" i="1" s="1"/>
  <c r="L59" i="1" s="1"/>
  <c r="K59" i="1" s="1"/>
  <c r="J59" i="1" s="1"/>
  <c r="I59" i="1" s="1"/>
  <c r="H59" i="1" s="1"/>
  <c r="G59" i="1"/>
  <c r="F59" i="1" s="1"/>
  <c r="E59" i="1" s="1"/>
  <c r="O58" i="1"/>
  <c r="N58" i="1"/>
  <c r="M58" i="1" s="1"/>
  <c r="L58" i="1" s="1"/>
  <c r="K58" i="1" s="1"/>
  <c r="J58" i="1" s="1"/>
  <c r="I58" i="1" s="1"/>
  <c r="H58" i="1" s="1"/>
  <c r="G58" i="1" s="1"/>
  <c r="F58" i="1" s="1"/>
  <c r="E58" i="1" s="1"/>
  <c r="O57" i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O56" i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O81" i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O80" i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O79" i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O78" i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O77" i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O76" i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O75" i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O83" i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O85" i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O97" i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O96" i="1"/>
  <c r="N96" i="1" s="1"/>
  <c r="M96" i="1" s="1"/>
  <c r="L96" i="1" s="1"/>
  <c r="K96" i="1" s="1"/>
  <c r="J96" i="1" s="1"/>
  <c r="I96" i="1" s="1"/>
  <c r="H96" i="1" s="1"/>
  <c r="G96" i="1" s="1"/>
  <c r="F96" i="1" s="1"/>
  <c r="E96" i="1" s="1"/>
  <c r="O95" i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O94" i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O93" i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O92" i="1"/>
  <c r="N92" i="1" s="1"/>
  <c r="M92" i="1" s="1"/>
  <c r="L92" i="1" s="1"/>
  <c r="K92" i="1" s="1"/>
  <c r="J92" i="1" s="1"/>
  <c r="I92" i="1" s="1"/>
  <c r="H92" i="1" s="1"/>
  <c r="G92" i="1" s="1"/>
  <c r="F92" i="1" s="1"/>
  <c r="E92" i="1" s="1"/>
  <c r="O91" i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O90" i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O89" i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O99" i="1"/>
  <c r="N99" i="1"/>
  <c r="M99" i="1" s="1"/>
  <c r="L99" i="1" s="1"/>
  <c r="K99" i="1" s="1"/>
  <c r="J99" i="1" s="1"/>
  <c r="I99" i="1" s="1"/>
  <c r="H99" i="1" s="1"/>
  <c r="G99" i="1" s="1"/>
  <c r="F99" i="1" s="1"/>
  <c r="E99" i="1" s="1"/>
  <c r="O105" i="1"/>
  <c r="N105" i="1" s="1"/>
  <c r="M105" i="1" s="1"/>
  <c r="L105" i="1" s="1"/>
  <c r="K105" i="1" s="1"/>
  <c r="J105" i="1" s="1"/>
  <c r="I105" i="1" s="1"/>
  <c r="H105" i="1" s="1"/>
  <c r="G105" i="1" s="1"/>
  <c r="F105" i="1" s="1"/>
  <c r="E105" i="1" s="1"/>
  <c r="O104" i="1"/>
  <c r="N104" i="1" s="1"/>
  <c r="M104" i="1" s="1"/>
  <c r="L104" i="1" s="1"/>
  <c r="K104" i="1" s="1"/>
  <c r="J104" i="1" s="1"/>
  <c r="I104" i="1" s="1"/>
  <c r="H104" i="1" s="1"/>
  <c r="G104" i="1" s="1"/>
  <c r="F104" i="1" s="1"/>
  <c r="E104" i="1" s="1"/>
  <c r="O103" i="1"/>
  <c r="N103" i="1" s="1"/>
  <c r="M103" i="1" s="1"/>
  <c r="L103" i="1" s="1"/>
  <c r="K103" i="1" s="1"/>
  <c r="J103" i="1" s="1"/>
  <c r="I103" i="1" s="1"/>
  <c r="H103" i="1" s="1"/>
  <c r="G103" i="1" s="1"/>
  <c r="F103" i="1" s="1"/>
  <c r="E103" i="1" s="1"/>
  <c r="O102" i="1"/>
  <c r="N102" i="1" s="1"/>
  <c r="M102" i="1" s="1"/>
  <c r="L102" i="1" s="1"/>
  <c r="K102" i="1" s="1"/>
  <c r="J102" i="1" s="1"/>
  <c r="I102" i="1" s="1"/>
  <c r="H102" i="1" s="1"/>
  <c r="G102" i="1" s="1"/>
  <c r="F102" i="1" s="1"/>
  <c r="E102" i="1" s="1"/>
  <c r="O111" i="1"/>
  <c r="N111" i="1" s="1"/>
  <c r="M111" i="1" s="1"/>
  <c r="L111" i="1" s="1"/>
  <c r="K111" i="1" s="1"/>
  <c r="J111" i="1" s="1"/>
  <c r="I111" i="1" s="1"/>
  <c r="H111" i="1" s="1"/>
  <c r="G111" i="1" s="1"/>
  <c r="F111" i="1" s="1"/>
  <c r="E111" i="1" s="1"/>
  <c r="O110" i="1"/>
  <c r="N110" i="1" s="1"/>
  <c r="M110" i="1" s="1"/>
  <c r="L110" i="1" s="1"/>
  <c r="K110" i="1" s="1"/>
  <c r="J110" i="1" s="1"/>
  <c r="I110" i="1" s="1"/>
  <c r="H110" i="1" s="1"/>
  <c r="G110" i="1" s="1"/>
  <c r="F110" i="1" s="1"/>
  <c r="E110" i="1" s="1"/>
  <c r="O109" i="1"/>
  <c r="N109" i="1" s="1"/>
  <c r="M109" i="1" s="1"/>
  <c r="L109" i="1" s="1"/>
  <c r="K109" i="1" s="1"/>
  <c r="J109" i="1" s="1"/>
  <c r="I109" i="1" s="1"/>
  <c r="H109" i="1" s="1"/>
  <c r="G109" i="1" s="1"/>
  <c r="F109" i="1" s="1"/>
  <c r="E109" i="1" s="1"/>
  <c r="O115" i="1"/>
  <c r="N115" i="1" s="1"/>
  <c r="M115" i="1" s="1"/>
  <c r="L115" i="1" s="1"/>
  <c r="K115" i="1" s="1"/>
  <c r="J115" i="1" s="1"/>
  <c r="I115" i="1" s="1"/>
  <c r="H115" i="1" s="1"/>
  <c r="G115" i="1" s="1"/>
  <c r="F115" i="1" s="1"/>
  <c r="E115" i="1" s="1"/>
  <c r="O114" i="1"/>
  <c r="N114" i="1" s="1"/>
  <c r="M114" i="1" s="1"/>
  <c r="L114" i="1" s="1"/>
  <c r="K114" i="1" s="1"/>
  <c r="J114" i="1" s="1"/>
  <c r="I114" i="1" s="1"/>
  <c r="H114" i="1" s="1"/>
  <c r="G114" i="1" s="1"/>
  <c r="F114" i="1" s="1"/>
  <c r="E114" i="1" s="1"/>
  <c r="O121" i="1"/>
  <c r="N121" i="1" s="1"/>
  <c r="M121" i="1" s="1"/>
  <c r="L121" i="1" s="1"/>
  <c r="K121" i="1" s="1"/>
  <c r="J121" i="1" s="1"/>
  <c r="I121" i="1" s="1"/>
  <c r="H121" i="1" s="1"/>
  <c r="G121" i="1" s="1"/>
  <c r="F121" i="1" s="1"/>
  <c r="E121" i="1" s="1"/>
  <c r="O120" i="1"/>
  <c r="N120" i="1" s="1"/>
  <c r="M120" i="1" s="1"/>
  <c r="L120" i="1" s="1"/>
  <c r="K120" i="1" s="1"/>
  <c r="J120" i="1" s="1"/>
  <c r="I120" i="1" s="1"/>
  <c r="H120" i="1" s="1"/>
  <c r="G120" i="1" s="1"/>
  <c r="F120" i="1" s="1"/>
  <c r="E120" i="1" s="1"/>
  <c r="O129" i="1"/>
  <c r="N129" i="1" s="1"/>
  <c r="M129" i="1" s="1"/>
  <c r="L129" i="1" s="1"/>
  <c r="K129" i="1" s="1"/>
  <c r="J129" i="1" s="1"/>
  <c r="I129" i="1" s="1"/>
  <c r="H129" i="1" s="1"/>
  <c r="G129" i="1" s="1"/>
  <c r="F129" i="1" s="1"/>
  <c r="E129" i="1" s="1"/>
  <c r="O128" i="1"/>
  <c r="N128" i="1" s="1"/>
  <c r="M128" i="1" s="1"/>
  <c r="L128" i="1" s="1"/>
  <c r="K128" i="1" s="1"/>
  <c r="J128" i="1" s="1"/>
  <c r="I128" i="1" s="1"/>
  <c r="H128" i="1" s="1"/>
  <c r="G128" i="1" s="1"/>
  <c r="F128" i="1" s="1"/>
  <c r="E128" i="1" s="1"/>
  <c r="O127" i="1"/>
  <c r="N127" i="1" s="1"/>
  <c r="M127" i="1" s="1"/>
  <c r="L127" i="1" s="1"/>
  <c r="K127" i="1" s="1"/>
  <c r="J127" i="1" s="1"/>
  <c r="I127" i="1" s="1"/>
  <c r="H127" i="1" s="1"/>
  <c r="G127" i="1" s="1"/>
  <c r="F127" i="1" s="1"/>
  <c r="E127" i="1" s="1"/>
  <c r="O126" i="1"/>
  <c r="N126" i="1" s="1"/>
  <c r="M126" i="1" s="1"/>
  <c r="L126" i="1" s="1"/>
  <c r="K126" i="1" s="1"/>
  <c r="J126" i="1" s="1"/>
  <c r="I126" i="1" s="1"/>
  <c r="H126" i="1" s="1"/>
  <c r="G126" i="1" s="1"/>
  <c r="F126" i="1" s="1"/>
  <c r="E126" i="1" s="1"/>
  <c r="O125" i="1"/>
  <c r="N125" i="1" s="1"/>
  <c r="M125" i="1" s="1"/>
  <c r="L125" i="1" s="1"/>
  <c r="K125" i="1" s="1"/>
  <c r="J125" i="1" s="1"/>
  <c r="I125" i="1" s="1"/>
  <c r="H125" i="1" s="1"/>
  <c r="G125" i="1" s="1"/>
  <c r="F125" i="1" s="1"/>
  <c r="E125" i="1" s="1"/>
  <c r="O124" i="1"/>
  <c r="N124" i="1"/>
  <c r="M124" i="1" s="1"/>
  <c r="L124" i="1" s="1"/>
  <c r="K124" i="1" s="1"/>
  <c r="J124" i="1" s="1"/>
  <c r="I124" i="1" s="1"/>
  <c r="H124" i="1" s="1"/>
  <c r="G124" i="1" s="1"/>
  <c r="F124" i="1" s="1"/>
  <c r="E124" i="1" s="1"/>
  <c r="O133" i="1"/>
  <c r="N133" i="1" s="1"/>
  <c r="M133" i="1" s="1"/>
  <c r="L133" i="1" s="1"/>
  <c r="K133" i="1" s="1"/>
  <c r="J133" i="1" s="1"/>
  <c r="I133" i="1" s="1"/>
  <c r="H133" i="1" s="1"/>
  <c r="G133" i="1" s="1"/>
  <c r="F133" i="1" s="1"/>
  <c r="E133" i="1" s="1"/>
  <c r="O132" i="1"/>
  <c r="N132" i="1" s="1"/>
  <c r="M132" i="1" s="1"/>
  <c r="L132" i="1" s="1"/>
  <c r="K132" i="1" s="1"/>
  <c r="J132" i="1" s="1"/>
  <c r="I132" i="1" s="1"/>
  <c r="H132" i="1" s="1"/>
  <c r="G132" i="1" s="1"/>
  <c r="F132" i="1" s="1"/>
  <c r="E132" i="1" s="1"/>
  <c r="O131" i="1"/>
  <c r="N131" i="1" s="1"/>
  <c r="M131" i="1" s="1"/>
  <c r="L131" i="1" s="1"/>
  <c r="K131" i="1" s="1"/>
  <c r="J131" i="1" s="1"/>
  <c r="I131" i="1" s="1"/>
  <c r="H131" i="1" s="1"/>
  <c r="G131" i="1" s="1"/>
  <c r="F131" i="1" s="1"/>
  <c r="E131" i="1" s="1"/>
  <c r="O141" i="1"/>
  <c r="N141" i="1" s="1"/>
  <c r="M141" i="1" s="1"/>
  <c r="L141" i="1" s="1"/>
  <c r="K141" i="1" s="1"/>
  <c r="J141" i="1" s="1"/>
  <c r="I141" i="1" s="1"/>
  <c r="H141" i="1" s="1"/>
  <c r="G141" i="1" s="1"/>
  <c r="F141" i="1" s="1"/>
  <c r="E141" i="1" s="1"/>
  <c r="O140" i="1"/>
  <c r="N140" i="1" s="1"/>
  <c r="M140" i="1" s="1"/>
  <c r="L140" i="1" s="1"/>
  <c r="K140" i="1" s="1"/>
  <c r="J140" i="1" s="1"/>
  <c r="I140" i="1" s="1"/>
  <c r="H140" i="1" s="1"/>
  <c r="G140" i="1" s="1"/>
  <c r="F140" i="1" s="1"/>
  <c r="E140" i="1" s="1"/>
  <c r="O139" i="1"/>
  <c r="N139" i="1" s="1"/>
  <c r="M139" i="1" s="1"/>
  <c r="L139" i="1" s="1"/>
  <c r="K139" i="1" s="1"/>
  <c r="J139" i="1" s="1"/>
  <c r="I139" i="1" s="1"/>
  <c r="H139" i="1" s="1"/>
  <c r="G139" i="1" s="1"/>
  <c r="F139" i="1" s="1"/>
  <c r="E139" i="1" s="1"/>
  <c r="O138" i="1"/>
  <c r="N138" i="1"/>
  <c r="M138" i="1" s="1"/>
  <c r="L138" i="1" s="1"/>
  <c r="K138" i="1" s="1"/>
  <c r="J138" i="1" s="1"/>
  <c r="I138" i="1" s="1"/>
  <c r="H138" i="1" s="1"/>
  <c r="G138" i="1" s="1"/>
  <c r="F138" i="1" s="1"/>
  <c r="E138" i="1" s="1"/>
  <c r="O137" i="1"/>
  <c r="N137" i="1" s="1"/>
  <c r="M137" i="1" s="1"/>
  <c r="L137" i="1" s="1"/>
  <c r="K137" i="1" s="1"/>
  <c r="J137" i="1" s="1"/>
  <c r="I137" i="1" s="1"/>
  <c r="H137" i="1" s="1"/>
  <c r="G137" i="1" s="1"/>
  <c r="F137" i="1" s="1"/>
  <c r="E137" i="1" s="1"/>
  <c r="O136" i="1"/>
  <c r="N136" i="1" s="1"/>
  <c r="M136" i="1" s="1"/>
  <c r="L136" i="1" s="1"/>
  <c r="K136" i="1" s="1"/>
  <c r="J136" i="1" s="1"/>
  <c r="I136" i="1" s="1"/>
  <c r="H136" i="1" s="1"/>
  <c r="G136" i="1" s="1"/>
  <c r="F136" i="1" s="1"/>
  <c r="E136" i="1" s="1"/>
  <c r="O135" i="1"/>
  <c r="N135" i="1" s="1"/>
  <c r="M135" i="1" s="1"/>
  <c r="L135" i="1" s="1"/>
  <c r="K135" i="1" s="1"/>
  <c r="J135" i="1" s="1"/>
  <c r="I135" i="1" s="1"/>
  <c r="H135" i="1" s="1"/>
  <c r="G135" i="1" s="1"/>
  <c r="F135" i="1" s="1"/>
  <c r="E135" i="1" s="1"/>
  <c r="O144" i="1"/>
  <c r="N144" i="1" s="1"/>
  <c r="M144" i="1" s="1"/>
  <c r="L144" i="1" s="1"/>
  <c r="K144" i="1" s="1"/>
  <c r="J144" i="1" s="1"/>
  <c r="I144" i="1" s="1"/>
  <c r="H144" i="1" s="1"/>
  <c r="G144" i="1" s="1"/>
  <c r="F144" i="1" s="1"/>
  <c r="E144" i="1" s="1"/>
  <c r="O148" i="1"/>
  <c r="N148" i="1" s="1"/>
  <c r="M148" i="1" s="1"/>
  <c r="L148" i="1" s="1"/>
  <c r="K148" i="1" s="1"/>
  <c r="J148" i="1" s="1"/>
  <c r="I148" i="1" s="1"/>
  <c r="H148" i="1" s="1"/>
  <c r="G148" i="1" s="1"/>
  <c r="F148" i="1" s="1"/>
  <c r="E148" i="1" s="1"/>
  <c r="O147" i="1"/>
  <c r="N147" i="1" s="1"/>
  <c r="M147" i="1" s="1"/>
  <c r="L147" i="1" s="1"/>
  <c r="K147" i="1" s="1"/>
  <c r="J147" i="1" s="1"/>
  <c r="I147" i="1" s="1"/>
  <c r="H147" i="1" s="1"/>
  <c r="G147" i="1" s="1"/>
  <c r="F147" i="1" s="1"/>
  <c r="E147" i="1" s="1"/>
  <c r="O154" i="1"/>
  <c r="N154" i="1" s="1"/>
  <c r="M154" i="1" s="1"/>
  <c r="L154" i="1" s="1"/>
  <c r="K154" i="1" s="1"/>
  <c r="J154" i="1" s="1"/>
  <c r="I154" i="1" s="1"/>
  <c r="H154" i="1" s="1"/>
  <c r="G154" i="1" s="1"/>
  <c r="F154" i="1" s="1"/>
  <c r="E154" i="1" s="1"/>
  <c r="O153" i="1"/>
  <c r="N153" i="1" s="1"/>
  <c r="M153" i="1" s="1"/>
  <c r="L153" i="1" s="1"/>
  <c r="K153" i="1" s="1"/>
  <c r="J153" i="1" s="1"/>
  <c r="I153" i="1" s="1"/>
  <c r="H153" i="1" s="1"/>
  <c r="G153" i="1" s="1"/>
  <c r="F153" i="1" s="1"/>
  <c r="E153" i="1" s="1"/>
  <c r="O152" i="1"/>
  <c r="N152" i="1" s="1"/>
  <c r="M152" i="1" s="1"/>
  <c r="L152" i="1" s="1"/>
  <c r="K152" i="1" s="1"/>
  <c r="J152" i="1" s="1"/>
  <c r="I152" i="1" s="1"/>
  <c r="H152" i="1" s="1"/>
  <c r="G152" i="1" s="1"/>
  <c r="F152" i="1" s="1"/>
  <c r="E152" i="1" s="1"/>
  <c r="O151" i="1"/>
  <c r="N151" i="1" s="1"/>
  <c r="M151" i="1" s="1"/>
  <c r="L151" i="1" s="1"/>
  <c r="K151" i="1" s="1"/>
  <c r="J151" i="1" s="1"/>
  <c r="I151" i="1" s="1"/>
  <c r="H151" i="1" s="1"/>
  <c r="G151" i="1" s="1"/>
  <c r="F151" i="1" s="1"/>
  <c r="E151" i="1" s="1"/>
  <c r="O150" i="1"/>
  <c r="N150" i="1" s="1"/>
  <c r="M150" i="1" s="1"/>
  <c r="L150" i="1" s="1"/>
  <c r="K150" i="1" s="1"/>
  <c r="J150" i="1" s="1"/>
  <c r="I150" i="1" s="1"/>
  <c r="H150" i="1" s="1"/>
  <c r="G150" i="1" s="1"/>
  <c r="F150" i="1" s="1"/>
  <c r="E150" i="1" s="1"/>
  <c r="O159" i="1"/>
  <c r="N159" i="1" s="1"/>
  <c r="M159" i="1" s="1"/>
  <c r="L159" i="1" s="1"/>
  <c r="K159" i="1" s="1"/>
  <c r="J159" i="1" s="1"/>
  <c r="I159" i="1" s="1"/>
  <c r="H159" i="1" s="1"/>
  <c r="G159" i="1" s="1"/>
  <c r="F159" i="1" s="1"/>
  <c r="E159" i="1" s="1"/>
  <c r="O158" i="1"/>
  <c r="N158" i="1" s="1"/>
  <c r="M158" i="1" s="1"/>
  <c r="L158" i="1" s="1"/>
  <c r="K158" i="1" s="1"/>
  <c r="J158" i="1" s="1"/>
  <c r="I158" i="1" s="1"/>
  <c r="H158" i="1" s="1"/>
  <c r="G158" i="1" s="1"/>
  <c r="F158" i="1" s="1"/>
  <c r="E158" i="1" s="1"/>
  <c r="O157" i="1"/>
  <c r="N157" i="1" s="1"/>
  <c r="M157" i="1" s="1"/>
  <c r="L157" i="1" s="1"/>
  <c r="K157" i="1" s="1"/>
  <c r="J157" i="1" s="1"/>
  <c r="I157" i="1" s="1"/>
  <c r="H157" i="1" s="1"/>
  <c r="G157" i="1" s="1"/>
  <c r="F157" i="1" s="1"/>
  <c r="E157" i="1" s="1"/>
  <c r="O156" i="1"/>
  <c r="N156" i="1" s="1"/>
  <c r="M156" i="1" s="1"/>
  <c r="L156" i="1" s="1"/>
  <c r="K156" i="1" s="1"/>
  <c r="J156" i="1" s="1"/>
  <c r="I156" i="1" s="1"/>
  <c r="H156" i="1" s="1"/>
  <c r="G156" i="1" s="1"/>
  <c r="F156" i="1" s="1"/>
  <c r="E156" i="1" s="1"/>
  <c r="O167" i="1"/>
  <c r="N167" i="1" s="1"/>
  <c r="M167" i="1" s="1"/>
  <c r="L167" i="1" s="1"/>
  <c r="K167" i="1" s="1"/>
  <c r="J167" i="1" s="1"/>
  <c r="I167" i="1" s="1"/>
  <c r="H167" i="1" s="1"/>
  <c r="G167" i="1" s="1"/>
  <c r="F167" i="1" s="1"/>
  <c r="E167" i="1" s="1"/>
  <c r="O166" i="1"/>
  <c r="N166" i="1" s="1"/>
  <c r="M166" i="1" s="1"/>
  <c r="L166" i="1" s="1"/>
  <c r="K166" i="1" s="1"/>
  <c r="J166" i="1" s="1"/>
  <c r="I166" i="1" s="1"/>
  <c r="H166" i="1" s="1"/>
  <c r="G166" i="1" s="1"/>
  <c r="F166" i="1" s="1"/>
  <c r="E166" i="1" s="1"/>
  <c r="O165" i="1"/>
  <c r="N165" i="1" s="1"/>
  <c r="M165" i="1" s="1"/>
  <c r="L165" i="1" s="1"/>
  <c r="K165" i="1" s="1"/>
  <c r="J165" i="1" s="1"/>
  <c r="I165" i="1" s="1"/>
  <c r="H165" i="1" s="1"/>
  <c r="G165" i="1" s="1"/>
  <c r="F165" i="1" s="1"/>
  <c r="E165" i="1" s="1"/>
  <c r="O164" i="1"/>
  <c r="N164" i="1" s="1"/>
  <c r="M164" i="1" s="1"/>
  <c r="L164" i="1" s="1"/>
  <c r="K164" i="1" s="1"/>
  <c r="J164" i="1" s="1"/>
  <c r="I164" i="1" s="1"/>
  <c r="H164" i="1" s="1"/>
  <c r="G164" i="1" s="1"/>
  <c r="F164" i="1" s="1"/>
  <c r="E164" i="1" s="1"/>
  <c r="O163" i="1"/>
  <c r="N163" i="1" s="1"/>
  <c r="M163" i="1" s="1"/>
  <c r="L163" i="1" s="1"/>
  <c r="K163" i="1" s="1"/>
  <c r="J163" i="1" s="1"/>
  <c r="I163" i="1" s="1"/>
  <c r="H163" i="1" s="1"/>
  <c r="G163" i="1" s="1"/>
  <c r="F163" i="1" s="1"/>
  <c r="E163" i="1" s="1"/>
  <c r="O162" i="1"/>
  <c r="N162" i="1"/>
  <c r="M162" i="1" s="1"/>
  <c r="L162" i="1" s="1"/>
  <c r="K162" i="1" s="1"/>
  <c r="J162" i="1" s="1"/>
  <c r="I162" i="1" s="1"/>
  <c r="H162" i="1" s="1"/>
  <c r="G162" i="1" s="1"/>
  <c r="F162" i="1" s="1"/>
  <c r="E162" i="1" s="1"/>
  <c r="O161" i="1"/>
  <c r="N161" i="1" s="1"/>
  <c r="M161" i="1" s="1"/>
  <c r="L161" i="1" s="1"/>
  <c r="K161" i="1" s="1"/>
  <c r="J161" i="1" s="1"/>
  <c r="I161" i="1" s="1"/>
  <c r="H161" i="1" s="1"/>
  <c r="G161" i="1" s="1"/>
  <c r="F161" i="1" s="1"/>
  <c r="E161" i="1" s="1"/>
  <c r="O173" i="1"/>
  <c r="N173" i="1" s="1"/>
  <c r="M173" i="1" s="1"/>
  <c r="L173" i="1" s="1"/>
  <c r="K173" i="1" s="1"/>
  <c r="J173" i="1" s="1"/>
  <c r="I173" i="1" s="1"/>
  <c r="H173" i="1" s="1"/>
  <c r="G173" i="1" s="1"/>
  <c r="F173" i="1" s="1"/>
  <c r="E173" i="1" s="1"/>
  <c r="O172" i="1"/>
  <c r="N172" i="1"/>
  <c r="M172" i="1" s="1"/>
  <c r="L172" i="1" s="1"/>
  <c r="K172" i="1" s="1"/>
  <c r="J172" i="1" s="1"/>
  <c r="I172" i="1" s="1"/>
  <c r="H172" i="1" s="1"/>
  <c r="G172" i="1" s="1"/>
  <c r="F172" i="1" s="1"/>
  <c r="E172" i="1" s="1"/>
  <c r="O171" i="1"/>
  <c r="N171" i="1" s="1"/>
  <c r="M171" i="1" s="1"/>
  <c r="L171" i="1" s="1"/>
  <c r="K171" i="1" s="1"/>
  <c r="J171" i="1" s="1"/>
  <c r="I171" i="1" s="1"/>
  <c r="H171" i="1" s="1"/>
  <c r="G171" i="1" s="1"/>
  <c r="F171" i="1" s="1"/>
  <c r="E171" i="1" s="1"/>
  <c r="O170" i="1"/>
  <c r="N170" i="1" s="1"/>
  <c r="M170" i="1" s="1"/>
  <c r="L170" i="1" s="1"/>
  <c r="K170" i="1" s="1"/>
  <c r="J170" i="1" s="1"/>
  <c r="I170" i="1" s="1"/>
  <c r="H170" i="1" s="1"/>
  <c r="G170" i="1" s="1"/>
  <c r="F170" i="1" s="1"/>
  <c r="E170" i="1" s="1"/>
  <c r="O169" i="1"/>
  <c r="N169" i="1" s="1"/>
  <c r="M169" i="1" s="1"/>
  <c r="L169" i="1" s="1"/>
  <c r="K169" i="1" s="1"/>
  <c r="J169" i="1" s="1"/>
  <c r="I169" i="1" s="1"/>
  <c r="H169" i="1" s="1"/>
  <c r="G169" i="1" s="1"/>
  <c r="F169" i="1" s="1"/>
  <c r="E169" i="1" s="1"/>
  <c r="O178" i="1"/>
  <c r="N178" i="1" s="1"/>
  <c r="M178" i="1" s="1"/>
  <c r="L178" i="1" s="1"/>
  <c r="K178" i="1" s="1"/>
  <c r="J178" i="1" s="1"/>
  <c r="I178" i="1" s="1"/>
  <c r="H178" i="1" s="1"/>
  <c r="G178" i="1" s="1"/>
  <c r="F178" i="1" s="1"/>
  <c r="E178" i="1" s="1"/>
  <c r="O193" i="1"/>
  <c r="N193" i="1" s="1"/>
  <c r="M193" i="1" s="1"/>
  <c r="L193" i="1" s="1"/>
  <c r="K193" i="1" s="1"/>
  <c r="J193" i="1" s="1"/>
  <c r="I193" i="1" s="1"/>
  <c r="H193" i="1" s="1"/>
  <c r="G193" i="1" s="1"/>
  <c r="F193" i="1" s="1"/>
  <c r="E193" i="1" s="1"/>
  <c r="O192" i="1"/>
  <c r="N192" i="1" s="1"/>
  <c r="M192" i="1" s="1"/>
  <c r="L192" i="1" s="1"/>
  <c r="K192" i="1" s="1"/>
  <c r="J192" i="1" s="1"/>
  <c r="I192" i="1" s="1"/>
  <c r="H192" i="1" s="1"/>
  <c r="G192" i="1" s="1"/>
  <c r="F192" i="1" s="1"/>
  <c r="E192" i="1" s="1"/>
  <c r="O191" i="1"/>
  <c r="N191" i="1" s="1"/>
  <c r="M191" i="1" s="1"/>
  <c r="L191" i="1" s="1"/>
  <c r="K191" i="1" s="1"/>
  <c r="J191" i="1" s="1"/>
  <c r="I191" i="1" s="1"/>
  <c r="H191" i="1" s="1"/>
  <c r="G191" i="1" s="1"/>
  <c r="F191" i="1" s="1"/>
  <c r="E191" i="1" s="1"/>
  <c r="O190" i="1"/>
  <c r="N190" i="1" s="1"/>
  <c r="M190" i="1" s="1"/>
  <c r="L190" i="1" s="1"/>
  <c r="K190" i="1" s="1"/>
  <c r="J190" i="1" s="1"/>
  <c r="I190" i="1" s="1"/>
  <c r="H190" i="1" s="1"/>
  <c r="G190" i="1" s="1"/>
  <c r="F190" i="1" s="1"/>
  <c r="E190" i="1" s="1"/>
  <c r="O189" i="1"/>
  <c r="N189" i="1" s="1"/>
  <c r="M189" i="1" s="1"/>
  <c r="L189" i="1" s="1"/>
  <c r="K189" i="1" s="1"/>
  <c r="J189" i="1" s="1"/>
  <c r="I189" i="1" s="1"/>
  <c r="H189" i="1" s="1"/>
  <c r="G189" i="1" s="1"/>
  <c r="F189" i="1" s="1"/>
  <c r="E189" i="1" s="1"/>
  <c r="O188" i="1"/>
  <c r="N188" i="1" s="1"/>
  <c r="M188" i="1" s="1"/>
  <c r="L188" i="1" s="1"/>
  <c r="K188" i="1" s="1"/>
  <c r="J188" i="1" s="1"/>
  <c r="I188" i="1" s="1"/>
  <c r="H188" i="1" s="1"/>
  <c r="G188" i="1" s="1"/>
  <c r="F188" i="1" s="1"/>
  <c r="E188" i="1" s="1"/>
  <c r="O187" i="1"/>
  <c r="N187" i="1" s="1"/>
  <c r="M187" i="1" s="1"/>
  <c r="L187" i="1" s="1"/>
  <c r="K187" i="1" s="1"/>
  <c r="J187" i="1" s="1"/>
  <c r="I187" i="1" s="1"/>
  <c r="H187" i="1" s="1"/>
  <c r="G187" i="1" s="1"/>
  <c r="F187" i="1" s="1"/>
  <c r="E187" i="1" s="1"/>
  <c r="O186" i="1"/>
  <c r="N186" i="1" s="1"/>
  <c r="M186" i="1" s="1"/>
  <c r="L186" i="1" s="1"/>
  <c r="K186" i="1" s="1"/>
  <c r="J186" i="1" s="1"/>
  <c r="I186" i="1" s="1"/>
  <c r="H186" i="1" s="1"/>
  <c r="G186" i="1" s="1"/>
  <c r="F186" i="1" s="1"/>
  <c r="E186" i="1" s="1"/>
  <c r="O185" i="1"/>
  <c r="N185" i="1" s="1"/>
  <c r="M185" i="1" s="1"/>
  <c r="L185" i="1" s="1"/>
  <c r="K185" i="1" s="1"/>
  <c r="J185" i="1" s="1"/>
  <c r="I185" i="1" s="1"/>
  <c r="H185" i="1" s="1"/>
  <c r="G185" i="1" s="1"/>
  <c r="F185" i="1" s="1"/>
  <c r="E185" i="1" s="1"/>
  <c r="O184" i="1"/>
  <c r="N184" i="1" s="1"/>
  <c r="M184" i="1" s="1"/>
  <c r="L184" i="1" s="1"/>
  <c r="K184" i="1" s="1"/>
  <c r="J184" i="1" s="1"/>
  <c r="I184" i="1" s="1"/>
  <c r="H184" i="1" s="1"/>
  <c r="G184" i="1" s="1"/>
  <c r="F184" i="1" s="1"/>
  <c r="E184" i="1" s="1"/>
  <c r="O183" i="1"/>
  <c r="N183" i="1" s="1"/>
  <c r="M183" i="1" s="1"/>
  <c r="L183" i="1" s="1"/>
  <c r="K183" i="1" s="1"/>
  <c r="J183" i="1" s="1"/>
  <c r="I183" i="1" s="1"/>
  <c r="H183" i="1" s="1"/>
  <c r="G183" i="1" s="1"/>
  <c r="F183" i="1" s="1"/>
  <c r="E183" i="1" s="1"/>
  <c r="O182" i="1"/>
  <c r="N182" i="1" s="1"/>
  <c r="M182" i="1" s="1"/>
  <c r="L182" i="1" s="1"/>
  <c r="K182" i="1" s="1"/>
  <c r="J182" i="1" s="1"/>
  <c r="I182" i="1" s="1"/>
  <c r="H182" i="1" s="1"/>
  <c r="G182" i="1" s="1"/>
  <c r="F182" i="1" s="1"/>
  <c r="E182" i="1" s="1"/>
  <c r="O181" i="1"/>
  <c r="N181" i="1" s="1"/>
  <c r="M181" i="1" s="1"/>
  <c r="L181" i="1" s="1"/>
  <c r="K181" i="1" s="1"/>
  <c r="J181" i="1" s="1"/>
  <c r="I181" i="1" s="1"/>
  <c r="H181" i="1" s="1"/>
  <c r="G181" i="1" s="1"/>
  <c r="F181" i="1" s="1"/>
  <c r="E181" i="1" s="1"/>
  <c r="O180" i="1"/>
  <c r="N180" i="1"/>
  <c r="M180" i="1" s="1"/>
  <c r="L180" i="1" s="1"/>
  <c r="K180" i="1" s="1"/>
  <c r="J180" i="1" s="1"/>
  <c r="I180" i="1" s="1"/>
  <c r="H180" i="1" s="1"/>
  <c r="G180" i="1" s="1"/>
  <c r="F180" i="1" s="1"/>
  <c r="E180" i="1" s="1"/>
  <c r="O199" i="1"/>
  <c r="N199" i="1" s="1"/>
  <c r="M199" i="1" s="1"/>
  <c r="L199" i="1" s="1"/>
  <c r="K199" i="1" s="1"/>
  <c r="J199" i="1" s="1"/>
  <c r="I199" i="1" s="1"/>
  <c r="H199" i="1" s="1"/>
  <c r="G199" i="1" s="1"/>
  <c r="F199" i="1" s="1"/>
  <c r="E199" i="1" s="1"/>
  <c r="O198" i="1"/>
  <c r="N198" i="1" s="1"/>
  <c r="M198" i="1" s="1"/>
  <c r="L198" i="1" s="1"/>
  <c r="K198" i="1" s="1"/>
  <c r="J198" i="1" s="1"/>
  <c r="I198" i="1" s="1"/>
  <c r="H198" i="1" s="1"/>
  <c r="G198" i="1" s="1"/>
  <c r="F198" i="1" s="1"/>
  <c r="E198" i="1" s="1"/>
  <c r="O197" i="1"/>
  <c r="N197" i="1" s="1"/>
  <c r="M197" i="1" s="1"/>
  <c r="L197" i="1" s="1"/>
  <c r="K197" i="1" s="1"/>
  <c r="J197" i="1" s="1"/>
  <c r="I197" i="1" s="1"/>
  <c r="H197" i="1" s="1"/>
  <c r="G197" i="1" s="1"/>
  <c r="F197" i="1" s="1"/>
  <c r="E197" i="1" s="1"/>
  <c r="O196" i="1"/>
  <c r="N196" i="1" s="1"/>
  <c r="M196" i="1" s="1"/>
  <c r="L196" i="1" s="1"/>
  <c r="K196" i="1" s="1"/>
  <c r="J196" i="1" s="1"/>
  <c r="I196" i="1" s="1"/>
  <c r="H196" i="1" s="1"/>
  <c r="G196" i="1" s="1"/>
  <c r="F196" i="1" s="1"/>
  <c r="E196" i="1" s="1"/>
  <c r="O201" i="1"/>
  <c r="N201" i="1" s="1"/>
  <c r="M201" i="1" s="1"/>
  <c r="L201" i="1" s="1"/>
  <c r="K201" i="1" s="1"/>
  <c r="J201" i="1" s="1"/>
  <c r="I201" i="1" s="1"/>
  <c r="H201" i="1" s="1"/>
  <c r="G201" i="1" s="1"/>
  <c r="F201" i="1" s="1"/>
  <c r="E201" i="1" s="1"/>
  <c r="O202" i="1"/>
  <c r="N202" i="1" s="1"/>
  <c r="M202" i="1" s="1"/>
  <c r="L202" i="1" s="1"/>
  <c r="K202" i="1" s="1"/>
  <c r="J202" i="1" s="1"/>
  <c r="I202" i="1" s="1"/>
  <c r="H202" i="1" s="1"/>
  <c r="G202" i="1" s="1"/>
  <c r="F202" i="1" s="1"/>
  <c r="E202" i="1" s="1"/>
  <c r="O204" i="1"/>
  <c r="N204" i="1" s="1"/>
  <c r="M204" i="1" s="1"/>
  <c r="L204" i="1" s="1"/>
  <c r="K204" i="1" s="1"/>
  <c r="O203" i="1"/>
  <c r="N203" i="1" s="1"/>
  <c r="M203" i="1" s="1"/>
  <c r="L203" i="1" s="1"/>
  <c r="K203" i="1" s="1"/>
  <c r="O200" i="1"/>
  <c r="N200" i="1" s="1"/>
  <c r="M200" i="1" s="1"/>
  <c r="L200" i="1" s="1"/>
  <c r="K200" i="1" s="1"/>
  <c r="J200" i="1" s="1"/>
  <c r="I200" i="1" s="1"/>
  <c r="H200" i="1" s="1"/>
  <c r="G200" i="1" s="1"/>
  <c r="F200" i="1" s="1"/>
  <c r="E200" i="1" s="1"/>
  <c r="O195" i="1"/>
  <c r="N195" i="1" s="1"/>
  <c r="M195" i="1" s="1"/>
  <c r="L195" i="1" s="1"/>
  <c r="K195" i="1" s="1"/>
  <c r="J195" i="1" s="1"/>
  <c r="I195" i="1" s="1"/>
  <c r="H195" i="1" s="1"/>
  <c r="G195" i="1" s="1"/>
  <c r="F195" i="1" s="1"/>
  <c r="E195" i="1" s="1"/>
  <c r="O194" i="1"/>
  <c r="N194" i="1" s="1"/>
  <c r="M194" i="1" s="1"/>
  <c r="L194" i="1" s="1"/>
  <c r="K194" i="1" s="1"/>
  <c r="J194" i="1" s="1"/>
  <c r="I194" i="1" s="1"/>
  <c r="H194" i="1" s="1"/>
  <c r="G194" i="1" s="1"/>
  <c r="F194" i="1" s="1"/>
  <c r="E194" i="1" s="1"/>
  <c r="O179" i="1"/>
  <c r="N179" i="1" s="1"/>
  <c r="M179" i="1" s="1"/>
  <c r="L179" i="1" s="1"/>
  <c r="K179" i="1" s="1"/>
  <c r="J179" i="1" s="1"/>
  <c r="I179" i="1" s="1"/>
  <c r="H179" i="1" s="1"/>
  <c r="G179" i="1" s="1"/>
  <c r="F179" i="1" s="1"/>
  <c r="E179" i="1" s="1"/>
  <c r="O177" i="1"/>
  <c r="N177" i="1" s="1"/>
  <c r="M177" i="1" s="1"/>
  <c r="L177" i="1" s="1"/>
  <c r="K177" i="1" s="1"/>
  <c r="J177" i="1" s="1"/>
  <c r="I177" i="1" s="1"/>
  <c r="H177" i="1" s="1"/>
  <c r="G177" i="1" s="1"/>
  <c r="F177" i="1" s="1"/>
  <c r="E177" i="1" s="1"/>
  <c r="O176" i="1"/>
  <c r="N176" i="1" s="1"/>
  <c r="M176" i="1" s="1"/>
  <c r="L176" i="1" s="1"/>
  <c r="K176" i="1" s="1"/>
  <c r="J176" i="1" s="1"/>
  <c r="I176" i="1" s="1"/>
  <c r="H176" i="1" s="1"/>
  <c r="G176" i="1" s="1"/>
  <c r="F176" i="1" s="1"/>
  <c r="E176" i="1" s="1"/>
  <c r="O175" i="1"/>
  <c r="N175" i="1" s="1"/>
  <c r="M175" i="1" s="1"/>
  <c r="L175" i="1" s="1"/>
  <c r="K175" i="1" s="1"/>
  <c r="J175" i="1" s="1"/>
  <c r="I175" i="1" s="1"/>
  <c r="H175" i="1" s="1"/>
  <c r="G175" i="1" s="1"/>
  <c r="F175" i="1" s="1"/>
  <c r="E175" i="1" s="1"/>
  <c r="O174" i="1"/>
  <c r="N174" i="1" s="1"/>
  <c r="M174" i="1" s="1"/>
  <c r="L174" i="1" s="1"/>
  <c r="K174" i="1" s="1"/>
  <c r="J174" i="1" s="1"/>
  <c r="I174" i="1" s="1"/>
  <c r="H174" i="1" s="1"/>
  <c r="G174" i="1" s="1"/>
  <c r="F174" i="1" s="1"/>
  <c r="E174" i="1" s="1"/>
  <c r="O168" i="1"/>
  <c r="N168" i="1" s="1"/>
  <c r="M168" i="1" s="1"/>
  <c r="L168" i="1" s="1"/>
  <c r="K168" i="1" s="1"/>
  <c r="J168" i="1" s="1"/>
  <c r="I168" i="1" s="1"/>
  <c r="H168" i="1" s="1"/>
  <c r="G168" i="1" s="1"/>
  <c r="F168" i="1" s="1"/>
  <c r="E168" i="1" s="1"/>
  <c r="O160" i="1"/>
  <c r="N160" i="1" s="1"/>
  <c r="M160" i="1" s="1"/>
  <c r="L160" i="1" s="1"/>
  <c r="K160" i="1" s="1"/>
  <c r="J160" i="1" s="1"/>
  <c r="I160" i="1" s="1"/>
  <c r="H160" i="1" s="1"/>
  <c r="G160" i="1" s="1"/>
  <c r="F160" i="1" s="1"/>
  <c r="E160" i="1" s="1"/>
  <c r="O155" i="1"/>
  <c r="N155" i="1" s="1"/>
  <c r="M155" i="1" s="1"/>
  <c r="L155" i="1" s="1"/>
  <c r="K155" i="1" s="1"/>
  <c r="J155" i="1" s="1"/>
  <c r="I155" i="1" s="1"/>
  <c r="H155" i="1" s="1"/>
  <c r="G155" i="1" s="1"/>
  <c r="F155" i="1" s="1"/>
  <c r="E155" i="1" s="1"/>
  <c r="O149" i="1"/>
  <c r="N149" i="1" s="1"/>
  <c r="M149" i="1" s="1"/>
  <c r="L149" i="1" s="1"/>
  <c r="K149" i="1" s="1"/>
  <c r="J149" i="1" s="1"/>
  <c r="I149" i="1" s="1"/>
  <c r="H149" i="1" s="1"/>
  <c r="G149" i="1" s="1"/>
  <c r="F149" i="1" s="1"/>
  <c r="E149" i="1" s="1"/>
  <c r="O146" i="1"/>
  <c r="N146" i="1" s="1"/>
  <c r="M146" i="1" s="1"/>
  <c r="L146" i="1" s="1"/>
  <c r="K146" i="1" s="1"/>
  <c r="J146" i="1" s="1"/>
  <c r="I146" i="1" s="1"/>
  <c r="H146" i="1" s="1"/>
  <c r="G146" i="1" s="1"/>
  <c r="F146" i="1" s="1"/>
  <c r="E146" i="1" s="1"/>
  <c r="O145" i="1"/>
  <c r="N145" i="1" s="1"/>
  <c r="M145" i="1" s="1"/>
  <c r="L145" i="1" s="1"/>
  <c r="K145" i="1" s="1"/>
  <c r="J145" i="1" s="1"/>
  <c r="I145" i="1" s="1"/>
  <c r="H145" i="1" s="1"/>
  <c r="G145" i="1" s="1"/>
  <c r="F145" i="1" s="1"/>
  <c r="E145" i="1" s="1"/>
  <c r="O143" i="1"/>
  <c r="N143" i="1" s="1"/>
  <c r="M143" i="1" s="1"/>
  <c r="L143" i="1" s="1"/>
  <c r="K143" i="1" s="1"/>
  <c r="J143" i="1" s="1"/>
  <c r="I143" i="1" s="1"/>
  <c r="H143" i="1" s="1"/>
  <c r="G143" i="1" s="1"/>
  <c r="F143" i="1" s="1"/>
  <c r="E143" i="1" s="1"/>
  <c r="O142" i="1"/>
  <c r="N142" i="1" s="1"/>
  <c r="M142" i="1" s="1"/>
  <c r="L142" i="1" s="1"/>
  <c r="K142" i="1" s="1"/>
  <c r="J142" i="1" s="1"/>
  <c r="I142" i="1" s="1"/>
  <c r="H142" i="1" s="1"/>
  <c r="G142" i="1" s="1"/>
  <c r="F142" i="1" s="1"/>
  <c r="E142" i="1" s="1"/>
  <c r="O134" i="1"/>
  <c r="N134" i="1" s="1"/>
  <c r="M134" i="1" s="1"/>
  <c r="L134" i="1" s="1"/>
  <c r="K134" i="1" s="1"/>
  <c r="J134" i="1" s="1"/>
  <c r="I134" i="1" s="1"/>
  <c r="H134" i="1" s="1"/>
  <c r="G134" i="1" s="1"/>
  <c r="F134" i="1" s="1"/>
  <c r="E134" i="1" s="1"/>
  <c r="O130" i="1"/>
  <c r="N130" i="1" s="1"/>
  <c r="M130" i="1" s="1"/>
  <c r="L130" i="1" s="1"/>
  <c r="K130" i="1" s="1"/>
  <c r="J130" i="1" s="1"/>
  <c r="I130" i="1" s="1"/>
  <c r="H130" i="1" s="1"/>
  <c r="G130" i="1" s="1"/>
  <c r="F130" i="1" s="1"/>
  <c r="E130" i="1" s="1"/>
  <c r="O123" i="1"/>
  <c r="N123" i="1" s="1"/>
  <c r="M123" i="1" s="1"/>
  <c r="L123" i="1" s="1"/>
  <c r="K123" i="1" s="1"/>
  <c r="J123" i="1" s="1"/>
  <c r="I123" i="1" s="1"/>
  <c r="H123" i="1" s="1"/>
  <c r="G123" i="1" s="1"/>
  <c r="F123" i="1" s="1"/>
  <c r="E123" i="1" s="1"/>
  <c r="O122" i="1"/>
  <c r="N122" i="1" s="1"/>
  <c r="M122" i="1" s="1"/>
  <c r="L122" i="1" s="1"/>
  <c r="K122" i="1" s="1"/>
  <c r="J122" i="1" s="1"/>
  <c r="I122" i="1" s="1"/>
  <c r="H122" i="1" s="1"/>
  <c r="G122" i="1" s="1"/>
  <c r="F122" i="1" s="1"/>
  <c r="E122" i="1" s="1"/>
  <c r="O119" i="1"/>
  <c r="N119" i="1" s="1"/>
  <c r="M119" i="1" s="1"/>
  <c r="L119" i="1" s="1"/>
  <c r="K119" i="1" s="1"/>
  <c r="J119" i="1" s="1"/>
  <c r="I119" i="1" s="1"/>
  <c r="H119" i="1" s="1"/>
  <c r="G119" i="1" s="1"/>
  <c r="F119" i="1" s="1"/>
  <c r="E119" i="1" s="1"/>
  <c r="O118" i="1"/>
  <c r="N118" i="1"/>
  <c r="M118" i="1" s="1"/>
  <c r="L118" i="1" s="1"/>
  <c r="K118" i="1" s="1"/>
  <c r="J118" i="1" s="1"/>
  <c r="I118" i="1" s="1"/>
  <c r="H118" i="1" s="1"/>
  <c r="G118" i="1" s="1"/>
  <c r="F118" i="1" s="1"/>
  <c r="E118" i="1" s="1"/>
  <c r="O117" i="1"/>
  <c r="N117" i="1" s="1"/>
  <c r="M117" i="1" s="1"/>
  <c r="L117" i="1" s="1"/>
  <c r="K117" i="1" s="1"/>
  <c r="J117" i="1" s="1"/>
  <c r="I117" i="1" s="1"/>
  <c r="H117" i="1" s="1"/>
  <c r="G117" i="1" s="1"/>
  <c r="F117" i="1" s="1"/>
  <c r="E117" i="1" s="1"/>
  <c r="O116" i="1"/>
  <c r="N116" i="1" s="1"/>
  <c r="M116" i="1" s="1"/>
  <c r="L116" i="1" s="1"/>
  <c r="K116" i="1" s="1"/>
  <c r="J116" i="1" s="1"/>
  <c r="I116" i="1" s="1"/>
  <c r="H116" i="1" s="1"/>
  <c r="G116" i="1" s="1"/>
  <c r="F116" i="1" s="1"/>
  <c r="E116" i="1" s="1"/>
  <c r="O113" i="1"/>
  <c r="N113" i="1" s="1"/>
  <c r="M113" i="1" s="1"/>
  <c r="L113" i="1" s="1"/>
  <c r="K113" i="1" s="1"/>
  <c r="J113" i="1" s="1"/>
  <c r="I113" i="1" s="1"/>
  <c r="H113" i="1" s="1"/>
  <c r="G113" i="1" s="1"/>
  <c r="F113" i="1" s="1"/>
  <c r="E113" i="1" s="1"/>
  <c r="O112" i="1"/>
  <c r="N112" i="1" s="1"/>
  <c r="M112" i="1" s="1"/>
  <c r="L112" i="1" s="1"/>
  <c r="K112" i="1" s="1"/>
  <c r="J112" i="1" s="1"/>
  <c r="I112" i="1" s="1"/>
  <c r="H112" i="1" s="1"/>
  <c r="G112" i="1" s="1"/>
  <c r="F112" i="1" s="1"/>
  <c r="E112" i="1" s="1"/>
  <c r="O107" i="1"/>
  <c r="N107" i="1" s="1"/>
  <c r="M107" i="1" s="1"/>
  <c r="L107" i="1" s="1"/>
  <c r="K107" i="1" s="1"/>
  <c r="J107" i="1" s="1"/>
  <c r="I107" i="1" s="1"/>
  <c r="H107" i="1" s="1"/>
  <c r="G107" i="1" s="1"/>
  <c r="F107" i="1" s="1"/>
  <c r="E107" i="1" s="1"/>
  <c r="O101" i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O100" i="1"/>
  <c r="N100" i="1" s="1"/>
  <c r="M100" i="1" s="1"/>
  <c r="L100" i="1" s="1"/>
  <c r="K100" i="1" s="1"/>
  <c r="J100" i="1" s="1"/>
  <c r="I100" i="1" s="1"/>
  <c r="H100" i="1" s="1"/>
  <c r="G100" i="1" s="1"/>
  <c r="F100" i="1" s="1"/>
  <c r="E100" i="1" s="1"/>
  <c r="O98" i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O108" i="1"/>
  <c r="N108" i="1" s="1"/>
  <c r="M108" i="1" s="1"/>
  <c r="L108" i="1" s="1"/>
  <c r="K108" i="1" s="1"/>
  <c r="J108" i="1" s="1"/>
  <c r="I108" i="1" s="1"/>
  <c r="H108" i="1" s="1"/>
  <c r="G108" i="1" s="1"/>
  <c r="F108" i="1" s="1"/>
  <c r="E108" i="1" s="1"/>
  <c r="O88" i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O87" i="1"/>
  <c r="N87" i="1"/>
  <c r="M87" i="1" s="1"/>
  <c r="L87" i="1" s="1"/>
  <c r="K87" i="1" s="1"/>
  <c r="J87" i="1" s="1"/>
  <c r="I87" i="1" s="1"/>
  <c r="H87" i="1" s="1"/>
  <c r="G87" i="1" s="1"/>
  <c r="F87" i="1" s="1"/>
  <c r="E87" i="1" s="1"/>
  <c r="O86" i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O84" i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O82" i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O9" i="1"/>
  <c r="N9" i="1" s="1"/>
  <c r="M9" i="1" s="1"/>
  <c r="L9" i="1" s="1"/>
  <c r="K9" i="1" s="1"/>
  <c r="J9" i="1" s="1"/>
  <c r="I9" i="1" s="1"/>
  <c r="H9" i="1" s="1"/>
  <c r="G9" i="1" s="1"/>
  <c r="F9" i="1" s="1"/>
  <c r="E9" i="1" s="1"/>
  <c r="O10" i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O11" i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O12" i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O13" i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O14" i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O15" i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O16" i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O17" i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O18" i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O19" i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O20" i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O21" i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O22" i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O23" i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N24" i="1"/>
  <c r="M24" i="1" s="1"/>
  <c r="L24" i="1" s="1"/>
  <c r="K24" i="1" s="1"/>
  <c r="J24" i="1" s="1"/>
  <c r="I24" i="1" s="1"/>
  <c r="H24" i="1" s="1"/>
  <c r="G24" i="1" s="1"/>
  <c r="F24" i="1" s="1"/>
  <c r="E24" i="1" s="1"/>
  <c r="O24" i="1"/>
  <c r="M25" i="1"/>
  <c r="L25" i="1" s="1"/>
  <c r="K25" i="1" s="1"/>
  <c r="J25" i="1" s="1"/>
  <c r="I25" i="1" s="1"/>
  <c r="H25" i="1" s="1"/>
  <c r="G25" i="1" s="1"/>
  <c r="F25" i="1" s="1"/>
  <c r="E25" i="1" s="1"/>
  <c r="O25" i="1"/>
  <c r="N25" i="1" s="1"/>
  <c r="O26" i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O27" i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O28" i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O29" i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O30" i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O31" i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O32" i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O33" i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O34" i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O35" i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O36" i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O37" i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O38" i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O39" i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O40" i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N41" i="1"/>
  <c r="M41" i="1" s="1"/>
  <c r="L41" i="1" s="1"/>
  <c r="K41" i="1" s="1"/>
  <c r="J41" i="1" s="1"/>
  <c r="I41" i="1" s="1"/>
  <c r="H41" i="1" s="1"/>
  <c r="G41" i="1" s="1"/>
  <c r="F41" i="1" s="1"/>
  <c r="E41" i="1" s="1"/>
  <c r="O41" i="1"/>
  <c r="O42" i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O43" i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O44" i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O45" i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O46" i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O47" i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O48" i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O49" i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O50" i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O51" i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O52" i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O53" i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O54" i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O55" i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O8" i="1"/>
  <c r="N8" i="1" s="1"/>
  <c r="P74" i="1"/>
  <c r="P205" i="1" s="1"/>
  <c r="O205" i="1" l="1"/>
  <c r="O74" i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M8" i="1"/>
  <c r="N205" i="1"/>
  <c r="L8" i="1" l="1"/>
  <c r="M205" i="1"/>
  <c r="AP9" i="1"/>
  <c r="AU9" i="1"/>
  <c r="BA9" i="1"/>
  <c r="AP10" i="1"/>
  <c r="BA10" i="1"/>
  <c r="AP11" i="1"/>
  <c r="BA11" i="1"/>
  <c r="AP12" i="1"/>
  <c r="BA12" i="1"/>
  <c r="AP13" i="1"/>
  <c r="BA13" i="1"/>
  <c r="AP14" i="1"/>
  <c r="BA14" i="1"/>
  <c r="AP15" i="1"/>
  <c r="BA15" i="1"/>
  <c r="AP16" i="1"/>
  <c r="BA16" i="1"/>
  <c r="AP17" i="1"/>
  <c r="BA17" i="1"/>
  <c r="AP19" i="1"/>
  <c r="BA19" i="1"/>
  <c r="AP20" i="1"/>
  <c r="AP21" i="1"/>
  <c r="BA21" i="1"/>
  <c r="AP22" i="1"/>
  <c r="BA22" i="1"/>
  <c r="AP23" i="1"/>
  <c r="AY23" i="1"/>
  <c r="AZ23" i="1"/>
  <c r="BA23" i="1"/>
  <c r="AP24" i="1"/>
  <c r="BA24" i="1"/>
  <c r="AP25" i="1"/>
  <c r="BA25" i="1"/>
  <c r="AP26" i="1"/>
  <c r="BA26" i="1"/>
  <c r="AP27" i="1"/>
  <c r="BA27" i="1"/>
  <c r="AP28" i="1"/>
  <c r="BA28" i="1"/>
  <c r="AP29" i="1"/>
  <c r="BA29" i="1"/>
  <c r="AP30" i="1"/>
  <c r="BA30" i="1"/>
  <c r="AP31" i="1"/>
  <c r="BA31" i="1"/>
  <c r="AP32" i="1"/>
  <c r="BA32" i="1"/>
  <c r="AP33" i="1"/>
  <c r="BA33" i="1"/>
  <c r="AP34" i="1"/>
  <c r="BA34" i="1"/>
  <c r="AP35" i="1"/>
  <c r="BA35" i="1"/>
  <c r="AP36" i="1"/>
  <c r="BA36" i="1"/>
  <c r="AP37" i="1"/>
  <c r="BA37" i="1"/>
  <c r="AP38" i="1"/>
  <c r="BA38" i="1"/>
  <c r="AP39" i="1"/>
  <c r="BA39" i="1"/>
  <c r="AP40" i="1"/>
  <c r="BA40" i="1"/>
  <c r="AP41" i="1"/>
  <c r="BA41" i="1"/>
  <c r="AP42" i="1"/>
  <c r="BA42" i="1"/>
  <c r="AP43" i="1"/>
  <c r="BA43" i="1"/>
  <c r="AP44" i="1"/>
  <c r="BA44" i="1"/>
  <c r="BA45" i="1"/>
  <c r="AP46" i="1"/>
  <c r="BA46" i="1"/>
  <c r="AP47" i="1"/>
  <c r="BA47" i="1"/>
  <c r="AP48" i="1"/>
  <c r="AU48" i="1"/>
  <c r="BA48" i="1"/>
  <c r="AP49" i="1"/>
  <c r="BA49" i="1"/>
  <c r="AP50" i="1"/>
  <c r="BA50" i="1"/>
  <c r="AP51" i="1"/>
  <c r="BA51" i="1"/>
  <c r="AP52" i="1"/>
  <c r="BA52" i="1"/>
  <c r="AP53" i="1"/>
  <c r="BA53" i="1"/>
  <c r="AP54" i="1"/>
  <c r="BA54" i="1"/>
  <c r="AP55" i="1"/>
  <c r="BA55" i="1"/>
  <c r="AP56" i="1"/>
  <c r="BA56" i="1"/>
  <c r="AP57" i="1"/>
  <c r="BA57" i="1"/>
  <c r="AP58" i="1"/>
  <c r="BA58" i="1"/>
  <c r="AP59" i="1"/>
  <c r="BA59" i="1"/>
  <c r="AP60" i="1"/>
  <c r="AQ60" i="1"/>
  <c r="AR60" i="1"/>
  <c r="AS60" i="1"/>
  <c r="AU60" i="1"/>
  <c r="AV60" i="1"/>
  <c r="AW60" i="1"/>
  <c r="AX60" i="1"/>
  <c r="AY60" i="1"/>
  <c r="AZ60" i="1"/>
  <c r="BA60" i="1"/>
  <c r="AP61" i="1"/>
  <c r="AW61" i="1"/>
  <c r="AX61" i="1"/>
  <c r="AY61" i="1"/>
  <c r="BA61" i="1"/>
  <c r="AP62" i="1"/>
  <c r="BA62" i="1"/>
  <c r="AP63" i="1"/>
  <c r="BA63" i="1"/>
  <c r="AP64" i="1"/>
  <c r="AS64" i="1"/>
  <c r="AT64" i="1"/>
  <c r="AU64" i="1"/>
  <c r="BA64" i="1"/>
  <c r="AP65" i="1"/>
  <c r="BA65" i="1"/>
  <c r="AP66" i="1"/>
  <c r="AU66" i="1"/>
  <c r="BA66" i="1"/>
  <c r="AP67" i="1"/>
  <c r="AU67" i="1"/>
  <c r="BA67" i="1"/>
  <c r="AP68" i="1"/>
  <c r="BA68" i="1"/>
  <c r="AP69" i="1"/>
  <c r="BA69" i="1"/>
  <c r="AP70" i="1"/>
  <c r="BA70" i="1"/>
  <c r="AP71" i="1"/>
  <c r="BA71" i="1"/>
  <c r="AP72" i="1"/>
  <c r="BA72" i="1"/>
  <c r="AP73" i="1"/>
  <c r="BA73" i="1"/>
  <c r="AP74" i="1"/>
  <c r="BA74" i="1"/>
  <c r="AP75" i="1"/>
  <c r="BA75" i="1"/>
  <c r="AP76" i="1"/>
  <c r="BA76" i="1"/>
  <c r="AP77" i="1"/>
  <c r="BA77" i="1"/>
  <c r="AP78" i="1"/>
  <c r="BA78" i="1"/>
  <c r="AP79" i="1"/>
  <c r="BA79" i="1"/>
  <c r="AP80" i="1"/>
  <c r="BA80" i="1"/>
  <c r="AP81" i="1"/>
  <c r="AW81" i="1"/>
  <c r="BA81" i="1"/>
  <c r="AP82" i="1"/>
  <c r="BA82" i="1"/>
  <c r="AP83" i="1"/>
  <c r="AQ83" i="1"/>
  <c r="BD83" i="1" s="1"/>
  <c r="J471" i="2" s="1"/>
  <c r="AR83" i="1"/>
  <c r="AS83" i="1"/>
  <c r="AT83" i="1"/>
  <c r="AU83" i="1"/>
  <c r="AV83" i="1"/>
  <c r="AW83" i="1"/>
  <c r="AX83" i="1"/>
  <c r="AY83" i="1"/>
  <c r="AZ83" i="1"/>
  <c r="BA83" i="1"/>
  <c r="AP84" i="1"/>
  <c r="BA84" i="1"/>
  <c r="AP85" i="1"/>
  <c r="BA85" i="1"/>
  <c r="AP86" i="1"/>
  <c r="BA86" i="1"/>
  <c r="AP87" i="1"/>
  <c r="AU87" i="1"/>
  <c r="BA87" i="1"/>
  <c r="AP88" i="1"/>
  <c r="BA88" i="1"/>
  <c r="AP89" i="1"/>
  <c r="AQ89" i="1"/>
  <c r="AR89" i="1"/>
  <c r="BA89" i="1"/>
  <c r="AP90" i="1"/>
  <c r="AU90" i="1"/>
  <c r="BA90" i="1"/>
  <c r="AP91" i="1"/>
  <c r="BA91" i="1"/>
  <c r="AP92" i="1"/>
  <c r="BA92" i="1"/>
  <c r="AP93" i="1"/>
  <c r="AU93" i="1"/>
  <c r="BA93" i="1"/>
  <c r="AP94" i="1"/>
  <c r="AT94" i="1"/>
  <c r="AY94" i="1"/>
  <c r="BA94" i="1"/>
  <c r="AP95" i="1"/>
  <c r="AU95" i="1"/>
  <c r="AV95" i="1"/>
  <c r="BA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P98" i="1"/>
  <c r="BA98" i="1"/>
  <c r="AP99" i="1"/>
  <c r="BA99" i="1"/>
  <c r="AP100" i="1"/>
  <c r="BA100" i="1"/>
  <c r="AP101" i="1"/>
  <c r="BA101" i="1"/>
  <c r="AP102" i="1"/>
  <c r="AU102" i="1"/>
  <c r="BA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AP105" i="1"/>
  <c r="AU105" i="1"/>
  <c r="BA105" i="1"/>
  <c r="AP107" i="1"/>
  <c r="BA107" i="1"/>
  <c r="AP108" i="1"/>
  <c r="BA108" i="1"/>
  <c r="AP109" i="1"/>
  <c r="AU109" i="1"/>
  <c r="BA109" i="1"/>
  <c r="AP110" i="1"/>
  <c r="AU110" i="1"/>
  <c r="BA110" i="1"/>
  <c r="AP111" i="1"/>
  <c r="BA111" i="1"/>
  <c r="AP112" i="1"/>
  <c r="BA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AP114" i="1"/>
  <c r="BA114" i="1"/>
  <c r="AP115" i="1"/>
  <c r="AW115" i="1"/>
  <c r="AX115" i="1"/>
  <c r="AY115" i="1"/>
  <c r="AZ115" i="1"/>
  <c r="BA115" i="1"/>
  <c r="AP116" i="1"/>
  <c r="BA116" i="1"/>
  <c r="AP117" i="1"/>
  <c r="BA117" i="1"/>
  <c r="AP118" i="1"/>
  <c r="BA118" i="1"/>
  <c r="AP119" i="1"/>
  <c r="BA119" i="1"/>
  <c r="AP120" i="1"/>
  <c r="AU120" i="1"/>
  <c r="BA120" i="1"/>
  <c r="AP121" i="1"/>
  <c r="AU121" i="1"/>
  <c r="BA121" i="1"/>
  <c r="AP122" i="1"/>
  <c r="BA122" i="1"/>
  <c r="AP123" i="1"/>
  <c r="BA123" i="1"/>
  <c r="AP124" i="1"/>
  <c r="BA124" i="1"/>
  <c r="AP125" i="1"/>
  <c r="BA125" i="1"/>
  <c r="AP126" i="1"/>
  <c r="AU126" i="1"/>
  <c r="BA126" i="1"/>
  <c r="AP127" i="1"/>
  <c r="BA127" i="1"/>
  <c r="AP128" i="1"/>
  <c r="AU128" i="1"/>
  <c r="BA128" i="1"/>
  <c r="AP129" i="1"/>
  <c r="AU129" i="1"/>
  <c r="BA129" i="1"/>
  <c r="AP130" i="1"/>
  <c r="BA130" i="1"/>
  <c r="AP131" i="1"/>
  <c r="AU131" i="1"/>
  <c r="AV131" i="1"/>
  <c r="AW131" i="1"/>
  <c r="AX131" i="1"/>
  <c r="AY131" i="1"/>
  <c r="AZ131" i="1"/>
  <c r="BA131" i="1"/>
  <c r="AP132" i="1"/>
  <c r="BA132" i="1"/>
  <c r="AP133" i="1"/>
  <c r="AU133" i="1"/>
  <c r="AP134" i="1"/>
  <c r="BA134" i="1"/>
  <c r="AP135" i="1"/>
  <c r="AS135" i="1"/>
  <c r="AU135" i="1"/>
  <c r="AV135" i="1"/>
  <c r="AY135" i="1"/>
  <c r="BA135" i="1"/>
  <c r="AP136" i="1"/>
  <c r="BA136" i="1"/>
  <c r="AP137" i="1"/>
  <c r="BA137" i="1"/>
  <c r="AP138" i="1"/>
  <c r="BA138" i="1"/>
  <c r="AP139" i="1"/>
  <c r="AU139" i="1"/>
  <c r="AV139" i="1"/>
  <c r="BA139" i="1"/>
  <c r="AP140" i="1"/>
  <c r="AU140" i="1"/>
  <c r="BA140" i="1"/>
  <c r="AP141" i="1"/>
  <c r="AU141" i="1"/>
  <c r="BA141" i="1"/>
  <c r="AP142" i="1"/>
  <c r="BA142" i="1"/>
  <c r="AP143" i="1"/>
  <c r="BA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AP145" i="1"/>
  <c r="BA145" i="1"/>
  <c r="AP146" i="1"/>
  <c r="BA146" i="1"/>
  <c r="AP147" i="1"/>
  <c r="AU147" i="1"/>
  <c r="BA147" i="1"/>
  <c r="AP148" i="1"/>
  <c r="AU148" i="1"/>
  <c r="BA148" i="1"/>
  <c r="AP149" i="1"/>
  <c r="BA149" i="1"/>
  <c r="AP150" i="1"/>
  <c r="AQ150" i="1"/>
  <c r="AR150" i="1"/>
  <c r="AS150" i="1"/>
  <c r="AT150" i="1"/>
  <c r="AU150" i="1"/>
  <c r="BA150" i="1"/>
  <c r="AP151" i="1"/>
  <c r="AU151" i="1"/>
  <c r="BA151" i="1"/>
  <c r="AP152" i="1"/>
  <c r="AU152" i="1"/>
  <c r="BA152" i="1"/>
  <c r="AP153" i="1"/>
  <c r="AU153" i="1"/>
  <c r="BA153" i="1"/>
  <c r="AP154" i="1"/>
  <c r="AU154" i="1"/>
  <c r="BA154" i="1"/>
  <c r="AP155" i="1"/>
  <c r="BA155" i="1"/>
  <c r="AP156" i="1"/>
  <c r="AU156" i="1"/>
  <c r="BA156" i="1"/>
  <c r="AP157" i="1"/>
  <c r="AU157" i="1"/>
  <c r="BA157" i="1"/>
  <c r="AP158" i="1"/>
  <c r="BA158" i="1"/>
  <c r="AP159" i="1"/>
  <c r="AU159" i="1"/>
  <c r="BA159" i="1"/>
  <c r="AP160" i="1"/>
  <c r="BA160" i="1"/>
  <c r="AP161" i="1"/>
  <c r="AV161" i="1"/>
  <c r="BA161" i="1"/>
  <c r="AP162" i="1"/>
  <c r="AQ162" i="1"/>
  <c r="AR162" i="1"/>
  <c r="AS162" i="1"/>
  <c r="AT162" i="1"/>
  <c r="AU162" i="1"/>
  <c r="AV162" i="1"/>
  <c r="AW162" i="1"/>
  <c r="BA162" i="1"/>
  <c r="AP163" i="1"/>
  <c r="BA163" i="1"/>
  <c r="AP164" i="1"/>
  <c r="BA164" i="1"/>
  <c r="AP165" i="1"/>
  <c r="BA165" i="1"/>
  <c r="AP166" i="1"/>
  <c r="AU166" i="1"/>
  <c r="BA166" i="1"/>
  <c r="AP167" i="1"/>
  <c r="AU167" i="1"/>
  <c r="BA167" i="1"/>
  <c r="AP168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AP170" i="1"/>
  <c r="BA170" i="1"/>
  <c r="AP171" i="1"/>
  <c r="AU171" i="1"/>
  <c r="BA171" i="1"/>
  <c r="AP172" i="1"/>
  <c r="BA172" i="1"/>
  <c r="AP173" i="1"/>
  <c r="BA173" i="1"/>
  <c r="AP174" i="1"/>
  <c r="AU174" i="1"/>
  <c r="BA174" i="1"/>
  <c r="AP175" i="1"/>
  <c r="BA175" i="1"/>
  <c r="AP176" i="1"/>
  <c r="BA176" i="1"/>
  <c r="AP177" i="1"/>
  <c r="BA177" i="1"/>
  <c r="AP178" i="1"/>
  <c r="BA178" i="1"/>
  <c r="AP179" i="1"/>
  <c r="BA179" i="1"/>
  <c r="AP180" i="1"/>
  <c r="AU180" i="1"/>
  <c r="BA180" i="1"/>
  <c r="AP181" i="1"/>
  <c r="BA181" i="1"/>
  <c r="AP182" i="1"/>
  <c r="BA182" i="1"/>
  <c r="AP183" i="1"/>
  <c r="AR183" i="1"/>
  <c r="BA183" i="1"/>
  <c r="AP184" i="1"/>
  <c r="AU184" i="1"/>
  <c r="AV184" i="1"/>
  <c r="AW184" i="1"/>
  <c r="AX184" i="1"/>
  <c r="AY184" i="1"/>
  <c r="AZ184" i="1"/>
  <c r="BA184" i="1"/>
  <c r="AP185" i="1"/>
  <c r="AQ185" i="1"/>
  <c r="AR185" i="1"/>
  <c r="AS185" i="1"/>
  <c r="AT185" i="1"/>
  <c r="AU185" i="1"/>
  <c r="BA185" i="1"/>
  <c r="AP186" i="1"/>
  <c r="BA186" i="1"/>
  <c r="AP187" i="1"/>
  <c r="BA187" i="1"/>
  <c r="AP188" i="1"/>
  <c r="BA188" i="1"/>
  <c r="AP189" i="1"/>
  <c r="BA189" i="1"/>
  <c r="AP190" i="1"/>
  <c r="BA190" i="1"/>
  <c r="AP191" i="1"/>
  <c r="AU191" i="1"/>
  <c r="BA191" i="1"/>
  <c r="AP192" i="1"/>
  <c r="BA192" i="1"/>
  <c r="AP193" i="1"/>
  <c r="AU193" i="1"/>
  <c r="BA193" i="1"/>
  <c r="AP194" i="1"/>
  <c r="AU194" i="1"/>
  <c r="BA194" i="1"/>
  <c r="AP195" i="1"/>
  <c r="BA195" i="1"/>
  <c r="AP196" i="1"/>
  <c r="BA196" i="1"/>
  <c r="AP197" i="1"/>
  <c r="AU197" i="1"/>
  <c r="BA197" i="1"/>
  <c r="AP198" i="1"/>
  <c r="AS198" i="1"/>
  <c r="AT198" i="1"/>
  <c r="BA198" i="1"/>
  <c r="AP199" i="1"/>
  <c r="BA199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AP201" i="1"/>
  <c r="AQ201" i="1"/>
  <c r="AR201" i="1"/>
  <c r="AS201" i="1"/>
  <c r="AT201" i="1"/>
  <c r="AU201" i="1"/>
  <c r="BA201" i="1"/>
  <c r="AP202" i="1"/>
  <c r="AU202" i="1"/>
  <c r="BA202" i="1"/>
  <c r="AP203" i="1"/>
  <c r="AQ203" i="1"/>
  <c r="AR203" i="1"/>
  <c r="AS203" i="1"/>
  <c r="AT203" i="1"/>
  <c r="AU203" i="1"/>
  <c r="AV203" i="1"/>
  <c r="BA203" i="1"/>
  <c r="AP204" i="1"/>
  <c r="AQ204" i="1"/>
  <c r="AR204" i="1"/>
  <c r="AS204" i="1"/>
  <c r="AT204" i="1"/>
  <c r="AU204" i="1"/>
  <c r="AV204" i="1"/>
  <c r="BA204" i="1"/>
  <c r="AQ8" i="1"/>
  <c r="AR8" i="1"/>
  <c r="AS8" i="1"/>
  <c r="BA8" i="1"/>
  <c r="AP8" i="1"/>
  <c r="AC18" i="1"/>
  <c r="AD18" i="1" s="1"/>
  <c r="AE18" i="1" s="1"/>
  <c r="W18" i="1"/>
  <c r="X18" i="1" s="1"/>
  <c r="Y18" i="1" s="1"/>
  <c r="Z18" i="1" s="1"/>
  <c r="AA18" i="1" s="1"/>
  <c r="R18" i="1"/>
  <c r="S18" i="1" s="1"/>
  <c r="BD113" i="1" l="1"/>
  <c r="D660" i="2" s="1"/>
  <c r="BD200" i="1"/>
  <c r="D1188" i="2" s="1"/>
  <c r="BD104" i="1"/>
  <c r="D609" i="2" s="1"/>
  <c r="BD169" i="1"/>
  <c r="D1215" i="2" s="1"/>
  <c r="BD97" i="1"/>
  <c r="J558" i="2" s="1"/>
  <c r="AQ18" i="1"/>
  <c r="AP18" i="1"/>
  <c r="BD144" i="1"/>
  <c r="J837" i="2" s="1"/>
  <c r="K8" i="1"/>
  <c r="L205" i="1"/>
  <c r="BD96" i="1"/>
  <c r="D558" i="2" s="1"/>
  <c r="AR18" i="1"/>
  <c r="BD103" i="1"/>
  <c r="J597" i="2" s="1"/>
  <c r="AF18" i="1"/>
  <c r="AG18" i="1" s="1"/>
  <c r="AH18" i="1" s="1"/>
  <c r="J8" i="1" l="1"/>
  <c r="K205" i="1"/>
  <c r="AI18" i="1"/>
  <c r="AV18" i="1" s="1"/>
  <c r="AU18" i="1"/>
  <c r="AD202" i="1"/>
  <c r="AE202" i="1" s="1"/>
  <c r="AG202" i="1" s="1"/>
  <c r="AJ202" i="1" s="1"/>
  <c r="W202" i="1"/>
  <c r="AV202" i="1" s="1"/>
  <c r="R202" i="1"/>
  <c r="AQ202" i="1" s="1"/>
  <c r="W201" i="1"/>
  <c r="AD199" i="1"/>
  <c r="AE199" i="1" s="1"/>
  <c r="AF199" i="1" s="1"/>
  <c r="AG199" i="1" s="1"/>
  <c r="AH199" i="1" s="1"/>
  <c r="R199" i="1"/>
  <c r="AH198" i="1"/>
  <c r="AU198" i="1" s="1"/>
  <c r="AD198" i="1"/>
  <c r="AE198" i="1" s="1"/>
  <c r="W198" i="1"/>
  <c r="R198" i="1"/>
  <c r="S198" i="1" s="1"/>
  <c r="R197" i="1"/>
  <c r="AQ197" i="1" s="1"/>
  <c r="AF193" i="1"/>
  <c r="AG193" i="1" s="1"/>
  <c r="AI193" i="1" s="1"/>
  <c r="AJ193" i="1" s="1"/>
  <c r="AL193" i="1" s="1"/>
  <c r="AM193" i="1" s="1"/>
  <c r="AD193" i="1"/>
  <c r="AF192" i="1"/>
  <c r="AH192" i="1" s="1"/>
  <c r="AD192" i="1"/>
  <c r="R193" i="1"/>
  <c r="W193" i="1"/>
  <c r="W192" i="1"/>
  <c r="R192" i="1"/>
  <c r="W191" i="1"/>
  <c r="R191" i="1"/>
  <c r="AH190" i="1"/>
  <c r="W190" i="1"/>
  <c r="X190" i="1" s="1"/>
  <c r="R190" i="1"/>
  <c r="AQ190" i="1" s="1"/>
  <c r="AD189" i="1"/>
  <c r="AE189" i="1" s="1"/>
  <c r="AF189" i="1" s="1"/>
  <c r="W189" i="1"/>
  <c r="X189" i="1" s="1"/>
  <c r="R189" i="1"/>
  <c r="AQ189" i="1" s="1"/>
  <c r="W185" i="1"/>
  <c r="AV185" i="1" s="1"/>
  <c r="R184" i="1"/>
  <c r="S184" i="1" s="1"/>
  <c r="AD184" i="1"/>
  <c r="AE184" i="1" s="1"/>
  <c r="AF184" i="1" s="1"/>
  <c r="AG184" i="1" s="1"/>
  <c r="AF183" i="1"/>
  <c r="AD183" i="1"/>
  <c r="AQ183" i="1" s="1"/>
  <c r="W183" i="1"/>
  <c r="X183" i="1" s="1"/>
  <c r="AD182" i="1"/>
  <c r="AE182" i="1" s="1"/>
  <c r="AF182" i="1" s="1"/>
  <c r="AG182" i="1" s="1"/>
  <c r="AH182" i="1" s="1"/>
  <c r="R182" i="1"/>
  <c r="AD181" i="1"/>
  <c r="AE181" i="1" s="1"/>
  <c r="AF181" i="1" s="1"/>
  <c r="AG181" i="1" s="1"/>
  <c r="AH181" i="1" s="1"/>
  <c r="W181" i="1"/>
  <c r="R181" i="1"/>
  <c r="S181" i="1" s="1"/>
  <c r="AG180" i="1"/>
  <c r="AI180" i="1" s="1"/>
  <c r="AJ180" i="1" s="1"/>
  <c r="AK180" i="1" s="1"/>
  <c r="AM180" i="1" s="1"/>
  <c r="AD180" i="1"/>
  <c r="W180" i="1"/>
  <c r="X180" i="1" s="1"/>
  <c r="R180" i="1"/>
  <c r="AQ180" i="1" s="1"/>
  <c r="R171" i="1"/>
  <c r="AD171" i="1"/>
  <c r="AE171" i="1" s="1"/>
  <c r="AG171" i="1" s="1"/>
  <c r="AI171" i="1" s="1"/>
  <c r="AJ171" i="1" s="1"/>
  <c r="AL171" i="1" s="1"/>
  <c r="AM171" i="1" s="1"/>
  <c r="AF170" i="1"/>
  <c r="AH170" i="1" s="1"/>
  <c r="AU170" i="1" s="1"/>
  <c r="AD170" i="1"/>
  <c r="W170" i="1"/>
  <c r="R170" i="1"/>
  <c r="W167" i="1"/>
  <c r="R167" i="1"/>
  <c r="R166" i="1"/>
  <c r="W166" i="1"/>
  <c r="AK165" i="1"/>
  <c r="AM165" i="1" s="1"/>
  <c r="AD165" i="1"/>
  <c r="AE165" i="1" s="1"/>
  <c r="AF165" i="1" s="1"/>
  <c r="AH165" i="1" s="1"/>
  <c r="W165" i="1"/>
  <c r="R165" i="1"/>
  <c r="AD164" i="1"/>
  <c r="AE164" i="1" s="1"/>
  <c r="AF164" i="1" s="1"/>
  <c r="AH164" i="1" s="1"/>
  <c r="W164" i="1"/>
  <c r="R164" i="1"/>
  <c r="AD163" i="1"/>
  <c r="AE163" i="1" s="1"/>
  <c r="AF163" i="1" s="1"/>
  <c r="AG163" i="1" s="1"/>
  <c r="AH163" i="1" s="1"/>
  <c r="W163" i="1"/>
  <c r="R163" i="1"/>
  <c r="Y162" i="1"/>
  <c r="AF159" i="1"/>
  <c r="AG159" i="1" s="1"/>
  <c r="AI159" i="1" s="1"/>
  <c r="AJ159" i="1" s="1"/>
  <c r="AM159" i="1" s="1"/>
  <c r="R159" i="1"/>
  <c r="W157" i="1"/>
  <c r="R157" i="1"/>
  <c r="R156" i="1"/>
  <c r="W154" i="1"/>
  <c r="R154" i="1"/>
  <c r="W153" i="1"/>
  <c r="R153" i="1"/>
  <c r="R152" i="1"/>
  <c r="AK151" i="1"/>
  <c r="AM151" i="1" s="1"/>
  <c r="AD151" i="1"/>
  <c r="AE151" i="1" s="1"/>
  <c r="AF151" i="1" s="1"/>
  <c r="AG151" i="1" s="1"/>
  <c r="W151" i="1"/>
  <c r="R151" i="1"/>
  <c r="W150" i="1"/>
  <c r="AV150" i="1" s="1"/>
  <c r="R148" i="1"/>
  <c r="W148" i="1"/>
  <c r="W147" i="1"/>
  <c r="AV147" i="1" s="1"/>
  <c r="R147" i="1"/>
  <c r="AQ147" i="1" s="1"/>
  <c r="W141" i="1"/>
  <c r="AV141" i="1" s="1"/>
  <c r="R141" i="1"/>
  <c r="AQ141" i="1" s="1"/>
  <c r="W140" i="1"/>
  <c r="AV140" i="1" s="1"/>
  <c r="R140" i="1"/>
  <c r="AQ140" i="1" s="1"/>
  <c r="R139" i="1"/>
  <c r="AQ139" i="1" s="1"/>
  <c r="AF136" i="1"/>
  <c r="AG136" i="1" s="1"/>
  <c r="AH136" i="1" s="1"/>
  <c r="AD136" i="1"/>
  <c r="W136" i="1"/>
  <c r="R136" i="1"/>
  <c r="R137" i="1"/>
  <c r="W137" i="1"/>
  <c r="AD135" i="1"/>
  <c r="AQ135" i="1" s="1"/>
  <c r="AE133" i="1"/>
  <c r="AF133" i="1" s="1"/>
  <c r="AG133" i="1" s="1"/>
  <c r="W133" i="1"/>
  <c r="R133" i="1"/>
  <c r="W132" i="1"/>
  <c r="R132" i="1"/>
  <c r="AD132" i="1"/>
  <c r="AE132" i="1" s="1"/>
  <c r="AF132" i="1" s="1"/>
  <c r="AH132" i="1" s="1"/>
  <c r="R131" i="1"/>
  <c r="W129" i="1"/>
  <c r="AV129" i="1" s="1"/>
  <c r="R129" i="1"/>
  <c r="AQ129" i="1" s="1"/>
  <c r="AK128" i="1"/>
  <c r="AM128" i="1" s="1"/>
  <c r="W128" i="1"/>
  <c r="R128" i="1"/>
  <c r="AF127" i="1"/>
  <c r="AG127" i="1" s="1"/>
  <c r="AH127" i="1" s="1"/>
  <c r="W127" i="1"/>
  <c r="AV127" i="1" s="1"/>
  <c r="R127" i="1"/>
  <c r="AQ127" i="1" s="1"/>
  <c r="AF126" i="1"/>
  <c r="AG126" i="1" s="1"/>
  <c r="AJ126" i="1" s="1"/>
  <c r="AL126" i="1" s="1"/>
  <c r="AD126" i="1"/>
  <c r="R126" i="1"/>
  <c r="AQ126" i="1" s="1"/>
  <c r="AE125" i="1"/>
  <c r="AG125" i="1"/>
  <c r="AH125" i="1" s="1"/>
  <c r="W125" i="1"/>
  <c r="AV125" i="1" s="1"/>
  <c r="R125" i="1"/>
  <c r="AQ125" i="1" s="1"/>
  <c r="AD124" i="1"/>
  <c r="AE124" i="1" s="1"/>
  <c r="AF124" i="1" s="1"/>
  <c r="AG124" i="1" s="1"/>
  <c r="AH124" i="1" s="1"/>
  <c r="W124" i="1"/>
  <c r="X124" i="1" s="1"/>
  <c r="R124" i="1"/>
  <c r="W121" i="1"/>
  <c r="R121" i="1"/>
  <c r="AD111" i="1"/>
  <c r="AE111" i="1" s="1"/>
  <c r="AF111" i="1" s="1"/>
  <c r="AG111" i="1" s="1"/>
  <c r="AH111" i="1" s="1"/>
  <c r="W111" i="1"/>
  <c r="R111" i="1"/>
  <c r="W110" i="1"/>
  <c r="R110" i="1"/>
  <c r="W109" i="1"/>
  <c r="R109" i="1"/>
  <c r="R105" i="1"/>
  <c r="AQ105" i="1" s="1"/>
  <c r="AG102" i="1"/>
  <c r="AI102" i="1" s="1"/>
  <c r="AD102" i="1"/>
  <c r="AE102" i="1" s="1"/>
  <c r="W102" i="1"/>
  <c r="X102" i="1" s="1"/>
  <c r="R102" i="1"/>
  <c r="AQ102" i="1" s="1"/>
  <c r="AF99" i="1"/>
  <c r="AG99" i="1" s="1"/>
  <c r="AH99" i="1" s="1"/>
  <c r="R99" i="1"/>
  <c r="AD94" i="1"/>
  <c r="W93" i="1"/>
  <c r="R93" i="1"/>
  <c r="AQ93" i="1" s="1"/>
  <c r="AD92" i="1"/>
  <c r="AE92" i="1" s="1"/>
  <c r="W92" i="1"/>
  <c r="R92" i="1"/>
  <c r="AQ92" i="1" s="1"/>
  <c r="AD91" i="1"/>
  <c r="W90" i="1"/>
  <c r="R90" i="1"/>
  <c r="AD85" i="1"/>
  <c r="AE85" i="1" s="1"/>
  <c r="AF85" i="1" s="1"/>
  <c r="AG85" i="1" s="1"/>
  <c r="AH85" i="1" s="1"/>
  <c r="W85" i="1"/>
  <c r="R85" i="1"/>
  <c r="AD79" i="1"/>
  <c r="AE79" i="1" s="1"/>
  <c r="AF79" i="1" s="1"/>
  <c r="AG79" i="1" s="1"/>
  <c r="AH79" i="1" s="1"/>
  <c r="R79" i="1"/>
  <c r="AD78" i="1"/>
  <c r="AE78" i="1" s="1"/>
  <c r="AF78" i="1" s="1"/>
  <c r="W78" i="1"/>
  <c r="R78" i="1"/>
  <c r="S78" i="1" s="1"/>
  <c r="AD77" i="1"/>
  <c r="AE77" i="1" s="1"/>
  <c r="AF77" i="1" s="1"/>
  <c r="AG77" i="1" s="1"/>
  <c r="W77" i="1"/>
  <c r="R77" i="1"/>
  <c r="AG76" i="1"/>
  <c r="AH76" i="1" s="1"/>
  <c r="AD76" i="1"/>
  <c r="AE76" i="1" s="1"/>
  <c r="W76" i="1"/>
  <c r="R76" i="1"/>
  <c r="AD73" i="1"/>
  <c r="AE73" i="1" s="1"/>
  <c r="W73" i="1"/>
  <c r="R73" i="1"/>
  <c r="AD72" i="1"/>
  <c r="AE72" i="1" s="1"/>
  <c r="AF72" i="1" s="1"/>
  <c r="W72" i="1"/>
  <c r="R72" i="1"/>
  <c r="AD71" i="1"/>
  <c r="AE71" i="1" s="1"/>
  <c r="AF71" i="1" s="1"/>
  <c r="R71" i="1"/>
  <c r="AQ71" i="1" s="1"/>
  <c r="AD68" i="1"/>
  <c r="AE68" i="1" s="1"/>
  <c r="AF68" i="1" s="1"/>
  <c r="W68" i="1"/>
  <c r="R68" i="1"/>
  <c r="AD67" i="1"/>
  <c r="AE67" i="1" s="1"/>
  <c r="AF67" i="1" s="1"/>
  <c r="AG67" i="1" s="1"/>
  <c r="AI67" i="1" s="1"/>
  <c r="AJ67" i="1" s="1"/>
  <c r="W67" i="1"/>
  <c r="X67" i="1" s="1"/>
  <c r="R67" i="1"/>
  <c r="W66" i="1"/>
  <c r="R66" i="1"/>
  <c r="AQ66" i="1" s="1"/>
  <c r="AD65" i="1"/>
  <c r="AE65" i="1" s="1"/>
  <c r="AF65" i="1" s="1"/>
  <c r="AG65" i="1" s="1"/>
  <c r="AH65" i="1" s="1"/>
  <c r="W65" i="1"/>
  <c r="R65" i="1"/>
  <c r="AQ65" i="1" s="1"/>
  <c r="AD59" i="1"/>
  <c r="AE59" i="1" s="1"/>
  <c r="AF59" i="1" s="1"/>
  <c r="AG59" i="1" s="1"/>
  <c r="W59" i="1"/>
  <c r="R59" i="1"/>
  <c r="AD58" i="1"/>
  <c r="AE58" i="1" s="1"/>
  <c r="AF58" i="1" s="1"/>
  <c r="AG58" i="1" s="1"/>
  <c r="AH58" i="1" s="1"/>
  <c r="W58" i="1"/>
  <c r="R58" i="1"/>
  <c r="S71" i="1" l="1"/>
  <c r="AQ79" i="1"/>
  <c r="AQ182" i="1"/>
  <c r="S79" i="1"/>
  <c r="AE135" i="1"/>
  <c r="S139" i="1"/>
  <c r="S140" i="1"/>
  <c r="X140" i="1"/>
  <c r="S141" i="1"/>
  <c r="X141" i="1"/>
  <c r="S147" i="1"/>
  <c r="X147" i="1"/>
  <c r="X150" i="1"/>
  <c r="S180" i="1"/>
  <c r="S190" i="1"/>
  <c r="AQ193" i="1"/>
  <c r="S197" i="1"/>
  <c r="AQ199" i="1"/>
  <c r="S202" i="1"/>
  <c r="X202" i="1"/>
  <c r="Y202" i="1" s="1"/>
  <c r="I8" i="1"/>
  <c r="J205" i="1"/>
  <c r="AI199" i="1"/>
  <c r="AJ199" i="1" s="1"/>
  <c r="AK199" i="1" s="1"/>
  <c r="AL199" i="1" s="1"/>
  <c r="AM199" i="1" s="1"/>
  <c r="AU199" i="1"/>
  <c r="AI181" i="1"/>
  <c r="AJ181" i="1" s="1"/>
  <c r="AK181" i="1" s="1"/>
  <c r="AL181" i="1" s="1"/>
  <c r="AM181" i="1" s="1"/>
  <c r="AU181" i="1"/>
  <c r="AI182" i="1"/>
  <c r="AJ182" i="1" s="1"/>
  <c r="AK182" i="1" s="1"/>
  <c r="AL182" i="1" s="1"/>
  <c r="AM182" i="1" s="1"/>
  <c r="AU182" i="1"/>
  <c r="AI58" i="1"/>
  <c r="AJ58" i="1" s="1"/>
  <c r="AK58" i="1" s="1"/>
  <c r="AL58" i="1" s="1"/>
  <c r="AM58" i="1" s="1"/>
  <c r="AU58" i="1"/>
  <c r="X66" i="1"/>
  <c r="AV66" i="1"/>
  <c r="S68" i="1"/>
  <c r="AQ68" i="1"/>
  <c r="S73" i="1"/>
  <c r="AQ73" i="1"/>
  <c r="X58" i="1"/>
  <c r="AV58" i="1"/>
  <c r="S59" i="1"/>
  <c r="AQ59" i="1"/>
  <c r="S65" i="1"/>
  <c r="S66" i="1"/>
  <c r="S67" i="1"/>
  <c r="AQ67" i="1"/>
  <c r="X68" i="1"/>
  <c r="X72" i="1"/>
  <c r="X73" i="1"/>
  <c r="S76" i="1"/>
  <c r="AQ76" i="1"/>
  <c r="X77" i="1"/>
  <c r="AQ78" i="1"/>
  <c r="X78" i="1"/>
  <c r="X85" i="1"/>
  <c r="S90" i="1"/>
  <c r="AQ90" i="1"/>
  <c r="AE91" i="1"/>
  <c r="AR91" i="1" s="1"/>
  <c r="AQ91" i="1"/>
  <c r="S92" i="1"/>
  <c r="S93" i="1"/>
  <c r="AE94" i="1"/>
  <c r="AQ94" i="1"/>
  <c r="AI99" i="1"/>
  <c r="AJ99" i="1" s="1"/>
  <c r="AK99" i="1" s="1"/>
  <c r="AM99" i="1" s="1"/>
  <c r="AU99" i="1"/>
  <c r="S102" i="1"/>
  <c r="S105" i="1"/>
  <c r="X109" i="1"/>
  <c r="AV109" i="1"/>
  <c r="X110" i="1"/>
  <c r="AV110" i="1"/>
  <c r="X111" i="1"/>
  <c r="S121" i="1"/>
  <c r="AQ121" i="1"/>
  <c r="S124" i="1"/>
  <c r="AQ124" i="1"/>
  <c r="S125" i="1"/>
  <c r="X125" i="1"/>
  <c r="S126" i="1"/>
  <c r="S127" i="1"/>
  <c r="X127" i="1"/>
  <c r="S128" i="1"/>
  <c r="AQ128" i="1"/>
  <c r="S129" i="1"/>
  <c r="X129" i="1"/>
  <c r="AI132" i="1"/>
  <c r="AJ132" i="1" s="1"/>
  <c r="AK132" i="1" s="1"/>
  <c r="AU132" i="1"/>
  <c r="X132" i="1"/>
  <c r="X133" i="1"/>
  <c r="S136" i="1"/>
  <c r="AQ136" i="1"/>
  <c r="X148" i="1"/>
  <c r="AV148" i="1"/>
  <c r="S151" i="1"/>
  <c r="AQ151" i="1"/>
  <c r="S153" i="1"/>
  <c r="AQ153" i="1"/>
  <c r="S154" i="1"/>
  <c r="AQ154" i="1"/>
  <c r="S156" i="1"/>
  <c r="AQ156" i="1"/>
  <c r="X157" i="1"/>
  <c r="AV157" i="1"/>
  <c r="S163" i="1"/>
  <c r="AQ163" i="1"/>
  <c r="AI163" i="1"/>
  <c r="AK163" i="1" s="1"/>
  <c r="AL163" i="1" s="1"/>
  <c r="AM163" i="1" s="1"/>
  <c r="AU163" i="1"/>
  <c r="X164" i="1"/>
  <c r="S165" i="1"/>
  <c r="AQ165" i="1"/>
  <c r="AI165" i="1"/>
  <c r="AU165" i="1"/>
  <c r="X166" i="1"/>
  <c r="AV166" i="1"/>
  <c r="S167" i="1"/>
  <c r="AQ167" i="1"/>
  <c r="S170" i="1"/>
  <c r="AQ170" i="1"/>
  <c r="AV180" i="1"/>
  <c r="AQ181" i="1"/>
  <c r="AV181" i="1"/>
  <c r="S182" i="1"/>
  <c r="AG183" i="1"/>
  <c r="AS183" i="1"/>
  <c r="X185" i="1"/>
  <c r="AW185" i="1" s="1"/>
  <c r="S189" i="1"/>
  <c r="S191" i="1"/>
  <c r="AQ191" i="1"/>
  <c r="S192" i="1"/>
  <c r="AQ192" i="1"/>
  <c r="X193" i="1"/>
  <c r="AV193" i="1"/>
  <c r="AQ198" i="1"/>
  <c r="AI198" i="1"/>
  <c r="AJ198" i="1" s="1"/>
  <c r="AM198" i="1" s="1"/>
  <c r="S199" i="1"/>
  <c r="S58" i="1"/>
  <c r="AR58" i="1" s="1"/>
  <c r="AQ58" i="1"/>
  <c r="X59" i="1"/>
  <c r="AI65" i="1"/>
  <c r="AJ65" i="1" s="1"/>
  <c r="AK65" i="1" s="1"/>
  <c r="AL65" i="1" s="1"/>
  <c r="AM65" i="1" s="1"/>
  <c r="AU65" i="1"/>
  <c r="AV67" i="1"/>
  <c r="S72" i="1"/>
  <c r="AQ72" i="1"/>
  <c r="X76" i="1"/>
  <c r="AI76" i="1"/>
  <c r="AJ76" i="1" s="1"/>
  <c r="AK76" i="1" s="1"/>
  <c r="AL76" i="1" s="1"/>
  <c r="AM76" i="1" s="1"/>
  <c r="AU76" i="1"/>
  <c r="S77" i="1"/>
  <c r="AQ77" i="1"/>
  <c r="S85" i="1"/>
  <c r="AQ85" i="1"/>
  <c r="AI85" i="1"/>
  <c r="AJ85" i="1" s="1"/>
  <c r="AK85" i="1" s="1"/>
  <c r="AL85" i="1" s="1"/>
  <c r="AM85" i="1" s="1"/>
  <c r="AU85" i="1"/>
  <c r="X90" i="1"/>
  <c r="AV90" i="1"/>
  <c r="X92" i="1"/>
  <c r="X93" i="1"/>
  <c r="AV93" i="1"/>
  <c r="S99" i="1"/>
  <c r="AQ99" i="1"/>
  <c r="S109" i="1"/>
  <c r="AQ109" i="1"/>
  <c r="S110" i="1"/>
  <c r="AQ110" i="1"/>
  <c r="S111" i="1"/>
  <c r="AQ111" i="1"/>
  <c r="AI111" i="1"/>
  <c r="AJ111" i="1" s="1"/>
  <c r="AK111" i="1" s="1"/>
  <c r="AL111" i="1" s="1"/>
  <c r="AM111" i="1" s="1"/>
  <c r="AU111" i="1"/>
  <c r="X121" i="1"/>
  <c r="AV121" i="1"/>
  <c r="AJ125" i="1"/>
  <c r="AL125" i="1" s="1"/>
  <c r="AU125" i="1"/>
  <c r="AJ127" i="1"/>
  <c r="AL127" i="1" s="1"/>
  <c r="AM127" i="1" s="1"/>
  <c r="AU127" i="1"/>
  <c r="X128" i="1"/>
  <c r="AV128" i="1"/>
  <c r="S131" i="1"/>
  <c r="AQ131" i="1"/>
  <c r="S132" i="1"/>
  <c r="AQ132" i="1"/>
  <c r="S133" i="1"/>
  <c r="AQ133" i="1"/>
  <c r="AG135" i="1"/>
  <c r="AR135" i="1"/>
  <c r="S137" i="1"/>
  <c r="X136" i="1"/>
  <c r="AI136" i="1"/>
  <c r="AJ136" i="1" s="1"/>
  <c r="AK136" i="1" s="1"/>
  <c r="AL136" i="1" s="1"/>
  <c r="AM136" i="1" s="1"/>
  <c r="AU136" i="1"/>
  <c r="T141" i="1"/>
  <c r="AR141" i="1"/>
  <c r="T147" i="1"/>
  <c r="AR147" i="1"/>
  <c r="S148" i="1"/>
  <c r="AQ148" i="1"/>
  <c r="X151" i="1"/>
  <c r="AV151" i="1"/>
  <c r="S152" i="1"/>
  <c r="AQ152" i="1"/>
  <c r="X153" i="1"/>
  <c r="AV153" i="1"/>
  <c r="X154" i="1"/>
  <c r="AV154" i="1"/>
  <c r="S157" i="1"/>
  <c r="AQ157" i="1"/>
  <c r="S159" i="1"/>
  <c r="AQ159" i="1"/>
  <c r="Z162" i="1"/>
  <c r="AX162" i="1"/>
  <c r="X163" i="1"/>
  <c r="AV163" i="1"/>
  <c r="S164" i="1"/>
  <c r="AQ164" i="1"/>
  <c r="AI164" i="1"/>
  <c r="AJ164" i="1" s="1"/>
  <c r="AK164" i="1" s="1"/>
  <c r="AM164" i="1" s="1"/>
  <c r="AU164" i="1"/>
  <c r="X165" i="1"/>
  <c r="AV165" i="1"/>
  <c r="X167" i="1"/>
  <c r="AV167" i="1"/>
  <c r="X170" i="1"/>
  <c r="AV170" i="1"/>
  <c r="S171" i="1"/>
  <c r="AQ171" i="1"/>
  <c r="T180" i="1"/>
  <c r="AR180" i="1"/>
  <c r="AQ184" i="1"/>
  <c r="X191" i="1"/>
  <c r="AV191" i="1"/>
  <c r="X192" i="1"/>
  <c r="S193" i="1"/>
  <c r="AI192" i="1"/>
  <c r="AJ192" i="1" s="1"/>
  <c r="AM192" i="1" s="1"/>
  <c r="AU192" i="1"/>
  <c r="AR198" i="1"/>
  <c r="X201" i="1"/>
  <c r="AV201" i="1"/>
  <c r="Z202" i="1"/>
  <c r="AX202" i="1"/>
  <c r="AW202" i="1"/>
  <c r="X181" i="1"/>
  <c r="Y185" i="1"/>
  <c r="AX185" i="1" s="1"/>
  <c r="X65" i="1"/>
  <c r="Y189" i="1"/>
  <c r="T58" i="1"/>
  <c r="T66" i="1"/>
  <c r="AR66" i="1"/>
  <c r="T67" i="1"/>
  <c r="AR67" i="1"/>
  <c r="Y67" i="1"/>
  <c r="AW67" i="1"/>
  <c r="Y72" i="1"/>
  <c r="Y73" i="1"/>
  <c r="T76" i="1"/>
  <c r="AR76" i="1"/>
  <c r="Y78" i="1"/>
  <c r="AI79" i="1"/>
  <c r="AJ79" i="1" s="1"/>
  <c r="AK79" i="1" s="1"/>
  <c r="AL79" i="1" s="1"/>
  <c r="AM79" i="1" s="1"/>
  <c r="AU79" i="1"/>
  <c r="Y85" i="1"/>
  <c r="AW85" i="1"/>
  <c r="T93" i="1"/>
  <c r="AR93" i="1"/>
  <c r="T102" i="1"/>
  <c r="AR102" i="1"/>
  <c r="Y102" i="1"/>
  <c r="AJ102" i="1"/>
  <c r="AW102" i="1" s="1"/>
  <c r="AV102" i="1"/>
  <c r="T105" i="1"/>
  <c r="AR105" i="1"/>
  <c r="Y109" i="1"/>
  <c r="AW109" i="1"/>
  <c r="T124" i="1"/>
  <c r="AR124" i="1"/>
  <c r="Y124" i="1"/>
  <c r="AI124" i="1"/>
  <c r="AU124" i="1"/>
  <c r="Y125" i="1"/>
  <c r="AW125" i="1"/>
  <c r="T126" i="1"/>
  <c r="AR126" i="1"/>
  <c r="Y129" i="1"/>
  <c r="AW129" i="1"/>
  <c r="T154" i="1"/>
  <c r="AR154" i="1"/>
  <c r="T156" i="1"/>
  <c r="AR156" i="1"/>
  <c r="Y157" i="1"/>
  <c r="AW157" i="1"/>
  <c r="Y164" i="1"/>
  <c r="AW164" i="1"/>
  <c r="Y166" i="1"/>
  <c r="AW166" i="1"/>
  <c r="T170" i="1"/>
  <c r="AR170" i="1"/>
  <c r="AG189" i="1"/>
  <c r="T190" i="1"/>
  <c r="AR190" i="1"/>
  <c r="AI190" i="1"/>
  <c r="AU190" i="1"/>
  <c r="Y191" i="1"/>
  <c r="AW191" i="1"/>
  <c r="Y192" i="1"/>
  <c r="AW192" i="1"/>
  <c r="T197" i="1"/>
  <c r="AR197" i="1"/>
  <c r="X198" i="1"/>
  <c r="T199" i="1"/>
  <c r="AR199" i="1"/>
  <c r="Y58" i="1"/>
  <c r="AW58" i="1"/>
  <c r="T59" i="1"/>
  <c r="AR59" i="1"/>
  <c r="T65" i="1"/>
  <c r="AR65" i="1"/>
  <c r="Y65" i="1"/>
  <c r="AW65" i="1"/>
  <c r="Y66" i="1"/>
  <c r="AW66" i="1"/>
  <c r="T71" i="1"/>
  <c r="AR71" i="1"/>
  <c r="T73" i="1"/>
  <c r="AR73" i="1"/>
  <c r="Y76" i="1"/>
  <c r="AW76" i="1"/>
  <c r="T78" i="1"/>
  <c r="AR78" i="1"/>
  <c r="T79" i="1"/>
  <c r="AR79" i="1"/>
  <c r="Y90" i="1"/>
  <c r="AW90" i="1"/>
  <c r="Y93" i="1"/>
  <c r="AW93" i="1"/>
  <c r="T99" i="1"/>
  <c r="AR99" i="1"/>
  <c r="Y121" i="1"/>
  <c r="AW121" i="1"/>
  <c r="Y128" i="1"/>
  <c r="AW128" i="1"/>
  <c r="T137" i="1"/>
  <c r="T139" i="1"/>
  <c r="AR139" i="1"/>
  <c r="T140" i="1"/>
  <c r="AR140" i="1"/>
  <c r="Y140" i="1"/>
  <c r="AW140" i="1"/>
  <c r="Y141" i="1"/>
  <c r="AW141" i="1"/>
  <c r="Y147" i="1"/>
  <c r="AW147" i="1"/>
  <c r="Y150" i="1"/>
  <c r="AW150" i="1"/>
  <c r="Y154" i="1"/>
  <c r="AW154" i="1"/>
  <c r="T157" i="1"/>
  <c r="AR157" i="1"/>
  <c r="T159" i="1"/>
  <c r="AR159" i="1"/>
  <c r="AA162" i="1"/>
  <c r="AZ162" i="1" s="1"/>
  <c r="AY162" i="1"/>
  <c r="Y165" i="1"/>
  <c r="AW165" i="1"/>
  <c r="S166" i="1"/>
  <c r="AQ166" i="1"/>
  <c r="Y167" i="1"/>
  <c r="AW167" i="1"/>
  <c r="Y170" i="1"/>
  <c r="AW170" i="1"/>
  <c r="T171" i="1"/>
  <c r="AR171" i="1"/>
  <c r="Y180" i="1"/>
  <c r="AW180" i="1"/>
  <c r="T181" i="1"/>
  <c r="AR181" i="1"/>
  <c r="Y181" i="1"/>
  <c r="AW181" i="1"/>
  <c r="Y183" i="1"/>
  <c r="T184" i="1"/>
  <c r="AR184" i="1"/>
  <c r="Y190" i="1"/>
  <c r="AW190" i="1"/>
  <c r="T191" i="1"/>
  <c r="AR191" i="1"/>
  <c r="T192" i="1"/>
  <c r="AR192" i="1"/>
  <c r="Y193" i="1"/>
  <c r="AW193" i="1"/>
  <c r="T202" i="1"/>
  <c r="AR202" i="1"/>
  <c r="AH59" i="1"/>
  <c r="AU59" i="1" s="1"/>
  <c r="AG71" i="1"/>
  <c r="AH71" i="1" s="1"/>
  <c r="AG68" i="1"/>
  <c r="AH68" i="1" s="1"/>
  <c r="AH73" i="1"/>
  <c r="AF73" i="1"/>
  <c r="AH77" i="1"/>
  <c r="AU77" i="1" s="1"/>
  <c r="AF91" i="1"/>
  <c r="AS91" i="1" s="1"/>
  <c r="AF92" i="1"/>
  <c r="AG92" i="1" s="1"/>
  <c r="AH92" i="1" s="1"/>
  <c r="AL132" i="1"/>
  <c r="AM132" i="1" s="1"/>
  <c r="AM135" i="1"/>
  <c r="AZ135" i="1" s="1"/>
  <c r="AI133" i="1"/>
  <c r="AV133" i="1" s="1"/>
  <c r="AG78" i="1"/>
  <c r="AH78" i="1" s="1"/>
  <c r="AG72" i="1"/>
  <c r="AH72" i="1" s="1"/>
  <c r="AK67" i="1"/>
  <c r="AL67" i="1" s="1"/>
  <c r="AM67" i="1" s="1"/>
  <c r="AD196" i="1"/>
  <c r="AE196" i="1" s="1"/>
  <c r="AF196" i="1" s="1"/>
  <c r="AG196" i="1" s="1"/>
  <c r="AH196" i="1" s="1"/>
  <c r="R196" i="1"/>
  <c r="AD188" i="1"/>
  <c r="AE188" i="1" s="1"/>
  <c r="AF188" i="1" s="1"/>
  <c r="AG188" i="1" s="1"/>
  <c r="AH188" i="1" s="1"/>
  <c r="AU188" i="1" s="1"/>
  <c r="W188" i="1"/>
  <c r="R188" i="1"/>
  <c r="R187" i="1"/>
  <c r="S187" i="1" s="1"/>
  <c r="AH187" i="1"/>
  <c r="AU187" i="1" s="1"/>
  <c r="AD187" i="1"/>
  <c r="AE187" i="1" s="1"/>
  <c r="AF187" i="1" s="1"/>
  <c r="AD186" i="1"/>
  <c r="AE186" i="1" s="1"/>
  <c r="AF186" i="1" s="1"/>
  <c r="AG186" i="1" s="1"/>
  <c r="AH186" i="1" s="1"/>
  <c r="R186" i="1"/>
  <c r="AD178" i="1"/>
  <c r="AQ178" i="1" s="1"/>
  <c r="W178" i="1"/>
  <c r="X178" i="1" s="1"/>
  <c r="AD173" i="1"/>
  <c r="AE173" i="1" s="1"/>
  <c r="AF173" i="1" s="1"/>
  <c r="AG173" i="1" s="1"/>
  <c r="AH173" i="1" s="1"/>
  <c r="W173" i="1"/>
  <c r="R173" i="1"/>
  <c r="AE172" i="1"/>
  <c r="AF172" i="1" s="1"/>
  <c r="R172" i="1"/>
  <c r="AQ172" i="1" s="1"/>
  <c r="AJ161" i="1"/>
  <c r="AK161" i="1" s="1"/>
  <c r="AD161" i="1"/>
  <c r="AE161" i="1" s="1"/>
  <c r="AF161" i="1" s="1"/>
  <c r="AG161" i="1" s="1"/>
  <c r="AH161" i="1" s="1"/>
  <c r="AU161" i="1" s="1"/>
  <c r="AA161" i="1"/>
  <c r="X161" i="1"/>
  <c r="AW161" i="1" s="1"/>
  <c r="R161" i="1"/>
  <c r="AD158" i="1"/>
  <c r="AE158" i="1" s="1"/>
  <c r="AF158" i="1" s="1"/>
  <c r="AG158" i="1" s="1"/>
  <c r="AH158" i="1" s="1"/>
  <c r="R158" i="1"/>
  <c r="AD138" i="1"/>
  <c r="AE138" i="1" s="1"/>
  <c r="AF138" i="1" s="1"/>
  <c r="AG138" i="1" s="1"/>
  <c r="AH138" i="1" s="1"/>
  <c r="W138" i="1"/>
  <c r="S138" i="1"/>
  <c r="R138" i="1"/>
  <c r="AE137" i="1"/>
  <c r="AF137" i="1" s="1"/>
  <c r="AG137" i="1" s="1"/>
  <c r="AH137" i="1" s="1"/>
  <c r="AD137" i="1"/>
  <c r="AQ137" i="1" s="1"/>
  <c r="X137" i="1"/>
  <c r="AH115" i="1"/>
  <c r="AE115" i="1"/>
  <c r="AF115" i="1" s="1"/>
  <c r="AD115" i="1"/>
  <c r="S115" i="1"/>
  <c r="R115" i="1"/>
  <c r="AQ115" i="1" s="1"/>
  <c r="AE114" i="1"/>
  <c r="AF114" i="1" s="1"/>
  <c r="AG114" i="1" s="1"/>
  <c r="AH114" i="1" s="1"/>
  <c r="AD114" i="1"/>
  <c r="W114" i="1"/>
  <c r="X114" i="1" s="1"/>
  <c r="R114" i="1"/>
  <c r="AQ114" i="1" s="1"/>
  <c r="R95" i="1"/>
  <c r="AQ95" i="1" s="1"/>
  <c r="AD81" i="1"/>
  <c r="AE81" i="1" s="1"/>
  <c r="AF81" i="1" s="1"/>
  <c r="AG81" i="1" s="1"/>
  <c r="AH81" i="1" s="1"/>
  <c r="R81" i="1"/>
  <c r="AD80" i="1"/>
  <c r="AE80" i="1" s="1"/>
  <c r="W80" i="1"/>
  <c r="X80" i="1" s="1"/>
  <c r="R80" i="1"/>
  <c r="AQ80" i="1" s="1"/>
  <c r="AF89" i="1"/>
  <c r="AS89" i="1" s="1"/>
  <c r="AH75" i="1"/>
  <c r="AE75" i="1"/>
  <c r="W75" i="1"/>
  <c r="X75" i="1" s="1"/>
  <c r="S75" i="1"/>
  <c r="R75" i="1"/>
  <c r="AQ75" i="1" s="1"/>
  <c r="AD70" i="1"/>
  <c r="AE70" i="1" s="1"/>
  <c r="AF70" i="1" s="1"/>
  <c r="X70" i="1"/>
  <c r="R70" i="1"/>
  <c r="AE69" i="1"/>
  <c r="AF69" i="1" s="1"/>
  <c r="W69" i="1"/>
  <c r="R69" i="1"/>
  <c r="AQ69" i="1" s="1"/>
  <c r="W63" i="1"/>
  <c r="R63" i="1"/>
  <c r="W64" i="1"/>
  <c r="R64" i="1"/>
  <c r="AD63" i="1"/>
  <c r="AE63" i="1" s="1"/>
  <c r="AD62" i="1"/>
  <c r="AE62" i="1" s="1"/>
  <c r="AF62" i="1" s="1"/>
  <c r="AG62" i="1" s="1"/>
  <c r="AH62" i="1" s="1"/>
  <c r="AU62" i="1" s="1"/>
  <c r="W62" i="1"/>
  <c r="R62" i="1"/>
  <c r="AQ62" i="1" s="1"/>
  <c r="AM61" i="1"/>
  <c r="AZ61" i="1" s="1"/>
  <c r="AD61" i="1"/>
  <c r="AE61" i="1" s="1"/>
  <c r="AF61" i="1" s="1"/>
  <c r="AG61" i="1" s="1"/>
  <c r="R61" i="1"/>
  <c r="U60" i="1"/>
  <c r="AT60" i="1" s="1"/>
  <c r="BD60" i="1" s="1"/>
  <c r="D333" i="2" s="1"/>
  <c r="AD57" i="1"/>
  <c r="AE57" i="1" s="1"/>
  <c r="R57" i="1"/>
  <c r="AK56" i="1"/>
  <c r="AL56" i="1" s="1"/>
  <c r="AM56" i="1" s="1"/>
  <c r="AD56" i="1"/>
  <c r="AE56" i="1" s="1"/>
  <c r="AF56" i="1" s="1"/>
  <c r="AG56" i="1" s="1"/>
  <c r="AH56" i="1" s="1"/>
  <c r="W56" i="1"/>
  <c r="R56" i="1"/>
  <c r="AJ204" i="1"/>
  <c r="AK204" i="1" s="1"/>
  <c r="AL204" i="1" s="1"/>
  <c r="AM204" i="1" s="1"/>
  <c r="X204" i="1"/>
  <c r="X203" i="1"/>
  <c r="AW203" i="1" s="1"/>
  <c r="AK203" i="1"/>
  <c r="AL203" i="1" s="1"/>
  <c r="AM203" i="1" s="1"/>
  <c r="AD195" i="1"/>
  <c r="AE195" i="1" s="1"/>
  <c r="AF195" i="1" s="1"/>
  <c r="AG195" i="1" s="1"/>
  <c r="AH195" i="1" s="1"/>
  <c r="AU195" i="1" s="1"/>
  <c r="W195" i="1"/>
  <c r="X195" i="1" s="1"/>
  <c r="R195" i="1"/>
  <c r="AQ195" i="1" s="1"/>
  <c r="AD179" i="1"/>
  <c r="AE179" i="1" s="1"/>
  <c r="AF179" i="1" s="1"/>
  <c r="AG179" i="1" s="1"/>
  <c r="AH179" i="1" s="1"/>
  <c r="W179" i="1"/>
  <c r="X179" i="1" s="1"/>
  <c r="R179" i="1"/>
  <c r="AQ179" i="1" s="1"/>
  <c r="R194" i="1"/>
  <c r="AD176" i="1"/>
  <c r="AE176" i="1" s="1"/>
  <c r="AF176" i="1" s="1"/>
  <c r="AG176" i="1" s="1"/>
  <c r="AH176" i="1" s="1"/>
  <c r="R176" i="1"/>
  <c r="R174" i="1"/>
  <c r="AQ174" i="1" s="1"/>
  <c r="AD175" i="1"/>
  <c r="AQ175" i="1" s="1"/>
  <c r="AD160" i="1"/>
  <c r="AE160" i="1" s="1"/>
  <c r="AF160" i="1" s="1"/>
  <c r="AG160" i="1" s="1"/>
  <c r="AH160" i="1" s="1"/>
  <c r="W160" i="1"/>
  <c r="X160" i="1" s="1"/>
  <c r="R160" i="1"/>
  <c r="AQ160" i="1" s="1"/>
  <c r="AD177" i="1"/>
  <c r="AE177" i="1" s="1"/>
  <c r="AG177" i="1" s="1"/>
  <c r="AH177" i="1" s="1"/>
  <c r="W177" i="1"/>
  <c r="X177" i="1" s="1"/>
  <c r="R177" i="1"/>
  <c r="AQ177" i="1" s="1"/>
  <c r="AD130" i="1"/>
  <c r="AE130" i="1" s="1"/>
  <c r="AF130" i="1" s="1"/>
  <c r="AG130" i="1" s="1"/>
  <c r="AH130" i="1" s="1"/>
  <c r="AU130" i="1" s="1"/>
  <c r="W130" i="1"/>
  <c r="X130" i="1" s="1"/>
  <c r="Y130" i="1" s="1"/>
  <c r="Z130" i="1" s="1"/>
  <c r="AA130" i="1" s="1"/>
  <c r="R130" i="1"/>
  <c r="AD120" i="1"/>
  <c r="AE120" i="1" s="1"/>
  <c r="W120" i="1"/>
  <c r="X120" i="1" s="1"/>
  <c r="R120" i="1"/>
  <c r="AD88" i="1"/>
  <c r="AE88" i="1" s="1"/>
  <c r="AF88" i="1" s="1"/>
  <c r="AG88" i="1" s="1"/>
  <c r="R88" i="1"/>
  <c r="AG74" i="1"/>
  <c r="AH74" i="1" s="1"/>
  <c r="AD74" i="1"/>
  <c r="AE74" i="1" s="1"/>
  <c r="W74" i="1"/>
  <c r="X74" i="1" s="1"/>
  <c r="R74" i="1"/>
  <c r="AD118" i="1"/>
  <c r="AE118" i="1" s="1"/>
  <c r="AF118" i="1" s="1"/>
  <c r="R118" i="1"/>
  <c r="AD54" i="1"/>
  <c r="AE54" i="1" s="1"/>
  <c r="AF54" i="1" s="1"/>
  <c r="AG54" i="1" s="1"/>
  <c r="AH54" i="1" s="1"/>
  <c r="AU54" i="1" s="1"/>
  <c r="R54" i="1"/>
  <c r="AD100" i="1"/>
  <c r="AE100" i="1" s="1"/>
  <c r="AF100" i="1" s="1"/>
  <c r="W100" i="1"/>
  <c r="X100" i="1" s="1"/>
  <c r="R100" i="1"/>
  <c r="AQ100" i="1" s="1"/>
  <c r="AD53" i="1"/>
  <c r="AE53" i="1" s="1"/>
  <c r="AF53" i="1" s="1"/>
  <c r="R53" i="1"/>
  <c r="AD123" i="1"/>
  <c r="AE123" i="1" s="1"/>
  <c r="W123" i="1"/>
  <c r="X123" i="1" s="1"/>
  <c r="Y123" i="1" s="1"/>
  <c r="Z123" i="1" s="1"/>
  <c r="AA123" i="1" s="1"/>
  <c r="R123" i="1"/>
  <c r="AD52" i="1"/>
  <c r="AE52" i="1" s="1"/>
  <c r="W52" i="1"/>
  <c r="X52" i="1" s="1"/>
  <c r="Y52" i="1" s="1"/>
  <c r="Z52" i="1" s="1"/>
  <c r="AA52" i="1" s="1"/>
  <c r="R52" i="1"/>
  <c r="AD116" i="1"/>
  <c r="AE116" i="1" s="1"/>
  <c r="AF116" i="1" s="1"/>
  <c r="AG116" i="1" s="1"/>
  <c r="AH116" i="1" s="1"/>
  <c r="W116" i="1"/>
  <c r="X116" i="1" s="1"/>
  <c r="R116" i="1"/>
  <c r="AF51" i="1"/>
  <c r="AG51" i="1" s="1"/>
  <c r="AH51" i="1" s="1"/>
  <c r="AD51" i="1"/>
  <c r="W51" i="1"/>
  <c r="X51" i="1" s="1"/>
  <c r="R51" i="1"/>
  <c r="AD149" i="1"/>
  <c r="AE149" i="1" s="1"/>
  <c r="AF149" i="1" s="1"/>
  <c r="AG149" i="1" s="1"/>
  <c r="AH149" i="1" s="1"/>
  <c r="AU149" i="1" s="1"/>
  <c r="W149" i="1"/>
  <c r="X149" i="1" s="1"/>
  <c r="R149" i="1"/>
  <c r="AD50" i="1"/>
  <c r="AE50" i="1" s="1"/>
  <c r="AF50" i="1" s="1"/>
  <c r="R50" i="1"/>
  <c r="AQ50" i="1" s="1"/>
  <c r="AL146" i="1"/>
  <c r="AM146" i="1" s="1"/>
  <c r="AD146" i="1"/>
  <c r="AE146" i="1" s="1"/>
  <c r="AF146" i="1" s="1"/>
  <c r="W146" i="1"/>
  <c r="R146" i="1"/>
  <c r="AD49" i="1"/>
  <c r="AE49" i="1" s="1"/>
  <c r="AF49" i="1" s="1"/>
  <c r="AG49" i="1" s="1"/>
  <c r="AH49" i="1" s="1"/>
  <c r="W49" i="1"/>
  <c r="R49" i="1"/>
  <c r="AE87" i="1"/>
  <c r="AG87" i="1" s="1"/>
  <c r="AJ87" i="1" s="1"/>
  <c r="AM87" i="1" s="1"/>
  <c r="W87" i="1"/>
  <c r="R87" i="1"/>
  <c r="AE48" i="1"/>
  <c r="AI48" i="1" s="1"/>
  <c r="AL48" i="1" s="1"/>
  <c r="W48" i="1"/>
  <c r="R48" i="1"/>
  <c r="AD47" i="1"/>
  <c r="AE47" i="1" s="1"/>
  <c r="AF47" i="1" s="1"/>
  <c r="W47" i="1"/>
  <c r="R47" i="1"/>
  <c r="AF145" i="1"/>
  <c r="AG145" i="1" s="1"/>
  <c r="AH145" i="1" s="1"/>
  <c r="AD145" i="1"/>
  <c r="W145" i="1"/>
  <c r="X145" i="1" s="1"/>
  <c r="Y145" i="1" s="1"/>
  <c r="Z145" i="1" s="1"/>
  <c r="AA145" i="1" s="1"/>
  <c r="R145" i="1"/>
  <c r="AF46" i="1"/>
  <c r="AD46" i="1"/>
  <c r="W46" i="1"/>
  <c r="X46" i="1" s="1"/>
  <c r="Y46" i="1" s="1"/>
  <c r="Z46" i="1" s="1"/>
  <c r="AA46" i="1" s="1"/>
  <c r="AZ46" i="1" s="1"/>
  <c r="R46" i="1"/>
  <c r="AE55" i="1"/>
  <c r="AF55" i="1" s="1"/>
  <c r="AG55" i="1" s="1"/>
  <c r="AH55" i="1" s="1"/>
  <c r="AD55" i="1"/>
  <c r="W55" i="1"/>
  <c r="X55" i="1" s="1"/>
  <c r="Y55" i="1" s="1"/>
  <c r="Z55" i="1" s="1"/>
  <c r="AA55" i="1" s="1"/>
  <c r="R55" i="1"/>
  <c r="AC45" i="1"/>
  <c r="AC205" i="1" s="1"/>
  <c r="W45" i="1"/>
  <c r="X45" i="1" s="1"/>
  <c r="Y45" i="1" s="1"/>
  <c r="Z45" i="1" s="1"/>
  <c r="AA45" i="1" s="1"/>
  <c r="R45" i="1"/>
  <c r="AE44" i="1"/>
  <c r="AF44" i="1" s="1"/>
  <c r="AG44" i="1" s="1"/>
  <c r="AH44" i="1" s="1"/>
  <c r="W44" i="1"/>
  <c r="R44" i="1"/>
  <c r="AD142" i="1"/>
  <c r="AE142" i="1" s="1"/>
  <c r="AF142" i="1" s="1"/>
  <c r="AG142" i="1" s="1"/>
  <c r="AH142" i="1" s="1"/>
  <c r="W142" i="1"/>
  <c r="S142" i="1"/>
  <c r="R142" i="1"/>
  <c r="AD43" i="1"/>
  <c r="AE43" i="1" s="1"/>
  <c r="W43" i="1"/>
  <c r="S43" i="1"/>
  <c r="T43" i="1" s="1"/>
  <c r="U43" i="1" s="1"/>
  <c r="R43" i="1"/>
  <c r="AE42" i="1"/>
  <c r="AF42" i="1" s="1"/>
  <c r="AG42" i="1" s="1"/>
  <c r="AH42" i="1" s="1"/>
  <c r="AD42" i="1"/>
  <c r="W42" i="1"/>
  <c r="R42" i="1"/>
  <c r="AD41" i="1"/>
  <c r="AE41" i="1" s="1"/>
  <c r="AF41" i="1" s="1"/>
  <c r="AG41" i="1" s="1"/>
  <c r="AH41" i="1" s="1"/>
  <c r="W41" i="1"/>
  <c r="X41" i="1" s="1"/>
  <c r="R41" i="1"/>
  <c r="AL143" i="1"/>
  <c r="AH143" i="1"/>
  <c r="AF143" i="1"/>
  <c r="AD143" i="1"/>
  <c r="W143" i="1"/>
  <c r="X143" i="1" s="1"/>
  <c r="R143" i="1"/>
  <c r="AQ143" i="1" s="1"/>
  <c r="AF40" i="1"/>
  <c r="AH40" i="1" s="1"/>
  <c r="S100" i="1" l="1"/>
  <c r="AQ118" i="1"/>
  <c r="AQ176" i="1"/>
  <c r="S179" i="1"/>
  <c r="S195" i="1"/>
  <c r="AQ196" i="1"/>
  <c r="AG91" i="1"/>
  <c r="AI77" i="1"/>
  <c r="AJ77" i="1" s="1"/>
  <c r="AK77" i="1" s="1"/>
  <c r="AL77" i="1" s="1"/>
  <c r="AM77" i="1" s="1"/>
  <c r="AV136" i="1"/>
  <c r="AV76" i="1"/>
  <c r="AQ61" i="1"/>
  <c r="Y161" i="1"/>
  <c r="AV132" i="1"/>
  <c r="H8" i="1"/>
  <c r="I205" i="1"/>
  <c r="Y143" i="1"/>
  <c r="AW143" i="1"/>
  <c r="AI138" i="1"/>
  <c r="AJ138" i="1" s="1"/>
  <c r="AK138" i="1" s="1"/>
  <c r="AL138" i="1" s="1"/>
  <c r="AM138" i="1" s="1"/>
  <c r="AU138" i="1"/>
  <c r="S143" i="1"/>
  <c r="S42" i="1"/>
  <c r="AQ42" i="1"/>
  <c r="AQ43" i="1"/>
  <c r="AQ142" i="1"/>
  <c r="X142" i="1"/>
  <c r="AV142" i="1"/>
  <c r="S44" i="1"/>
  <c r="AQ44" i="1"/>
  <c r="S55" i="1"/>
  <c r="AQ55" i="1"/>
  <c r="S46" i="1"/>
  <c r="AQ46" i="1"/>
  <c r="S145" i="1"/>
  <c r="AQ145" i="1"/>
  <c r="S47" i="1"/>
  <c r="AQ47" i="1"/>
  <c r="S48" i="1"/>
  <c r="AQ48" i="1"/>
  <c r="S49" i="1"/>
  <c r="AQ49" i="1"/>
  <c r="S50" i="1"/>
  <c r="S53" i="1"/>
  <c r="AQ53" i="1"/>
  <c r="S118" i="1"/>
  <c r="S74" i="1"/>
  <c r="AQ74" i="1"/>
  <c r="S88" i="1"/>
  <c r="AQ88" i="1"/>
  <c r="S120" i="1"/>
  <c r="T120" i="1" s="1"/>
  <c r="U120" i="1" s="1"/>
  <c r="AQ120" i="1"/>
  <c r="S177" i="1"/>
  <c r="S160" i="1"/>
  <c r="AE175" i="1"/>
  <c r="S174" i="1"/>
  <c r="S176" i="1"/>
  <c r="Y203" i="1"/>
  <c r="Y204" i="1"/>
  <c r="AW204" i="1"/>
  <c r="S56" i="1"/>
  <c r="AQ56" i="1"/>
  <c r="S57" i="1"/>
  <c r="AQ57" i="1"/>
  <c r="S61" i="1"/>
  <c r="S62" i="1"/>
  <c r="X64" i="1"/>
  <c r="AV64" i="1"/>
  <c r="S69" i="1"/>
  <c r="AG89" i="1"/>
  <c r="S80" i="1"/>
  <c r="S95" i="1"/>
  <c r="S114" i="1"/>
  <c r="AI115" i="1"/>
  <c r="AV115" i="1" s="1"/>
  <c r="AU115" i="1"/>
  <c r="AQ138" i="1"/>
  <c r="AV138" i="1"/>
  <c r="S172" i="1"/>
  <c r="AE178" i="1"/>
  <c r="AI186" i="1"/>
  <c r="AU186" i="1"/>
  <c r="S196" i="1"/>
  <c r="AI72" i="1"/>
  <c r="AU72" i="1"/>
  <c r="AI59" i="1"/>
  <c r="AV192" i="1"/>
  <c r="U180" i="1"/>
  <c r="AT180" i="1" s="1"/>
  <c r="AS180" i="1"/>
  <c r="T164" i="1"/>
  <c r="AR164" i="1"/>
  <c r="Y163" i="1"/>
  <c r="AW163" i="1"/>
  <c r="Y153" i="1"/>
  <c r="AW153" i="1"/>
  <c r="T152" i="1"/>
  <c r="AR152" i="1"/>
  <c r="Y151" i="1"/>
  <c r="AW151" i="1"/>
  <c r="T148" i="1"/>
  <c r="AR148" i="1"/>
  <c r="U147" i="1"/>
  <c r="AT147" i="1" s="1"/>
  <c r="AS147" i="1"/>
  <c r="U141" i="1"/>
  <c r="AT141" i="1" s="1"/>
  <c r="AS141" i="1"/>
  <c r="Y136" i="1"/>
  <c r="AW136" i="1"/>
  <c r="AJ135" i="1"/>
  <c r="AT135" i="1"/>
  <c r="T133" i="1"/>
  <c r="AR133" i="1"/>
  <c r="T132" i="1"/>
  <c r="AR132" i="1"/>
  <c r="T131" i="1"/>
  <c r="AR131" i="1"/>
  <c r="T85" i="1"/>
  <c r="AR85" i="1"/>
  <c r="T77" i="1"/>
  <c r="AR77" i="1"/>
  <c r="T72" i="1"/>
  <c r="AR72" i="1"/>
  <c r="AV198" i="1"/>
  <c r="T189" i="1"/>
  <c r="AR189" i="1"/>
  <c r="T182" i="1"/>
  <c r="AR182" i="1"/>
  <c r="AV164" i="1"/>
  <c r="Y133" i="1"/>
  <c r="Y132" i="1"/>
  <c r="AW132" i="1"/>
  <c r="T129" i="1"/>
  <c r="AR129" i="1"/>
  <c r="T128" i="1"/>
  <c r="AR128" i="1"/>
  <c r="T127" i="1"/>
  <c r="AR127" i="1"/>
  <c r="AV111" i="1"/>
  <c r="AV85" i="1"/>
  <c r="Y77" i="1"/>
  <c r="AW77" i="1"/>
  <c r="Y68" i="1"/>
  <c r="T68" i="1"/>
  <c r="AR68" i="1"/>
  <c r="S41" i="1"/>
  <c r="AQ41" i="1"/>
  <c r="S45" i="1"/>
  <c r="AD45" i="1"/>
  <c r="AE45" i="1" s="1"/>
  <c r="AF45" i="1" s="1"/>
  <c r="AP45" i="1"/>
  <c r="AP205" i="1" s="1"/>
  <c r="AC207" i="1"/>
  <c r="S87" i="1"/>
  <c r="AQ87" i="1"/>
  <c r="S146" i="1"/>
  <c r="AQ146" i="1"/>
  <c r="S149" i="1"/>
  <c r="AQ149" i="1"/>
  <c r="S51" i="1"/>
  <c r="AQ51" i="1"/>
  <c r="S116" i="1"/>
  <c r="AQ116" i="1"/>
  <c r="S52" i="1"/>
  <c r="T52" i="1" s="1"/>
  <c r="U52" i="1" s="1"/>
  <c r="AQ52" i="1"/>
  <c r="S123" i="1"/>
  <c r="T123" i="1" s="1"/>
  <c r="U123" i="1" s="1"/>
  <c r="AQ123" i="1"/>
  <c r="S54" i="1"/>
  <c r="AQ54" i="1"/>
  <c r="S130" i="1"/>
  <c r="AQ130" i="1"/>
  <c r="S194" i="1"/>
  <c r="AQ194" i="1"/>
  <c r="S64" i="1"/>
  <c r="AR64" i="1" s="1"/>
  <c r="AQ64" i="1"/>
  <c r="S63" i="1"/>
  <c r="T63" i="1" s="1"/>
  <c r="AQ63" i="1"/>
  <c r="S70" i="1"/>
  <c r="T70" i="1" s="1"/>
  <c r="AQ70" i="1"/>
  <c r="S81" i="1"/>
  <c r="AQ81" i="1"/>
  <c r="T115" i="1"/>
  <c r="AR115" i="1"/>
  <c r="S158" i="1"/>
  <c r="AQ158" i="1"/>
  <c r="S161" i="1"/>
  <c r="AQ161" i="1"/>
  <c r="S173" i="1"/>
  <c r="AQ173" i="1"/>
  <c r="S186" i="1"/>
  <c r="AQ186" i="1"/>
  <c r="AQ187" i="1"/>
  <c r="S188" i="1"/>
  <c r="AQ188" i="1"/>
  <c r="AI78" i="1"/>
  <c r="AU78" i="1"/>
  <c r="AI92" i="1"/>
  <c r="AU92" i="1"/>
  <c r="AH91" i="1"/>
  <c r="AT91" i="1"/>
  <c r="AI73" i="1"/>
  <c r="AU73" i="1"/>
  <c r="AI68" i="1"/>
  <c r="AU68" i="1"/>
  <c r="AR137" i="1"/>
  <c r="AA202" i="1"/>
  <c r="AZ202" i="1" s="1"/>
  <c r="AY202" i="1"/>
  <c r="Y201" i="1"/>
  <c r="AW201" i="1"/>
  <c r="AR193" i="1"/>
  <c r="T193" i="1"/>
  <c r="T111" i="1"/>
  <c r="AR111" i="1"/>
  <c r="T110" i="1"/>
  <c r="AR110" i="1"/>
  <c r="T109" i="1"/>
  <c r="AR109" i="1"/>
  <c r="Y92" i="1"/>
  <c r="Y59" i="1"/>
  <c r="AH183" i="1"/>
  <c r="AT183" i="1"/>
  <c r="T167" i="1"/>
  <c r="AR167" i="1"/>
  <c r="T165" i="1"/>
  <c r="AR165" i="1"/>
  <c r="T163" i="1"/>
  <c r="AR163" i="1"/>
  <c r="T153" i="1"/>
  <c r="AR153" i="1"/>
  <c r="T151" i="1"/>
  <c r="AR151" i="1"/>
  <c r="Y148" i="1"/>
  <c r="AW148" i="1"/>
  <c r="T136" i="1"/>
  <c r="AR136" i="1"/>
  <c r="Y127" i="1"/>
  <c r="AW127" i="1"/>
  <c r="T125" i="1"/>
  <c r="AR125" i="1"/>
  <c r="T121" i="1"/>
  <c r="AR121" i="1"/>
  <c r="Y111" i="1"/>
  <c r="AW111" i="1"/>
  <c r="Y110" i="1"/>
  <c r="AW110" i="1"/>
  <c r="AF94" i="1"/>
  <c r="AR94" i="1"/>
  <c r="T92" i="1"/>
  <c r="AR92" i="1"/>
  <c r="T90" i="1"/>
  <c r="AR90" i="1"/>
  <c r="AV77" i="1"/>
  <c r="AV65" i="1"/>
  <c r="Z185" i="1"/>
  <c r="X138" i="1"/>
  <c r="Y138" i="1" s="1"/>
  <c r="AK102" i="1"/>
  <c r="AL102" i="1" s="1"/>
  <c r="AM102" i="1" s="1"/>
  <c r="BD162" i="1"/>
  <c r="J951" i="2" s="1"/>
  <c r="AF63" i="1"/>
  <c r="AS63" i="1" s="1"/>
  <c r="AI71" i="1"/>
  <c r="AJ71" i="1" s="1"/>
  <c r="AK71" i="1" s="1"/>
  <c r="AU71" i="1"/>
  <c r="AI143" i="1"/>
  <c r="AV143" i="1" s="1"/>
  <c r="AU143" i="1"/>
  <c r="T41" i="1"/>
  <c r="AR41" i="1"/>
  <c r="AI42" i="1"/>
  <c r="AJ42" i="1" s="1"/>
  <c r="AK42" i="1" s="1"/>
  <c r="AL42" i="1" s="1"/>
  <c r="AM42" i="1" s="1"/>
  <c r="AU42" i="1"/>
  <c r="AF43" i="1"/>
  <c r="AR43" i="1"/>
  <c r="T142" i="1"/>
  <c r="AR142" i="1"/>
  <c r="AH46" i="1"/>
  <c r="X87" i="1"/>
  <c r="AV87" i="1"/>
  <c r="T49" i="1"/>
  <c r="AR49" i="1"/>
  <c r="Y149" i="1"/>
  <c r="Y51" i="1"/>
  <c r="Y177" i="1"/>
  <c r="AI160" i="1"/>
  <c r="AU160" i="1"/>
  <c r="T174" i="1"/>
  <c r="AR174" i="1"/>
  <c r="T176" i="1"/>
  <c r="AR176" i="1"/>
  <c r="X56" i="1"/>
  <c r="AH61" i="1"/>
  <c r="Y64" i="1"/>
  <c r="AX64" i="1" s="1"/>
  <c r="AW64" i="1"/>
  <c r="AR70" i="1"/>
  <c r="T75" i="1"/>
  <c r="AR75" i="1"/>
  <c r="Y75" i="1"/>
  <c r="AI75" i="1"/>
  <c r="AJ75" i="1" s="1"/>
  <c r="AK75" i="1" s="1"/>
  <c r="AL75" i="1" s="1"/>
  <c r="AM75" i="1" s="1"/>
  <c r="AU75" i="1"/>
  <c r="AH89" i="1"/>
  <c r="AT89" i="1"/>
  <c r="T80" i="1"/>
  <c r="AR80" i="1"/>
  <c r="AI81" i="1"/>
  <c r="AU81" i="1"/>
  <c r="T95" i="1"/>
  <c r="AR95" i="1"/>
  <c r="T114" i="1"/>
  <c r="AR114" i="1"/>
  <c r="Y114" i="1"/>
  <c r="AI114" i="1"/>
  <c r="AJ114" i="1" s="1"/>
  <c r="AK114" i="1" s="1"/>
  <c r="AL114" i="1" s="1"/>
  <c r="AM114" i="1" s="1"/>
  <c r="AU114" i="1"/>
  <c r="Y137" i="1"/>
  <c r="AI137" i="1"/>
  <c r="AU137" i="1"/>
  <c r="T138" i="1"/>
  <c r="AR138" i="1"/>
  <c r="AW138" i="1"/>
  <c r="AI158" i="1"/>
  <c r="AJ158" i="1" s="1"/>
  <c r="AK158" i="1" s="1"/>
  <c r="AL158" i="1" s="1"/>
  <c r="AM158" i="1" s="1"/>
  <c r="AU158" i="1"/>
  <c r="AL161" i="1"/>
  <c r="AX161" i="1"/>
  <c r="T172" i="1"/>
  <c r="AR172" i="1"/>
  <c r="X173" i="1"/>
  <c r="AI173" i="1"/>
  <c r="AV173" i="1" s="1"/>
  <c r="AU173" i="1"/>
  <c r="T187" i="1"/>
  <c r="AR187" i="1"/>
  <c r="X188" i="1"/>
  <c r="T196" i="1"/>
  <c r="AR196" i="1"/>
  <c r="AI196" i="1"/>
  <c r="AJ196" i="1" s="1"/>
  <c r="AK196" i="1" s="1"/>
  <c r="AL196" i="1" s="1"/>
  <c r="AM196" i="1" s="1"/>
  <c r="AU196" i="1"/>
  <c r="Z193" i="1"/>
  <c r="AX193" i="1"/>
  <c r="U192" i="1"/>
  <c r="AT192" i="1" s="1"/>
  <c r="AS192" i="1"/>
  <c r="U191" i="1"/>
  <c r="AT191" i="1" s="1"/>
  <c r="AS191" i="1"/>
  <c r="Z190" i="1"/>
  <c r="AX190" i="1"/>
  <c r="Y198" i="1"/>
  <c r="AW198" i="1"/>
  <c r="U197" i="1"/>
  <c r="AS197" i="1"/>
  <c r="Z192" i="1"/>
  <c r="AX192" i="1"/>
  <c r="Z191" i="1"/>
  <c r="AX191" i="1"/>
  <c r="AL190" i="1"/>
  <c r="AM190" i="1" s="1"/>
  <c r="AV190" i="1"/>
  <c r="U190" i="1"/>
  <c r="AT190" i="1" s="1"/>
  <c r="AS190" i="1"/>
  <c r="AH189" i="1"/>
  <c r="U58" i="1"/>
  <c r="AT58" i="1" s="1"/>
  <c r="AS58" i="1"/>
  <c r="AI41" i="1"/>
  <c r="AU41" i="1"/>
  <c r="X42" i="1"/>
  <c r="AJ142" i="1"/>
  <c r="AK142" i="1" s="1"/>
  <c r="AL142" i="1" s="1"/>
  <c r="AM142" i="1" s="1"/>
  <c r="AU142" i="1"/>
  <c r="X44" i="1"/>
  <c r="T45" i="1"/>
  <c r="AR45" i="1"/>
  <c r="AI55" i="1"/>
  <c r="AU55" i="1"/>
  <c r="T145" i="1"/>
  <c r="AR145" i="1"/>
  <c r="T48" i="1"/>
  <c r="AR48" i="1"/>
  <c r="AI49" i="1"/>
  <c r="AJ49" i="1" s="1"/>
  <c r="AL49" i="1" s="1"/>
  <c r="AM49" i="1" s="1"/>
  <c r="AU49" i="1"/>
  <c r="X146" i="1"/>
  <c r="T50" i="1"/>
  <c r="AR50" i="1"/>
  <c r="AI51" i="1"/>
  <c r="AU51" i="1"/>
  <c r="T116" i="1"/>
  <c r="AR116" i="1"/>
  <c r="AF123" i="1"/>
  <c r="AR123" i="1"/>
  <c r="T100" i="1"/>
  <c r="AR100" i="1"/>
  <c r="Y100" i="1"/>
  <c r="T54" i="1"/>
  <c r="AR54" i="1"/>
  <c r="T74" i="1"/>
  <c r="AR74" i="1"/>
  <c r="T88" i="1"/>
  <c r="AR88" i="1"/>
  <c r="AF120" i="1"/>
  <c r="AR120" i="1"/>
  <c r="T177" i="1"/>
  <c r="AR177" i="1"/>
  <c r="AI177" i="1"/>
  <c r="AU177" i="1"/>
  <c r="T160" i="1"/>
  <c r="AR160" i="1"/>
  <c r="Y160" i="1"/>
  <c r="AF175" i="1"/>
  <c r="AR175" i="1"/>
  <c r="AI176" i="1"/>
  <c r="AJ176" i="1" s="1"/>
  <c r="AK176" i="1" s="1"/>
  <c r="AL176" i="1" s="1"/>
  <c r="AM176" i="1" s="1"/>
  <c r="AU176" i="1"/>
  <c r="X62" i="1"/>
  <c r="AI40" i="1"/>
  <c r="AU40" i="1"/>
  <c r="T143" i="1"/>
  <c r="AR143" i="1"/>
  <c r="Y41" i="1"/>
  <c r="T42" i="1"/>
  <c r="AR42" i="1"/>
  <c r="X43" i="1"/>
  <c r="Y142" i="1"/>
  <c r="T44" i="1"/>
  <c r="AR44" i="1"/>
  <c r="AI44" i="1"/>
  <c r="AJ44" i="1" s="1"/>
  <c r="AK44" i="1" s="1"/>
  <c r="AU44" i="1"/>
  <c r="T55" i="1"/>
  <c r="AR55" i="1"/>
  <c r="AI145" i="1"/>
  <c r="AU145" i="1"/>
  <c r="X47" i="1"/>
  <c r="X48" i="1"/>
  <c r="AV48" i="1"/>
  <c r="T87" i="1"/>
  <c r="AR87" i="1"/>
  <c r="X49" i="1"/>
  <c r="T146" i="1"/>
  <c r="AR146" i="1"/>
  <c r="T149" i="1"/>
  <c r="AR149" i="1"/>
  <c r="T51" i="1"/>
  <c r="AR51" i="1"/>
  <c r="Y116" i="1"/>
  <c r="AI116" i="1"/>
  <c r="AU116" i="1"/>
  <c r="AF52" i="1"/>
  <c r="AS52" i="1" s="1"/>
  <c r="AR52" i="1"/>
  <c r="T53" i="1"/>
  <c r="AR53" i="1"/>
  <c r="T118" i="1"/>
  <c r="AR118" i="1"/>
  <c r="Y74" i="1"/>
  <c r="AI74" i="1"/>
  <c r="AU74" i="1"/>
  <c r="Y120" i="1"/>
  <c r="T130" i="1"/>
  <c r="AR130" i="1"/>
  <c r="T194" i="1"/>
  <c r="AR194" i="1"/>
  <c r="T179" i="1"/>
  <c r="AR179" i="1"/>
  <c r="Y179" i="1"/>
  <c r="AI179" i="1"/>
  <c r="AU179" i="1"/>
  <c r="T195" i="1"/>
  <c r="AR195" i="1"/>
  <c r="Y195" i="1"/>
  <c r="Z203" i="1"/>
  <c r="AX203" i="1"/>
  <c r="Z204" i="1"/>
  <c r="AX204" i="1"/>
  <c r="T56" i="1"/>
  <c r="AR56" i="1"/>
  <c r="AI56" i="1"/>
  <c r="AV56" i="1" s="1"/>
  <c r="AU56" i="1"/>
  <c r="T57" i="1"/>
  <c r="AR57" i="1"/>
  <c r="T62" i="1"/>
  <c r="AR62" i="1"/>
  <c r="U63" i="1"/>
  <c r="X63" i="1"/>
  <c r="AG69" i="1"/>
  <c r="Y70" i="1"/>
  <c r="AV75" i="1"/>
  <c r="Y80" i="1"/>
  <c r="T81" i="1"/>
  <c r="AR81" i="1"/>
  <c r="AV114" i="1"/>
  <c r="T158" i="1"/>
  <c r="AR158" i="1"/>
  <c r="T161" i="1"/>
  <c r="AR161" i="1"/>
  <c r="T173" i="1"/>
  <c r="AR173" i="1"/>
  <c r="T186" i="1"/>
  <c r="AR186" i="1"/>
  <c r="T188" i="1"/>
  <c r="AR188" i="1"/>
  <c r="U202" i="1"/>
  <c r="AT202" i="1" s="1"/>
  <c r="AS202" i="1"/>
  <c r="AA185" i="1"/>
  <c r="AZ185" i="1" s="1"/>
  <c r="AY185" i="1"/>
  <c r="U184" i="1"/>
  <c r="AT184" i="1" s="1"/>
  <c r="AS184" i="1"/>
  <c r="Z183" i="1"/>
  <c r="AX183" i="1"/>
  <c r="Z181" i="1"/>
  <c r="AX181" i="1"/>
  <c r="U181" i="1"/>
  <c r="AT181" i="1" s="1"/>
  <c r="AS181" i="1"/>
  <c r="Z180" i="1"/>
  <c r="AX180" i="1"/>
  <c r="U171" i="1"/>
  <c r="AS171" i="1"/>
  <c r="Z170" i="1"/>
  <c r="AX170" i="1"/>
  <c r="Z167" i="1"/>
  <c r="AX167" i="1"/>
  <c r="T166" i="1"/>
  <c r="AR166" i="1"/>
  <c r="Z165" i="1"/>
  <c r="AX165" i="1"/>
  <c r="U159" i="1"/>
  <c r="AS159" i="1"/>
  <c r="U157" i="1"/>
  <c r="AT157" i="1" s="1"/>
  <c r="AS157" i="1"/>
  <c r="Z154" i="1"/>
  <c r="AX154" i="1"/>
  <c r="Z150" i="1"/>
  <c r="AX150" i="1"/>
  <c r="Z147" i="1"/>
  <c r="AX147" i="1"/>
  <c r="Z141" i="1"/>
  <c r="AX141" i="1"/>
  <c r="Z140" i="1"/>
  <c r="AX140" i="1"/>
  <c r="U140" i="1"/>
  <c r="AT140" i="1" s="1"/>
  <c r="AS140" i="1"/>
  <c r="U139" i="1"/>
  <c r="AS139" i="1"/>
  <c r="U137" i="1"/>
  <c r="AT137" i="1" s="1"/>
  <c r="AS137" i="1"/>
  <c r="Z128" i="1"/>
  <c r="AX128" i="1"/>
  <c r="Z121" i="1"/>
  <c r="AX121" i="1"/>
  <c r="U99" i="1"/>
  <c r="AS99" i="1"/>
  <c r="Z93" i="1"/>
  <c r="AX93" i="1"/>
  <c r="Z90" i="1"/>
  <c r="AX90" i="1"/>
  <c r="U79" i="1"/>
  <c r="AS79" i="1"/>
  <c r="U78" i="1"/>
  <c r="AT78" i="1" s="1"/>
  <c r="AS78" i="1"/>
  <c r="Z76" i="1"/>
  <c r="AX76" i="1"/>
  <c r="U73" i="1"/>
  <c r="AT73" i="1" s="1"/>
  <c r="AS73" i="1"/>
  <c r="U71" i="1"/>
  <c r="AS71" i="1"/>
  <c r="Z66" i="1"/>
  <c r="AX66" i="1"/>
  <c r="Z65" i="1"/>
  <c r="AX65" i="1"/>
  <c r="U65" i="1"/>
  <c r="AT65" i="1" s="1"/>
  <c r="AS65" i="1"/>
  <c r="U59" i="1"/>
  <c r="AT59" i="1" s="1"/>
  <c r="AS59" i="1"/>
  <c r="Z58" i="1"/>
  <c r="AX58" i="1"/>
  <c r="U199" i="1"/>
  <c r="AS199" i="1"/>
  <c r="U170" i="1"/>
  <c r="AT170" i="1" s="1"/>
  <c r="AS170" i="1"/>
  <c r="Z166" i="1"/>
  <c r="AX166" i="1"/>
  <c r="Z164" i="1"/>
  <c r="AX164" i="1"/>
  <c r="Z157" i="1"/>
  <c r="AX157" i="1"/>
  <c r="U156" i="1"/>
  <c r="AS156" i="1"/>
  <c r="U154" i="1"/>
  <c r="AT154" i="1" s="1"/>
  <c r="AS154" i="1"/>
  <c r="Z129" i="1"/>
  <c r="AX129" i="1"/>
  <c r="U126" i="1"/>
  <c r="AS126" i="1"/>
  <c r="Z125" i="1"/>
  <c r="AX125" i="1"/>
  <c r="AJ124" i="1"/>
  <c r="AV124" i="1"/>
  <c r="Z124" i="1"/>
  <c r="U124" i="1"/>
  <c r="AT124" i="1" s="1"/>
  <c r="AS124" i="1"/>
  <c r="Z109" i="1"/>
  <c r="AX109" i="1"/>
  <c r="U105" i="1"/>
  <c r="AS105" i="1"/>
  <c r="Z102" i="1"/>
  <c r="U102" i="1"/>
  <c r="AT102" i="1" s="1"/>
  <c r="AS102" i="1"/>
  <c r="U93" i="1"/>
  <c r="AT93" i="1" s="1"/>
  <c r="AS93" i="1"/>
  <c r="Z85" i="1"/>
  <c r="AX85" i="1"/>
  <c r="Z78" i="1"/>
  <c r="U76" i="1"/>
  <c r="AT76" i="1" s="1"/>
  <c r="AS76" i="1"/>
  <c r="Z73" i="1"/>
  <c r="Z72" i="1"/>
  <c r="Z67" i="1"/>
  <c r="AX67" i="1"/>
  <c r="U67" i="1"/>
  <c r="AT67" i="1" s="1"/>
  <c r="AS67" i="1"/>
  <c r="U66" i="1"/>
  <c r="AT66" i="1" s="1"/>
  <c r="AS66" i="1"/>
  <c r="Z189" i="1"/>
  <c r="AG118" i="1"/>
  <c r="AH118" i="1" s="1"/>
  <c r="AU118" i="1" s="1"/>
  <c r="AK133" i="1"/>
  <c r="AJ133" i="1"/>
  <c r="AW133" i="1" s="1"/>
  <c r="AI188" i="1"/>
  <c r="AJ188" i="1" s="1"/>
  <c r="AK188" i="1" s="1"/>
  <c r="AL188" i="1" s="1"/>
  <c r="AM188" i="1" s="1"/>
  <c r="AI187" i="1"/>
  <c r="AJ187" i="1" s="1"/>
  <c r="AK187" i="1" s="1"/>
  <c r="AL187" i="1" s="1"/>
  <c r="AM187" i="1" s="1"/>
  <c r="AJ186" i="1"/>
  <c r="AK186" i="1" s="1"/>
  <c r="AL186" i="1" s="1"/>
  <c r="AM186" i="1" s="1"/>
  <c r="AJ173" i="1"/>
  <c r="AG172" i="1"/>
  <c r="AH172" i="1" s="1"/>
  <c r="AF80" i="1"/>
  <c r="AG80" i="1" s="1"/>
  <c r="AH80" i="1" s="1"/>
  <c r="AG70" i="1"/>
  <c r="X69" i="1"/>
  <c r="Y69" i="1" s="1"/>
  <c r="Z69" i="1" s="1"/>
  <c r="AA69" i="1" s="1"/>
  <c r="AI62" i="1"/>
  <c r="AJ62" i="1" s="1"/>
  <c r="AF57" i="1"/>
  <c r="AG57" i="1" s="1"/>
  <c r="AH57" i="1" s="1"/>
  <c r="AI195" i="1"/>
  <c r="AI130" i="1"/>
  <c r="AH88" i="1"/>
  <c r="AI54" i="1"/>
  <c r="AJ54" i="1" s="1"/>
  <c r="AK54" i="1" s="1"/>
  <c r="AL54" i="1" s="1"/>
  <c r="AM54" i="1" s="1"/>
  <c r="AG100" i="1"/>
  <c r="AH100" i="1" s="1"/>
  <c r="AU100" i="1" s="1"/>
  <c r="AG53" i="1"/>
  <c r="AH53" i="1" s="1"/>
  <c r="AI149" i="1"/>
  <c r="AV149" i="1" s="1"/>
  <c r="AG50" i="1"/>
  <c r="AH50" i="1" s="1"/>
  <c r="AU50" i="1" s="1"/>
  <c r="AG146" i="1"/>
  <c r="AH146" i="1" s="1"/>
  <c r="AH47" i="1"/>
  <c r="AG45" i="1"/>
  <c r="AH45" i="1" s="1"/>
  <c r="AL44" i="1"/>
  <c r="AM44" i="1" s="1"/>
  <c r="AD40" i="1"/>
  <c r="W40" i="1"/>
  <c r="X40" i="1" s="1"/>
  <c r="R40" i="1"/>
  <c r="AD39" i="1"/>
  <c r="AE39" i="1" s="1"/>
  <c r="AF39" i="1" s="1"/>
  <c r="AG39" i="1" s="1"/>
  <c r="AH39" i="1" s="1"/>
  <c r="W39" i="1"/>
  <c r="R39" i="1"/>
  <c r="W38" i="1"/>
  <c r="X38" i="1" s="1"/>
  <c r="W37" i="1"/>
  <c r="R38" i="1"/>
  <c r="AD38" i="1"/>
  <c r="AE38" i="1" s="1"/>
  <c r="AF38" i="1" s="1"/>
  <c r="AG38" i="1" s="1"/>
  <c r="AH38" i="1" s="1"/>
  <c r="AD37" i="1"/>
  <c r="AE37" i="1" s="1"/>
  <c r="AF37" i="1" s="1"/>
  <c r="AG37" i="1" s="1"/>
  <c r="AH37" i="1" s="1"/>
  <c r="AD36" i="1"/>
  <c r="AE36" i="1" s="1"/>
  <c r="AF36" i="1" s="1"/>
  <c r="AG36" i="1" s="1"/>
  <c r="AH36" i="1" s="1"/>
  <c r="R37" i="1"/>
  <c r="AD117" i="1"/>
  <c r="AE117" i="1" s="1"/>
  <c r="AF117" i="1" s="1"/>
  <c r="AG117" i="1" s="1"/>
  <c r="AH117" i="1" s="1"/>
  <c r="W117" i="1"/>
  <c r="X117" i="1" s="1"/>
  <c r="R117" i="1"/>
  <c r="S117" i="1" s="1"/>
  <c r="R36" i="1"/>
  <c r="S36" i="1" s="1"/>
  <c r="AD107" i="1"/>
  <c r="AE107" i="1" s="1"/>
  <c r="W107" i="1"/>
  <c r="X107" i="1" s="1"/>
  <c r="Y107" i="1" s="1"/>
  <c r="Z107" i="1" s="1"/>
  <c r="AA107" i="1" s="1"/>
  <c r="R107" i="1"/>
  <c r="AD35" i="1"/>
  <c r="AE35" i="1" s="1"/>
  <c r="W35" i="1"/>
  <c r="X35" i="1" s="1"/>
  <c r="Y35" i="1" s="1"/>
  <c r="Z35" i="1" s="1"/>
  <c r="AA35" i="1" s="1"/>
  <c r="R35" i="1"/>
  <c r="AD112" i="1"/>
  <c r="AE112" i="1" s="1"/>
  <c r="W112" i="1"/>
  <c r="X112" i="1" s="1"/>
  <c r="Y112" i="1" s="1"/>
  <c r="Z112" i="1" s="1"/>
  <c r="AA112" i="1" s="1"/>
  <c r="R112" i="1"/>
  <c r="AD34" i="1"/>
  <c r="AE34" i="1" s="1"/>
  <c r="W34" i="1"/>
  <c r="R34" i="1"/>
  <c r="AD33" i="1"/>
  <c r="AE33" i="1" s="1"/>
  <c r="AF33" i="1" s="1"/>
  <c r="AG33" i="1" s="1"/>
  <c r="AH33" i="1" s="1"/>
  <c r="R33" i="1"/>
  <c r="AD108" i="1"/>
  <c r="AE108" i="1" s="1"/>
  <c r="AF108" i="1" s="1"/>
  <c r="AG108" i="1" s="1"/>
  <c r="AH108" i="1" s="1"/>
  <c r="AU108" i="1" s="1"/>
  <c r="W108" i="1"/>
  <c r="R108" i="1"/>
  <c r="AD32" i="1"/>
  <c r="AE32" i="1" s="1"/>
  <c r="AF32" i="1" s="1"/>
  <c r="AG32" i="1" s="1"/>
  <c r="AH32" i="1" s="1"/>
  <c r="AU32" i="1" s="1"/>
  <c r="R32" i="1"/>
  <c r="AD122" i="1"/>
  <c r="AE122" i="1" s="1"/>
  <c r="W122" i="1"/>
  <c r="X122" i="1" s="1"/>
  <c r="Y122" i="1" s="1"/>
  <c r="Z122" i="1" s="1"/>
  <c r="AA122" i="1" s="1"/>
  <c r="R122" i="1"/>
  <c r="AD31" i="1"/>
  <c r="AE31" i="1" s="1"/>
  <c r="AF31" i="1" s="1"/>
  <c r="AG31" i="1" s="1"/>
  <c r="R31" i="1"/>
  <c r="AQ31" i="1" s="1"/>
  <c r="S31" i="1" l="1"/>
  <c r="H205" i="1"/>
  <c r="G8" i="1"/>
  <c r="S35" i="1"/>
  <c r="T35" i="1" s="1"/>
  <c r="U35" i="1" s="1"/>
  <c r="AQ35" i="1"/>
  <c r="X39" i="1"/>
  <c r="Y39" i="1" s="1"/>
  <c r="Z39" i="1" s="1"/>
  <c r="AA39" i="1" s="1"/>
  <c r="S122" i="1"/>
  <c r="T122" i="1" s="1"/>
  <c r="U122" i="1" s="1"/>
  <c r="AQ122" i="1"/>
  <c r="S33" i="1"/>
  <c r="AQ33" i="1"/>
  <c r="S34" i="1"/>
  <c r="AQ34" i="1"/>
  <c r="S107" i="1"/>
  <c r="T107" i="1" s="1"/>
  <c r="U107" i="1" s="1"/>
  <c r="AQ107" i="1"/>
  <c r="AQ36" i="1"/>
  <c r="AQ117" i="1"/>
  <c r="S37" i="1"/>
  <c r="AQ37" i="1"/>
  <c r="S38" i="1"/>
  <c r="AQ38" i="1"/>
  <c r="S39" i="1"/>
  <c r="AQ39" i="1"/>
  <c r="S40" i="1"/>
  <c r="AQ40" i="1"/>
  <c r="U90" i="1"/>
  <c r="AT90" i="1" s="1"/>
  <c r="AS90" i="1"/>
  <c r="U92" i="1"/>
  <c r="AT92" i="1" s="1"/>
  <c r="AS92" i="1"/>
  <c r="AH94" i="1"/>
  <c r="AS94" i="1"/>
  <c r="Z110" i="1"/>
  <c r="AX110" i="1"/>
  <c r="Z111" i="1"/>
  <c r="AX111" i="1"/>
  <c r="U121" i="1"/>
  <c r="AT121" i="1" s="1"/>
  <c r="AS121" i="1"/>
  <c r="U125" i="1"/>
  <c r="AT125" i="1" s="1"/>
  <c r="AS125" i="1"/>
  <c r="Z127" i="1"/>
  <c r="AX127" i="1"/>
  <c r="U136" i="1"/>
  <c r="AT136" i="1" s="1"/>
  <c r="AS136" i="1"/>
  <c r="Z148" i="1"/>
  <c r="AX148" i="1"/>
  <c r="U151" i="1"/>
  <c r="AT151" i="1" s="1"/>
  <c r="AS151" i="1"/>
  <c r="U153" i="1"/>
  <c r="AT153" i="1" s="1"/>
  <c r="AS153" i="1"/>
  <c r="U163" i="1"/>
  <c r="AT163" i="1" s="1"/>
  <c r="AS163" i="1"/>
  <c r="U165" i="1"/>
  <c r="AT165" i="1" s="1"/>
  <c r="AS165" i="1"/>
  <c r="U167" i="1"/>
  <c r="AT167" i="1" s="1"/>
  <c r="AS167" i="1"/>
  <c r="AI183" i="1"/>
  <c r="AU183" i="1"/>
  <c r="Z59" i="1"/>
  <c r="AX59" i="1"/>
  <c r="Z201" i="1"/>
  <c r="AX201" i="1"/>
  <c r="U115" i="1"/>
  <c r="AT115" i="1" s="1"/>
  <c r="AS115" i="1"/>
  <c r="BD115" i="1" s="1"/>
  <c r="D672" i="2" s="1"/>
  <c r="AQ45" i="1"/>
  <c r="U182" i="1"/>
  <c r="AS182" i="1"/>
  <c r="U189" i="1"/>
  <c r="AT189" i="1" s="1"/>
  <c r="AS189" i="1"/>
  <c r="AJ59" i="1"/>
  <c r="AW59" i="1" s="1"/>
  <c r="AV59" i="1"/>
  <c r="AJ72" i="1"/>
  <c r="AV72" i="1"/>
  <c r="AF178" i="1"/>
  <c r="AR178" i="1"/>
  <c r="AR63" i="1"/>
  <c r="T61" i="1"/>
  <c r="AR61" i="1"/>
  <c r="T47" i="1"/>
  <c r="AR47" i="1"/>
  <c r="T46" i="1"/>
  <c r="AR46" i="1"/>
  <c r="S32" i="1"/>
  <c r="AQ32" i="1"/>
  <c r="S108" i="1"/>
  <c r="AQ108" i="1"/>
  <c r="S112" i="1"/>
  <c r="T112" i="1" s="1"/>
  <c r="U112" i="1" s="1"/>
  <c r="AQ112" i="1"/>
  <c r="AI39" i="1"/>
  <c r="AV39" i="1" s="1"/>
  <c r="AU39" i="1"/>
  <c r="Y40" i="1"/>
  <c r="AW40" i="1"/>
  <c r="Z92" i="1"/>
  <c r="U109" i="1"/>
  <c r="AT109" i="1" s="1"/>
  <c r="AS109" i="1"/>
  <c r="U110" i="1"/>
  <c r="AT110" i="1" s="1"/>
  <c r="AS110" i="1"/>
  <c r="U111" i="1"/>
  <c r="AT111" i="1" s="1"/>
  <c r="AS111" i="1"/>
  <c r="U193" i="1"/>
  <c r="AT193" i="1" s="1"/>
  <c r="AS193" i="1"/>
  <c r="AJ68" i="1"/>
  <c r="AV68" i="1"/>
  <c r="AJ73" i="1"/>
  <c r="AV73" i="1"/>
  <c r="AI91" i="1"/>
  <c r="AU91" i="1"/>
  <c r="AJ92" i="1"/>
  <c r="AV92" i="1"/>
  <c r="AJ78" i="1"/>
  <c r="AV78" i="1"/>
  <c r="U68" i="1"/>
  <c r="AT68" i="1" s="1"/>
  <c r="AS68" i="1"/>
  <c r="Z68" i="1"/>
  <c r="Z77" i="1"/>
  <c r="AX77" i="1"/>
  <c r="U127" i="1"/>
  <c r="AT127" i="1" s="1"/>
  <c r="AS127" i="1"/>
  <c r="U128" i="1"/>
  <c r="AT128" i="1" s="1"/>
  <c r="AS128" i="1"/>
  <c r="U129" i="1"/>
  <c r="AT129" i="1" s="1"/>
  <c r="AS129" i="1"/>
  <c r="Z132" i="1"/>
  <c r="AX132" i="1"/>
  <c r="Z133" i="1"/>
  <c r="AX133" i="1"/>
  <c r="U72" i="1"/>
  <c r="AT72" i="1" s="1"/>
  <c r="AS72" i="1"/>
  <c r="U77" i="1"/>
  <c r="AT77" i="1" s="1"/>
  <c r="AS77" i="1"/>
  <c r="U85" i="1"/>
  <c r="AT85" i="1" s="1"/>
  <c r="AS85" i="1"/>
  <c r="U131" i="1"/>
  <c r="AT131" i="1" s="1"/>
  <c r="AS131" i="1"/>
  <c r="U132" i="1"/>
  <c r="AT132" i="1" s="1"/>
  <c r="AS132" i="1"/>
  <c r="U133" i="1"/>
  <c r="AT133" i="1" s="1"/>
  <c r="AS133" i="1"/>
  <c r="AK135" i="1"/>
  <c r="AX135" i="1" s="1"/>
  <c r="AW135" i="1"/>
  <c r="Z136" i="1"/>
  <c r="AX136" i="1"/>
  <c r="U148" i="1"/>
  <c r="AT148" i="1" s="1"/>
  <c r="AS148" i="1"/>
  <c r="Z151" i="1"/>
  <c r="AX151" i="1"/>
  <c r="U152" i="1"/>
  <c r="AS152" i="1"/>
  <c r="Z153" i="1"/>
  <c r="AX153" i="1"/>
  <c r="Z163" i="1"/>
  <c r="AX163" i="1"/>
  <c r="U164" i="1"/>
  <c r="AT164" i="1" s="1"/>
  <c r="AS164" i="1"/>
  <c r="T69" i="1"/>
  <c r="AR69" i="1"/>
  <c r="Z143" i="1"/>
  <c r="AX143" i="1"/>
  <c r="Z64" i="1"/>
  <c r="AV42" i="1"/>
  <c r="AG52" i="1"/>
  <c r="AT52" i="1" s="1"/>
  <c r="AG63" i="1"/>
  <c r="AH63" i="1" s="1"/>
  <c r="AU63" i="1" s="1"/>
  <c r="AX102" i="1"/>
  <c r="AV49" i="1"/>
  <c r="BD184" i="1"/>
  <c r="J1077" i="2" s="1"/>
  <c r="BD185" i="1"/>
  <c r="D1089" i="2" s="1"/>
  <c r="BD202" i="1"/>
  <c r="D1203" i="2" s="1"/>
  <c r="Y117" i="1"/>
  <c r="X108" i="1"/>
  <c r="T34" i="1"/>
  <c r="AR34" i="1"/>
  <c r="AF112" i="1"/>
  <c r="AR112" i="1"/>
  <c r="AI117" i="1"/>
  <c r="AJ117" i="1" s="1"/>
  <c r="AK117" i="1" s="1"/>
  <c r="AL117" i="1" s="1"/>
  <c r="AM117" i="1" s="1"/>
  <c r="AU117" i="1"/>
  <c r="AI38" i="1"/>
  <c r="AU38" i="1"/>
  <c r="Y38" i="1"/>
  <c r="T31" i="1"/>
  <c r="AR31" i="1"/>
  <c r="T32" i="1"/>
  <c r="AR32" i="1"/>
  <c r="T108" i="1"/>
  <c r="AR108" i="1"/>
  <c r="AI33" i="1"/>
  <c r="AU33" i="1"/>
  <c r="X34" i="1"/>
  <c r="AF35" i="1"/>
  <c r="AR35" i="1"/>
  <c r="AF107" i="1"/>
  <c r="AR107" i="1"/>
  <c r="T36" i="1"/>
  <c r="AR36" i="1"/>
  <c r="T117" i="1"/>
  <c r="AR117" i="1"/>
  <c r="T37" i="1"/>
  <c r="AR37" i="1"/>
  <c r="AI37" i="1"/>
  <c r="AJ37" i="1" s="1"/>
  <c r="AK37" i="1" s="1"/>
  <c r="AL37" i="1" s="1"/>
  <c r="AM37" i="1" s="1"/>
  <c r="AU37" i="1"/>
  <c r="T38" i="1"/>
  <c r="AR38" i="1"/>
  <c r="T39" i="1"/>
  <c r="AR39" i="1"/>
  <c r="T40" i="1"/>
  <c r="AR40" i="1"/>
  <c r="AI45" i="1"/>
  <c r="AU45" i="1"/>
  <c r="AI47" i="1"/>
  <c r="AU47" i="1"/>
  <c r="AH52" i="1"/>
  <c r="AI118" i="1"/>
  <c r="AJ118" i="1" s="1"/>
  <c r="AK118" i="1" s="1"/>
  <c r="AL118" i="1" s="1"/>
  <c r="AM118" i="1" s="1"/>
  <c r="AJ130" i="1"/>
  <c r="AV130" i="1"/>
  <c r="AI57" i="1"/>
  <c r="AJ57" i="1" s="1"/>
  <c r="AK57" i="1" s="1"/>
  <c r="AL57" i="1" s="1"/>
  <c r="AM57" i="1" s="1"/>
  <c r="AU57" i="1"/>
  <c r="AI80" i="1"/>
  <c r="AU80" i="1"/>
  <c r="AA189" i="1"/>
  <c r="AA67" i="1"/>
  <c r="AZ67" i="1" s="1"/>
  <c r="AY67" i="1"/>
  <c r="AA72" i="1"/>
  <c r="AA73" i="1"/>
  <c r="AA78" i="1"/>
  <c r="AA85" i="1"/>
  <c r="AZ85" i="1" s="1"/>
  <c r="AY85" i="1"/>
  <c r="AA102" i="1"/>
  <c r="AZ102" i="1" s="1"/>
  <c r="AY102" i="1"/>
  <c r="W105" i="1"/>
  <c r="AT105" i="1"/>
  <c r="AA109" i="1"/>
  <c r="AZ109" i="1" s="1"/>
  <c r="AY109" i="1"/>
  <c r="AA124" i="1"/>
  <c r="AK124" i="1"/>
  <c r="AW124" i="1"/>
  <c r="AA125" i="1"/>
  <c r="AZ125" i="1" s="1"/>
  <c r="AY125" i="1"/>
  <c r="W126" i="1"/>
  <c r="AT126" i="1"/>
  <c r="AA129" i="1"/>
  <c r="AZ129" i="1" s="1"/>
  <c r="AY129" i="1"/>
  <c r="W156" i="1"/>
  <c r="AT156" i="1"/>
  <c r="AA157" i="1"/>
  <c r="AZ157" i="1" s="1"/>
  <c r="AY157" i="1"/>
  <c r="AA164" i="1"/>
  <c r="AZ164" i="1" s="1"/>
  <c r="AY164" i="1"/>
  <c r="AA166" i="1"/>
  <c r="AZ166" i="1" s="1"/>
  <c r="AY166" i="1"/>
  <c r="U188" i="1"/>
  <c r="AT188" i="1" s="1"/>
  <c r="AS188" i="1"/>
  <c r="U186" i="1"/>
  <c r="AS186" i="1"/>
  <c r="U173" i="1"/>
  <c r="AT173" i="1" s="1"/>
  <c r="AS173" i="1"/>
  <c r="U161" i="1"/>
  <c r="AT161" i="1" s="1"/>
  <c r="AS161" i="1"/>
  <c r="U158" i="1"/>
  <c r="AS158" i="1"/>
  <c r="Z70" i="1"/>
  <c r="AH69" i="1"/>
  <c r="AW142" i="1"/>
  <c r="AV62" i="1"/>
  <c r="AV44" i="1"/>
  <c r="AI189" i="1"/>
  <c r="AU189" i="1"/>
  <c r="AA191" i="1"/>
  <c r="AZ191" i="1" s="1"/>
  <c r="AY191" i="1"/>
  <c r="AA192" i="1"/>
  <c r="AZ192" i="1" s="1"/>
  <c r="AY192" i="1"/>
  <c r="W197" i="1"/>
  <c r="AT197" i="1"/>
  <c r="Z198" i="1"/>
  <c r="AX198" i="1"/>
  <c r="AA190" i="1"/>
  <c r="AZ190" i="1" s="1"/>
  <c r="AY190" i="1"/>
  <c r="AA193" i="1"/>
  <c r="AZ193" i="1" s="1"/>
  <c r="AY193" i="1"/>
  <c r="AV188" i="1"/>
  <c r="AW114" i="1"/>
  <c r="AW75" i="1"/>
  <c r="AI61" i="1"/>
  <c r="AV61" i="1" s="1"/>
  <c r="AU61" i="1"/>
  <c r="Y56" i="1"/>
  <c r="AW56" i="1"/>
  <c r="U176" i="1"/>
  <c r="AS176" i="1"/>
  <c r="U174" i="1"/>
  <c r="AS174" i="1"/>
  <c r="AJ160" i="1"/>
  <c r="AV160" i="1"/>
  <c r="Z177" i="1"/>
  <c r="Z51" i="1"/>
  <c r="Z149" i="1"/>
  <c r="U49" i="1"/>
  <c r="AT49" i="1" s="1"/>
  <c r="AS49" i="1"/>
  <c r="Y87" i="1"/>
  <c r="AW87" i="1"/>
  <c r="AI46" i="1"/>
  <c r="AU46" i="1"/>
  <c r="U142" i="1"/>
  <c r="AT142" i="1" s="1"/>
  <c r="AS142" i="1"/>
  <c r="AG43" i="1"/>
  <c r="AS43" i="1"/>
  <c r="U41" i="1"/>
  <c r="AT41" i="1" s="1"/>
  <c r="AS41" i="1"/>
  <c r="AF122" i="1"/>
  <c r="AR122" i="1"/>
  <c r="T33" i="1"/>
  <c r="AR33" i="1"/>
  <c r="AV117" i="1"/>
  <c r="AI36" i="1"/>
  <c r="AJ36" i="1" s="1"/>
  <c r="AK36" i="1" s="1"/>
  <c r="AL36" i="1" s="1"/>
  <c r="AM36" i="1" s="1"/>
  <c r="AU36" i="1"/>
  <c r="X37" i="1"/>
  <c r="AV37" i="1"/>
  <c r="AI146" i="1"/>
  <c r="AU146" i="1"/>
  <c r="AI53" i="1"/>
  <c r="AJ53" i="1" s="1"/>
  <c r="AK53" i="1" s="1"/>
  <c r="AL53" i="1" s="1"/>
  <c r="AM53" i="1" s="1"/>
  <c r="AU53" i="1"/>
  <c r="AI88" i="1"/>
  <c r="AU88" i="1"/>
  <c r="AJ195" i="1"/>
  <c r="AV195" i="1"/>
  <c r="AA64" i="1"/>
  <c r="AZ64" i="1" s="1"/>
  <c r="AY64" i="1"/>
  <c r="AI172" i="1"/>
  <c r="AJ172" i="1" s="1"/>
  <c r="AK172" i="1" s="1"/>
  <c r="AL172" i="1" s="1"/>
  <c r="AM172" i="1" s="1"/>
  <c r="AU172" i="1"/>
  <c r="W199" i="1"/>
  <c r="AT199" i="1"/>
  <c r="AA58" i="1"/>
  <c r="AZ58" i="1" s="1"/>
  <c r="AY58" i="1"/>
  <c r="AA65" i="1"/>
  <c r="AZ65" i="1" s="1"/>
  <c r="AY65" i="1"/>
  <c r="AA66" i="1"/>
  <c r="AZ66" i="1" s="1"/>
  <c r="AY66" i="1"/>
  <c r="W71" i="1"/>
  <c r="AT71" i="1"/>
  <c r="AA76" i="1"/>
  <c r="AZ76" i="1" s="1"/>
  <c r="AY76" i="1"/>
  <c r="W79" i="1"/>
  <c r="AT79" i="1"/>
  <c r="AA90" i="1"/>
  <c r="AZ90" i="1" s="1"/>
  <c r="AY90" i="1"/>
  <c r="AA93" i="1"/>
  <c r="AZ93" i="1" s="1"/>
  <c r="AY93" i="1"/>
  <c r="W99" i="1"/>
  <c r="AT99" i="1"/>
  <c r="AA121" i="1"/>
  <c r="AZ121" i="1" s="1"/>
  <c r="AY121" i="1"/>
  <c r="AA128" i="1"/>
  <c r="AZ128" i="1" s="1"/>
  <c r="AY128" i="1"/>
  <c r="X139" i="1"/>
  <c r="AT139" i="1"/>
  <c r="AA140" i="1"/>
  <c r="AZ140" i="1" s="1"/>
  <c r="AY140" i="1"/>
  <c r="AA141" i="1"/>
  <c r="AZ141" i="1" s="1"/>
  <c r="AY141" i="1"/>
  <c r="AA147" i="1"/>
  <c r="AZ147" i="1" s="1"/>
  <c r="AY147" i="1"/>
  <c r="AA150" i="1"/>
  <c r="AZ150" i="1" s="1"/>
  <c r="AY150" i="1"/>
  <c r="AA154" i="1"/>
  <c r="AZ154" i="1" s="1"/>
  <c r="AY154" i="1"/>
  <c r="W159" i="1"/>
  <c r="AT159" i="1"/>
  <c r="AA165" i="1"/>
  <c r="AZ165" i="1" s="1"/>
  <c r="AY165" i="1"/>
  <c r="U166" i="1"/>
  <c r="AT166" i="1" s="1"/>
  <c r="AS166" i="1"/>
  <c r="AA167" i="1"/>
  <c r="AZ167" i="1" s="1"/>
  <c r="AY167" i="1"/>
  <c r="AA170" i="1"/>
  <c r="AZ170" i="1" s="1"/>
  <c r="AY170" i="1"/>
  <c r="W171" i="1"/>
  <c r="AT171" i="1"/>
  <c r="AA180" i="1"/>
  <c r="AZ180" i="1" s="1"/>
  <c r="AY180" i="1"/>
  <c r="AA181" i="1"/>
  <c r="AZ181" i="1" s="1"/>
  <c r="AY181" i="1"/>
  <c r="AA183" i="1"/>
  <c r="U81" i="1"/>
  <c r="AT81" i="1" s="1"/>
  <c r="AS81" i="1"/>
  <c r="Z80" i="1"/>
  <c r="Y63" i="1"/>
  <c r="U62" i="1"/>
  <c r="AT62" i="1" s="1"/>
  <c r="AS62" i="1"/>
  <c r="U57" i="1"/>
  <c r="AS57" i="1"/>
  <c r="U56" i="1"/>
  <c r="AT56" i="1" s="1"/>
  <c r="AS56" i="1"/>
  <c r="AA204" i="1"/>
  <c r="AZ204" i="1" s="1"/>
  <c r="AY204" i="1"/>
  <c r="AA203" i="1"/>
  <c r="AZ203" i="1" s="1"/>
  <c r="AY203" i="1"/>
  <c r="Z195" i="1"/>
  <c r="U195" i="1"/>
  <c r="AT195" i="1" s="1"/>
  <c r="AS195" i="1"/>
  <c r="AJ179" i="1"/>
  <c r="AV179" i="1"/>
  <c r="Z179" i="1"/>
  <c r="U179" i="1"/>
  <c r="AT179" i="1" s="1"/>
  <c r="AS179" i="1"/>
  <c r="U194" i="1"/>
  <c r="AS194" i="1"/>
  <c r="U130" i="1"/>
  <c r="AT130" i="1" s="1"/>
  <c r="AS130" i="1"/>
  <c r="Z120" i="1"/>
  <c r="AJ74" i="1"/>
  <c r="AV74" i="1"/>
  <c r="Z74" i="1"/>
  <c r="AX74" i="1"/>
  <c r="U118" i="1"/>
  <c r="AS118" i="1"/>
  <c r="U53" i="1"/>
  <c r="AS53" i="1"/>
  <c r="AJ116" i="1"/>
  <c r="AV116" i="1"/>
  <c r="Z116" i="1"/>
  <c r="U51" i="1"/>
  <c r="AT51" i="1" s="1"/>
  <c r="AS51" i="1"/>
  <c r="U149" i="1"/>
  <c r="AT149" i="1" s="1"/>
  <c r="AS149" i="1"/>
  <c r="U146" i="1"/>
  <c r="AT146" i="1" s="1"/>
  <c r="AS146" i="1"/>
  <c r="Y49" i="1"/>
  <c r="AW49" i="1"/>
  <c r="U87" i="1"/>
  <c r="AT87" i="1" s="1"/>
  <c r="AS87" i="1"/>
  <c r="Y48" i="1"/>
  <c r="AW48" i="1"/>
  <c r="Y47" i="1"/>
  <c r="AJ145" i="1"/>
  <c r="AV145" i="1"/>
  <c r="U55" i="1"/>
  <c r="AT55" i="1" s="1"/>
  <c r="AS55" i="1"/>
  <c r="U44" i="1"/>
  <c r="AT44" i="1" s="1"/>
  <c r="AS44" i="1"/>
  <c r="Z142" i="1"/>
  <c r="AX142" i="1"/>
  <c r="Y43" i="1"/>
  <c r="U42" i="1"/>
  <c r="AT42" i="1" s="1"/>
  <c r="AS42" i="1"/>
  <c r="Z41" i="1"/>
  <c r="U143" i="1"/>
  <c r="AT143" i="1" s="1"/>
  <c r="AS143" i="1"/>
  <c r="AL40" i="1"/>
  <c r="AV40" i="1"/>
  <c r="Y62" i="1"/>
  <c r="AW62" i="1"/>
  <c r="AG175" i="1"/>
  <c r="AS175" i="1"/>
  <c r="Z160" i="1"/>
  <c r="U160" i="1"/>
  <c r="AT160" i="1" s="1"/>
  <c r="AS160" i="1"/>
  <c r="AJ177" i="1"/>
  <c r="AV177" i="1"/>
  <c r="U177" i="1"/>
  <c r="AT177" i="1" s="1"/>
  <c r="AS177" i="1"/>
  <c r="AG120" i="1"/>
  <c r="AS120" i="1"/>
  <c r="U88" i="1"/>
  <c r="AS88" i="1"/>
  <c r="U74" i="1"/>
  <c r="AT74" i="1" s="1"/>
  <c r="AS74" i="1"/>
  <c r="U54" i="1"/>
  <c r="AS54" i="1"/>
  <c r="Z100" i="1"/>
  <c r="U100" i="1"/>
  <c r="AT100" i="1" s="1"/>
  <c r="AS100" i="1"/>
  <c r="AG123" i="1"/>
  <c r="AS123" i="1"/>
  <c r="U116" i="1"/>
  <c r="AT116" i="1" s="1"/>
  <c r="AS116" i="1"/>
  <c r="AJ51" i="1"/>
  <c r="AV51" i="1"/>
  <c r="U50" i="1"/>
  <c r="AS50" i="1"/>
  <c r="Y146" i="1"/>
  <c r="U48" i="1"/>
  <c r="AT48" i="1" s="1"/>
  <c r="AS48" i="1"/>
  <c r="U145" i="1"/>
  <c r="AT145" i="1" s="1"/>
  <c r="AS145" i="1"/>
  <c r="AJ55" i="1"/>
  <c r="AV55" i="1"/>
  <c r="U45" i="1"/>
  <c r="AT45" i="1" s="1"/>
  <c r="AS45" i="1"/>
  <c r="Y44" i="1"/>
  <c r="AW44" i="1"/>
  <c r="Y42" i="1"/>
  <c r="AW42" i="1"/>
  <c r="AJ41" i="1"/>
  <c r="AV41" i="1"/>
  <c r="U196" i="1"/>
  <c r="AS196" i="1"/>
  <c r="Y188" i="1"/>
  <c r="AW188" i="1"/>
  <c r="U187" i="1"/>
  <c r="AS187" i="1"/>
  <c r="Y173" i="1"/>
  <c r="AW173" i="1"/>
  <c r="U172" i="1"/>
  <c r="AS172" i="1"/>
  <c r="AM161" i="1"/>
  <c r="AZ161" i="1" s="1"/>
  <c r="AY161" i="1"/>
  <c r="Z138" i="1"/>
  <c r="AX138" i="1"/>
  <c r="U138" i="1"/>
  <c r="AT138" i="1" s="1"/>
  <c r="AS138" i="1"/>
  <c r="AJ137" i="1"/>
  <c r="AV137" i="1"/>
  <c r="Z137" i="1"/>
  <c r="Z114" i="1"/>
  <c r="AX114" i="1"/>
  <c r="U114" i="1"/>
  <c r="AT114" i="1" s="1"/>
  <c r="AS114" i="1"/>
  <c r="U95" i="1"/>
  <c r="AS95" i="1"/>
  <c r="AK81" i="1"/>
  <c r="AV81" i="1"/>
  <c r="U80" i="1"/>
  <c r="AT80" i="1" s="1"/>
  <c r="AS80" i="1"/>
  <c r="AI89" i="1"/>
  <c r="AU89" i="1"/>
  <c r="Z75" i="1"/>
  <c r="AX75" i="1"/>
  <c r="U75" i="1"/>
  <c r="AT75" i="1" s="1"/>
  <c r="AS75" i="1"/>
  <c r="U70" i="1"/>
  <c r="AT70" i="1" s="1"/>
  <c r="AS70" i="1"/>
  <c r="AJ149" i="1"/>
  <c r="AJ88" i="1"/>
  <c r="AK88" i="1" s="1"/>
  <c r="AL88" i="1" s="1"/>
  <c r="AM88" i="1" s="1"/>
  <c r="AK62" i="1"/>
  <c r="AL62" i="1" s="1"/>
  <c r="AM62" i="1" s="1"/>
  <c r="AH70" i="1"/>
  <c r="AF34" i="1"/>
  <c r="AG34" i="1" s="1"/>
  <c r="AH34" i="1" s="1"/>
  <c r="AI50" i="1"/>
  <c r="AJ50" i="1" s="1"/>
  <c r="AK50" i="1" s="1"/>
  <c r="AM50" i="1" s="1"/>
  <c r="AI100" i="1"/>
  <c r="AK173" i="1"/>
  <c r="AL173" i="1" s="1"/>
  <c r="AM173" i="1" s="1"/>
  <c r="AL71" i="1"/>
  <c r="AM71" i="1" s="1"/>
  <c r="AL133" i="1"/>
  <c r="AM133" i="1" s="1"/>
  <c r="AN133" i="1" s="1"/>
  <c r="BA133" i="1" s="1"/>
  <c r="AJ39" i="1"/>
  <c r="AI108" i="1"/>
  <c r="AJ108" i="1" s="1"/>
  <c r="AK108" i="1" s="1"/>
  <c r="AI32" i="1"/>
  <c r="AJ32" i="1" s="1"/>
  <c r="AK32" i="1" s="1"/>
  <c r="AH31" i="1"/>
  <c r="AD134" i="1"/>
  <c r="AE134" i="1" s="1"/>
  <c r="AF134" i="1" s="1"/>
  <c r="AG134" i="1" s="1"/>
  <c r="AH134" i="1" s="1"/>
  <c r="W134" i="1"/>
  <c r="X134" i="1" s="1"/>
  <c r="R134" i="1"/>
  <c r="AD30" i="1"/>
  <c r="AE30" i="1" s="1"/>
  <c r="AF30" i="1" s="1"/>
  <c r="AG30" i="1" s="1"/>
  <c r="AH30" i="1" s="1"/>
  <c r="W30" i="1"/>
  <c r="X30" i="1" s="1"/>
  <c r="W29" i="1"/>
  <c r="X29" i="1" s="1"/>
  <c r="R30" i="1"/>
  <c r="R29" i="1"/>
  <c r="AD101" i="1"/>
  <c r="AE101" i="1" s="1"/>
  <c r="AF101" i="1" s="1"/>
  <c r="AG101" i="1" s="1"/>
  <c r="AH101" i="1" s="1"/>
  <c r="W101" i="1"/>
  <c r="X101" i="1" s="1"/>
  <c r="R101" i="1"/>
  <c r="AD29" i="1"/>
  <c r="AE29" i="1" s="1"/>
  <c r="AF29" i="1" s="1"/>
  <c r="AG29" i="1" s="1"/>
  <c r="AD28" i="1"/>
  <c r="AE28" i="1" s="1"/>
  <c r="AF28" i="1" s="1"/>
  <c r="R28" i="1"/>
  <c r="AD27" i="1"/>
  <c r="AE27" i="1" s="1"/>
  <c r="AF27" i="1" s="1"/>
  <c r="AG27" i="1" s="1"/>
  <c r="AH27" i="1" s="1"/>
  <c r="AU27" i="1" s="1"/>
  <c r="R27" i="1"/>
  <c r="R26" i="1"/>
  <c r="S26" i="1" s="1"/>
  <c r="AD26" i="1"/>
  <c r="AE26" i="1" s="1"/>
  <c r="AF26" i="1" s="1"/>
  <c r="AG26" i="1" s="1"/>
  <c r="AH26" i="1" s="1"/>
  <c r="W26" i="1"/>
  <c r="X26" i="1" s="1"/>
  <c r="AD25" i="1"/>
  <c r="AE25" i="1" s="1"/>
  <c r="AF25" i="1" s="1"/>
  <c r="AG25" i="1" s="1"/>
  <c r="AH25" i="1" s="1"/>
  <c r="AU25" i="1" s="1"/>
  <c r="W25" i="1"/>
  <c r="X25" i="1" s="1"/>
  <c r="R25" i="1"/>
  <c r="AD82" i="1"/>
  <c r="AE82" i="1" s="1"/>
  <c r="AF82" i="1" s="1"/>
  <c r="AG82" i="1" s="1"/>
  <c r="AH82" i="1" s="1"/>
  <c r="W82" i="1"/>
  <c r="X82" i="1" s="1"/>
  <c r="R82" i="1"/>
  <c r="AD24" i="1"/>
  <c r="AE24" i="1" s="1"/>
  <c r="AF24" i="1" s="1"/>
  <c r="W24" i="1"/>
  <c r="X24" i="1" s="1"/>
  <c r="R24" i="1"/>
  <c r="AD23" i="1"/>
  <c r="AE23" i="1" s="1"/>
  <c r="AF23" i="1" s="1"/>
  <c r="AG23" i="1" s="1"/>
  <c r="AH23" i="1" s="1"/>
  <c r="AU23" i="1" s="1"/>
  <c r="R23" i="1"/>
  <c r="AD119" i="1"/>
  <c r="AE119" i="1" s="1"/>
  <c r="AF119" i="1" s="1"/>
  <c r="AG119" i="1" s="1"/>
  <c r="AH119" i="1" s="1"/>
  <c r="R119" i="1"/>
  <c r="AD22" i="1"/>
  <c r="AE22" i="1" s="1"/>
  <c r="AF22" i="1" s="1"/>
  <c r="AG22" i="1" s="1"/>
  <c r="AH22" i="1" s="1"/>
  <c r="R22" i="1"/>
  <c r="AD21" i="1"/>
  <c r="AE21" i="1" s="1"/>
  <c r="AF21" i="1" s="1"/>
  <c r="AG21" i="1" s="1"/>
  <c r="AH21" i="1" s="1"/>
  <c r="W21" i="1"/>
  <c r="X21" i="1" s="1"/>
  <c r="R21" i="1"/>
  <c r="AD20" i="1"/>
  <c r="AE20" i="1" s="1"/>
  <c r="AF20" i="1" s="1"/>
  <c r="AG20" i="1" s="1"/>
  <c r="AH20" i="1" s="1"/>
  <c r="W20" i="1"/>
  <c r="R20" i="1"/>
  <c r="AD19" i="1"/>
  <c r="AE19" i="1" s="1"/>
  <c r="AF19" i="1" s="1"/>
  <c r="W19" i="1"/>
  <c r="S19" i="1"/>
  <c r="R19" i="1"/>
  <c r="T18" i="1"/>
  <c r="AD17" i="1"/>
  <c r="AE17" i="1" s="1"/>
  <c r="AF17" i="1" s="1"/>
  <c r="R17" i="1"/>
  <c r="AD16" i="1"/>
  <c r="AE16" i="1" s="1"/>
  <c r="AF16" i="1" s="1"/>
  <c r="R16" i="1"/>
  <c r="AD155" i="1"/>
  <c r="AE155" i="1" s="1"/>
  <c r="AF155" i="1" s="1"/>
  <c r="AG155" i="1" s="1"/>
  <c r="AH155" i="1" s="1"/>
  <c r="R155" i="1"/>
  <c r="AD15" i="1"/>
  <c r="AE15" i="1" s="1"/>
  <c r="AF15" i="1" s="1"/>
  <c r="AG15" i="1" s="1"/>
  <c r="AH15" i="1" s="1"/>
  <c r="W15" i="1"/>
  <c r="R15" i="1"/>
  <c r="AD86" i="1"/>
  <c r="AE86" i="1" s="1"/>
  <c r="AF86" i="1" s="1"/>
  <c r="AG86" i="1" s="1"/>
  <c r="AH86" i="1" s="1"/>
  <c r="W86" i="1"/>
  <c r="R86" i="1"/>
  <c r="S86" i="1" s="1"/>
  <c r="AD14" i="1"/>
  <c r="AE14" i="1" s="1"/>
  <c r="AF14" i="1" s="1"/>
  <c r="AG14" i="1" s="1"/>
  <c r="R14" i="1"/>
  <c r="AD13" i="1"/>
  <c r="AE13" i="1" s="1"/>
  <c r="AF13" i="1" s="1"/>
  <c r="AG13" i="1" s="1"/>
  <c r="AH13" i="1" s="1"/>
  <c r="R13" i="1"/>
  <c r="AD98" i="1"/>
  <c r="AE98" i="1" s="1"/>
  <c r="AF98" i="1" s="1"/>
  <c r="AG98" i="1" s="1"/>
  <c r="AH98" i="1" s="1"/>
  <c r="R98" i="1"/>
  <c r="AD12" i="1"/>
  <c r="AE12" i="1" s="1"/>
  <c r="AF12" i="1" s="1"/>
  <c r="W12" i="1"/>
  <c r="R12" i="1"/>
  <c r="AD11" i="1"/>
  <c r="AE11" i="1" s="1"/>
  <c r="AF11" i="1" s="1"/>
  <c r="AG11" i="1" s="1"/>
  <c r="AH11" i="1" s="1"/>
  <c r="AU11" i="1" s="1"/>
  <c r="X11" i="1"/>
  <c r="Y11" i="1" s="1"/>
  <c r="R11" i="1"/>
  <c r="AD84" i="1"/>
  <c r="AE84" i="1" s="1"/>
  <c r="AF84" i="1" s="1"/>
  <c r="AG84" i="1" s="1"/>
  <c r="AH84" i="1" s="1"/>
  <c r="X84" i="1"/>
  <c r="Y84" i="1" s="1"/>
  <c r="R84" i="1"/>
  <c r="AQ84" i="1" s="1"/>
  <c r="AD10" i="1"/>
  <c r="AE10" i="1" s="1"/>
  <c r="AF10" i="1" s="1"/>
  <c r="AG10" i="1" s="1"/>
  <c r="X10" i="1"/>
  <c r="Y10" i="1" s="1"/>
  <c r="R10" i="1"/>
  <c r="AQ10" i="1" s="1"/>
  <c r="AO9" i="1"/>
  <c r="BU9" i="1" s="1"/>
  <c r="AI9" i="1"/>
  <c r="AD9" i="1"/>
  <c r="W9" i="1"/>
  <c r="X9" i="1" s="1"/>
  <c r="R9" i="1"/>
  <c r="AQ98" i="1" l="1"/>
  <c r="AQ13" i="1"/>
  <c r="S98" i="1"/>
  <c r="S13" i="1"/>
  <c r="AQ30" i="1"/>
  <c r="G205" i="1"/>
  <c r="F8" i="1"/>
  <c r="AQ9" i="1"/>
  <c r="AE9" i="1"/>
  <c r="BD135" i="1"/>
  <c r="D786" i="2" s="1"/>
  <c r="S11" i="1"/>
  <c r="AQ11" i="1"/>
  <c r="S12" i="1"/>
  <c r="AQ12" i="1"/>
  <c r="S16" i="1"/>
  <c r="AQ16" i="1"/>
  <c r="S9" i="1"/>
  <c r="S10" i="1"/>
  <c r="S84" i="1"/>
  <c r="S14" i="1"/>
  <c r="AQ14" i="1"/>
  <c r="AQ86" i="1"/>
  <c r="S15" i="1"/>
  <c r="AQ15" i="1"/>
  <c r="AQ19" i="1"/>
  <c r="S20" i="1"/>
  <c r="AQ20" i="1"/>
  <c r="S22" i="1"/>
  <c r="AQ22" i="1"/>
  <c r="S119" i="1"/>
  <c r="AQ119" i="1"/>
  <c r="S23" i="1"/>
  <c r="AQ23" i="1"/>
  <c r="S24" i="1"/>
  <c r="AQ24" i="1"/>
  <c r="S27" i="1"/>
  <c r="AQ27" i="1"/>
  <c r="S28" i="1"/>
  <c r="AQ28" i="1"/>
  <c r="S29" i="1"/>
  <c r="AQ29" i="1"/>
  <c r="S30" i="1"/>
  <c r="S134" i="1"/>
  <c r="AQ134" i="1"/>
  <c r="BD131" i="1"/>
  <c r="D762" i="2" s="1"/>
  <c r="AA133" i="1"/>
  <c r="AZ133" i="1" s="1"/>
  <c r="AY133" i="1"/>
  <c r="AA132" i="1"/>
  <c r="AZ132" i="1" s="1"/>
  <c r="AY132" i="1"/>
  <c r="AA77" i="1"/>
  <c r="AZ77" i="1" s="1"/>
  <c r="AY77" i="1"/>
  <c r="AA68" i="1"/>
  <c r="AK78" i="1"/>
  <c r="AW78" i="1"/>
  <c r="AK92" i="1"/>
  <c r="AW92" i="1"/>
  <c r="AJ91" i="1"/>
  <c r="AV91" i="1"/>
  <c r="AK73" i="1"/>
  <c r="AW73" i="1"/>
  <c r="AK68" i="1"/>
  <c r="AW68" i="1"/>
  <c r="AA92" i="1"/>
  <c r="AS178" i="1"/>
  <c r="AG178" i="1"/>
  <c r="AK72" i="1"/>
  <c r="AW72" i="1"/>
  <c r="W182" i="1"/>
  <c r="AT182" i="1"/>
  <c r="AA201" i="1"/>
  <c r="AZ201" i="1" s="1"/>
  <c r="AY201" i="1"/>
  <c r="AA59" i="1"/>
  <c r="AZ59" i="1" s="1"/>
  <c r="AY59" i="1"/>
  <c r="AJ183" i="1"/>
  <c r="AV183" i="1"/>
  <c r="AA148" i="1"/>
  <c r="AZ148" i="1" s="1"/>
  <c r="AY148" i="1"/>
  <c r="AA127" i="1"/>
  <c r="AZ127" i="1" s="1"/>
  <c r="AY127" i="1"/>
  <c r="AA111" i="1"/>
  <c r="AZ111" i="1" s="1"/>
  <c r="AY111" i="1"/>
  <c r="AA110" i="1"/>
  <c r="AZ110" i="1" s="1"/>
  <c r="AY110" i="1"/>
  <c r="AI94" i="1"/>
  <c r="AU94" i="1"/>
  <c r="S155" i="1"/>
  <c r="AQ155" i="1"/>
  <c r="S17" i="1"/>
  <c r="AQ17" i="1"/>
  <c r="S21" i="1"/>
  <c r="AQ21" i="1"/>
  <c r="S82" i="1"/>
  <c r="AQ82" i="1"/>
  <c r="S25" i="1"/>
  <c r="AQ25" i="1"/>
  <c r="AQ26" i="1"/>
  <c r="S101" i="1"/>
  <c r="AR101" i="1" s="1"/>
  <c r="AQ101" i="1"/>
  <c r="AA143" i="1"/>
  <c r="AZ143" i="1" s="1"/>
  <c r="AY143" i="1"/>
  <c r="U69" i="1"/>
  <c r="AT69" i="1" s="1"/>
  <c r="AS69" i="1"/>
  <c r="AA163" i="1"/>
  <c r="AZ163" i="1" s="1"/>
  <c r="AY163" i="1"/>
  <c r="AA153" i="1"/>
  <c r="AZ153" i="1" s="1"/>
  <c r="AY153" i="1"/>
  <c r="W152" i="1"/>
  <c r="AT152" i="1"/>
  <c r="AA151" i="1"/>
  <c r="AZ151" i="1" s="1"/>
  <c r="AY151" i="1"/>
  <c r="AA136" i="1"/>
  <c r="AZ136" i="1" s="1"/>
  <c r="AY136" i="1"/>
  <c r="Z40" i="1"/>
  <c r="AA40" i="1" s="1"/>
  <c r="AZ40" i="1" s="1"/>
  <c r="AX40" i="1"/>
  <c r="U46" i="1"/>
  <c r="AT46" i="1" s="1"/>
  <c r="AS46" i="1"/>
  <c r="U47" i="1"/>
  <c r="AT47" i="1" s="1"/>
  <c r="AS47" i="1"/>
  <c r="U61" i="1"/>
  <c r="AT61" i="1" s="1"/>
  <c r="AS61" i="1"/>
  <c r="AI63" i="1"/>
  <c r="AV63" i="1" s="1"/>
  <c r="AT63" i="1"/>
  <c r="BD161" i="1"/>
  <c r="D951" i="2" s="1"/>
  <c r="BD203" i="1"/>
  <c r="J1203" i="2" s="1"/>
  <c r="BD204" i="1"/>
  <c r="D1227" i="2" s="1"/>
  <c r="BD180" i="1"/>
  <c r="J1050" i="2" s="1"/>
  <c r="BD167" i="1"/>
  <c r="D987" i="2" s="1"/>
  <c r="BD140" i="1"/>
  <c r="J810" i="2" s="1"/>
  <c r="BD58" i="1"/>
  <c r="D321" i="2" s="1"/>
  <c r="BD193" i="1"/>
  <c r="D1140" i="2" s="1"/>
  <c r="BD190" i="1"/>
  <c r="J1113" i="2" s="1"/>
  <c r="BD192" i="1"/>
  <c r="J1125" i="2" s="1"/>
  <c r="BD191" i="1"/>
  <c r="D1125" i="2" s="1"/>
  <c r="BD164" i="1"/>
  <c r="J963" i="2" s="1"/>
  <c r="BD129" i="1"/>
  <c r="J747" i="2" s="1"/>
  <c r="BD181" i="1"/>
  <c r="D1062" i="2" s="1"/>
  <c r="BD170" i="1"/>
  <c r="D999" i="2" s="1"/>
  <c r="BD166" i="1"/>
  <c r="J975" i="2" s="1"/>
  <c r="BD165" i="1"/>
  <c r="D975" i="2" s="1"/>
  <c r="BD154" i="1"/>
  <c r="J900" i="2" s="1"/>
  <c r="BD150" i="1"/>
  <c r="J873" i="2" s="1"/>
  <c r="BD147" i="1"/>
  <c r="D861" i="2" s="1"/>
  <c r="BD141" i="1"/>
  <c r="D825" i="2" s="1"/>
  <c r="BD128" i="1"/>
  <c r="D747" i="2" s="1"/>
  <c r="BD121" i="1"/>
  <c r="J699" i="2" s="1"/>
  <c r="BD93" i="1"/>
  <c r="J534" i="2" s="1"/>
  <c r="BD90" i="1"/>
  <c r="D522" i="2" s="1"/>
  <c r="BD76" i="1"/>
  <c r="D432" i="2" s="1"/>
  <c r="BD66" i="1"/>
  <c r="D369" i="2" s="1"/>
  <c r="BD65" i="1"/>
  <c r="J357" i="2" s="1"/>
  <c r="BD64" i="1"/>
  <c r="D357" i="2" s="1"/>
  <c r="BD157" i="1"/>
  <c r="D924" i="2" s="1"/>
  <c r="BD125" i="1"/>
  <c r="J723" i="2" s="1"/>
  <c r="BD109" i="1"/>
  <c r="D636" i="2" s="1"/>
  <c r="BD102" i="1"/>
  <c r="D597" i="2" s="1"/>
  <c r="BD85" i="1"/>
  <c r="J483" i="2" s="1"/>
  <c r="BD67" i="1"/>
  <c r="J369" i="2" s="1"/>
  <c r="AI34" i="1"/>
  <c r="AU34" i="1"/>
  <c r="AJ9" i="1"/>
  <c r="AK9" i="1" s="1"/>
  <c r="AL9" i="1" s="1"/>
  <c r="AM9" i="1" s="1"/>
  <c r="AV9" i="1"/>
  <c r="Z11" i="1"/>
  <c r="X12" i="1"/>
  <c r="T14" i="1"/>
  <c r="AR14" i="1"/>
  <c r="AI86" i="1"/>
  <c r="AJ86" i="1" s="1"/>
  <c r="AK86" i="1" s="1"/>
  <c r="AL86" i="1" s="1"/>
  <c r="AM86" i="1" s="1"/>
  <c r="AU86" i="1"/>
  <c r="X15" i="1"/>
  <c r="T155" i="1"/>
  <c r="AR155" i="1"/>
  <c r="T16" i="1"/>
  <c r="AR16" i="1"/>
  <c r="T17" i="1"/>
  <c r="AR17" i="1"/>
  <c r="T21" i="1"/>
  <c r="AR21" i="1"/>
  <c r="AI21" i="1"/>
  <c r="AU21" i="1"/>
  <c r="AI22" i="1"/>
  <c r="AJ22" i="1" s="1"/>
  <c r="AK22" i="1" s="1"/>
  <c r="AL22" i="1" s="1"/>
  <c r="AM22" i="1" s="1"/>
  <c r="AU22" i="1"/>
  <c r="AI119" i="1"/>
  <c r="AJ119" i="1" s="1"/>
  <c r="AK119" i="1" s="1"/>
  <c r="AL119" i="1" s="1"/>
  <c r="AM119" i="1" s="1"/>
  <c r="AU119" i="1"/>
  <c r="Y24" i="1"/>
  <c r="T82" i="1"/>
  <c r="AR82" i="1"/>
  <c r="T25" i="1"/>
  <c r="AR25" i="1"/>
  <c r="T101" i="1"/>
  <c r="AI101" i="1"/>
  <c r="AU101" i="1"/>
  <c r="AI30" i="1"/>
  <c r="AU30" i="1"/>
  <c r="Y134" i="1"/>
  <c r="AI31" i="1"/>
  <c r="AJ31" i="1" s="1"/>
  <c r="AK31" i="1" s="1"/>
  <c r="AL31" i="1" s="1"/>
  <c r="AM31" i="1" s="1"/>
  <c r="AU31" i="1"/>
  <c r="AK39" i="1"/>
  <c r="AW39" i="1"/>
  <c r="AJ100" i="1"/>
  <c r="AV100" i="1"/>
  <c r="AA75" i="1"/>
  <c r="AZ75" i="1" s="1"/>
  <c r="AY75" i="1"/>
  <c r="AJ89" i="1"/>
  <c r="AV89" i="1"/>
  <c r="AL81" i="1"/>
  <c r="AX81" i="1"/>
  <c r="X95" i="1"/>
  <c r="AT95" i="1"/>
  <c r="AA114" i="1"/>
  <c r="AZ114" i="1" s="1"/>
  <c r="AY114" i="1"/>
  <c r="AA137" i="1"/>
  <c r="AK137" i="1"/>
  <c r="AW137" i="1"/>
  <c r="AA138" i="1"/>
  <c r="AZ138" i="1" s="1"/>
  <c r="AY138" i="1"/>
  <c r="W172" i="1"/>
  <c r="AT172" i="1"/>
  <c r="Z173" i="1"/>
  <c r="AX173" i="1"/>
  <c r="W187" i="1"/>
  <c r="AT187" i="1"/>
  <c r="Z188" i="1"/>
  <c r="AX188" i="1"/>
  <c r="W196" i="1"/>
  <c r="AT196" i="1"/>
  <c r="Z63" i="1"/>
  <c r="X171" i="1"/>
  <c r="AV171" i="1"/>
  <c r="X159" i="1"/>
  <c r="AV159" i="1"/>
  <c r="Y139" i="1"/>
  <c r="AW139" i="1"/>
  <c r="X99" i="1"/>
  <c r="AV99" i="1"/>
  <c r="X79" i="1"/>
  <c r="AV79" i="1"/>
  <c r="X71" i="1"/>
  <c r="AV71" i="1"/>
  <c r="X199" i="1"/>
  <c r="AV199" i="1"/>
  <c r="U33" i="1"/>
  <c r="AS33" i="1"/>
  <c r="AG122" i="1"/>
  <c r="AS122" i="1"/>
  <c r="AH43" i="1"/>
  <c r="AT43" i="1"/>
  <c r="AJ46" i="1"/>
  <c r="AV46" i="1"/>
  <c r="Z87" i="1"/>
  <c r="AX87" i="1"/>
  <c r="AA149" i="1"/>
  <c r="AA51" i="1"/>
  <c r="AA177" i="1"/>
  <c r="AK160" i="1"/>
  <c r="AW160" i="1"/>
  <c r="W174" i="1"/>
  <c r="AT174" i="1"/>
  <c r="W176" i="1"/>
  <c r="AT176" i="1"/>
  <c r="Z56" i="1"/>
  <c r="AX56" i="1"/>
  <c r="W158" i="1"/>
  <c r="AT158" i="1"/>
  <c r="W186" i="1"/>
  <c r="AT186" i="1"/>
  <c r="X156" i="1"/>
  <c r="AV156" i="1"/>
  <c r="X126" i="1"/>
  <c r="AV126" i="1"/>
  <c r="AL124" i="1"/>
  <c r="AX124" i="1"/>
  <c r="X105" i="1"/>
  <c r="AV105" i="1"/>
  <c r="AJ80" i="1"/>
  <c r="AV80" i="1"/>
  <c r="AJ63" i="1"/>
  <c r="AK130" i="1"/>
  <c r="AW130" i="1"/>
  <c r="AV108" i="1"/>
  <c r="AW117" i="1"/>
  <c r="T11" i="1"/>
  <c r="AR11" i="1"/>
  <c r="T19" i="1"/>
  <c r="AS19" i="1" s="1"/>
  <c r="AR19" i="1"/>
  <c r="X20" i="1"/>
  <c r="T9" i="1"/>
  <c r="AR9" i="1"/>
  <c r="Y9" i="1"/>
  <c r="AW9" i="1"/>
  <c r="T10" i="1"/>
  <c r="AR10" i="1"/>
  <c r="Z10" i="1"/>
  <c r="T84" i="1"/>
  <c r="AR84" i="1"/>
  <c r="Z84" i="1"/>
  <c r="AI84" i="1"/>
  <c r="AU84" i="1"/>
  <c r="T12" i="1"/>
  <c r="AR12" i="1"/>
  <c r="T98" i="1"/>
  <c r="AR98" i="1"/>
  <c r="AI98" i="1"/>
  <c r="AJ98" i="1" s="1"/>
  <c r="AK98" i="1" s="1"/>
  <c r="AL98" i="1" s="1"/>
  <c r="AM98" i="1" s="1"/>
  <c r="AU98" i="1"/>
  <c r="T13" i="1"/>
  <c r="AR13" i="1"/>
  <c r="AI13" i="1"/>
  <c r="AJ13" i="1" s="1"/>
  <c r="AU13" i="1"/>
  <c r="T86" i="1"/>
  <c r="AR86" i="1"/>
  <c r="X86" i="1"/>
  <c r="T15" i="1"/>
  <c r="AR15" i="1"/>
  <c r="AI15" i="1"/>
  <c r="AJ15" i="1" s="1"/>
  <c r="AK15" i="1" s="1"/>
  <c r="AL15" i="1" s="1"/>
  <c r="AM15" i="1" s="1"/>
  <c r="AU15" i="1"/>
  <c r="AI155" i="1"/>
  <c r="AJ155" i="1" s="1"/>
  <c r="AK155" i="1" s="1"/>
  <c r="AL155" i="1" s="1"/>
  <c r="AM155" i="1" s="1"/>
  <c r="AU155" i="1"/>
  <c r="U18" i="1"/>
  <c r="AT18" i="1" s="1"/>
  <c r="AS18" i="1"/>
  <c r="T20" i="1"/>
  <c r="AR20" i="1"/>
  <c r="AI20" i="1"/>
  <c r="AJ20" i="1" s="1"/>
  <c r="AK20" i="1" s="1"/>
  <c r="AL20" i="1" s="1"/>
  <c r="AM20" i="1" s="1"/>
  <c r="AU20" i="1"/>
  <c r="Y21" i="1"/>
  <c r="T22" i="1"/>
  <c r="AR22" i="1"/>
  <c r="T119" i="1"/>
  <c r="AR119" i="1"/>
  <c r="T23" i="1"/>
  <c r="AR23" i="1"/>
  <c r="T24" i="1"/>
  <c r="AR24" i="1"/>
  <c r="Y82" i="1"/>
  <c r="AI82" i="1"/>
  <c r="AU82" i="1"/>
  <c r="Y25" i="1"/>
  <c r="T26" i="1"/>
  <c r="AR26" i="1"/>
  <c r="Y26" i="1"/>
  <c r="AI26" i="1"/>
  <c r="AU26" i="1"/>
  <c r="T27" i="1"/>
  <c r="AR27" i="1"/>
  <c r="T28" i="1"/>
  <c r="AR28" i="1"/>
  <c r="Y29" i="1"/>
  <c r="Y101" i="1"/>
  <c r="T29" i="1"/>
  <c r="AR29" i="1"/>
  <c r="T30" i="1"/>
  <c r="AR30" i="1"/>
  <c r="Y30" i="1"/>
  <c r="T134" i="1"/>
  <c r="AR134" i="1"/>
  <c r="AI134" i="1"/>
  <c r="AU134" i="1"/>
  <c r="AI70" i="1"/>
  <c r="AU70" i="1"/>
  <c r="AK149" i="1"/>
  <c r="AW149" i="1"/>
  <c r="AK41" i="1"/>
  <c r="AW41" i="1"/>
  <c r="Z42" i="1"/>
  <c r="AX42" i="1"/>
  <c r="Z44" i="1"/>
  <c r="AX44" i="1"/>
  <c r="AK55" i="1"/>
  <c r="AW55" i="1"/>
  <c r="Z146" i="1"/>
  <c r="AX146" i="1"/>
  <c r="W50" i="1"/>
  <c r="AT50" i="1"/>
  <c r="AK51" i="1"/>
  <c r="AW51" i="1"/>
  <c r="AH123" i="1"/>
  <c r="AT123" i="1"/>
  <c r="AA100" i="1"/>
  <c r="W54" i="1"/>
  <c r="AT54" i="1"/>
  <c r="W88" i="1"/>
  <c r="AT88" i="1"/>
  <c r="AI120" i="1"/>
  <c r="AT120" i="1"/>
  <c r="AK177" i="1"/>
  <c r="AW177" i="1"/>
  <c r="AA160" i="1"/>
  <c r="AH175" i="1"/>
  <c r="AT175" i="1"/>
  <c r="Z62" i="1"/>
  <c r="AX62" i="1"/>
  <c r="AA41" i="1"/>
  <c r="Z43" i="1"/>
  <c r="AA142" i="1"/>
  <c r="AZ142" i="1" s="1"/>
  <c r="AY142" i="1"/>
  <c r="AK145" i="1"/>
  <c r="AW145" i="1"/>
  <c r="Z47" i="1"/>
  <c r="Z48" i="1"/>
  <c r="AX48" i="1"/>
  <c r="Z49" i="1"/>
  <c r="AX49" i="1"/>
  <c r="AA116" i="1"/>
  <c r="AK116" i="1"/>
  <c r="AW116" i="1"/>
  <c r="W53" i="1"/>
  <c r="AT53" i="1"/>
  <c r="W118" i="1"/>
  <c r="AT118" i="1"/>
  <c r="AA74" i="1"/>
  <c r="AL74" i="1"/>
  <c r="AM74" i="1" s="1"/>
  <c r="AW74" i="1"/>
  <c r="AA120" i="1"/>
  <c r="W194" i="1"/>
  <c r="AT194" i="1"/>
  <c r="AA179" i="1"/>
  <c r="AK179" i="1"/>
  <c r="AW179" i="1"/>
  <c r="AA195" i="1"/>
  <c r="W57" i="1"/>
  <c r="AT57" i="1"/>
  <c r="AA80" i="1"/>
  <c r="AK195" i="1"/>
  <c r="AW195" i="1"/>
  <c r="AJ146" i="1"/>
  <c r="AW146" i="1" s="1"/>
  <c r="AV146" i="1"/>
  <c r="Y37" i="1"/>
  <c r="AW37" i="1"/>
  <c r="AA198" i="1"/>
  <c r="AZ198" i="1" s="1"/>
  <c r="AY198" i="1"/>
  <c r="AV197" i="1"/>
  <c r="X197" i="1"/>
  <c r="AJ189" i="1"/>
  <c r="AV189" i="1"/>
  <c r="AI69" i="1"/>
  <c r="AU69" i="1"/>
  <c r="AA70" i="1"/>
  <c r="AI52" i="1"/>
  <c r="AU52" i="1"/>
  <c r="AJ47" i="1"/>
  <c r="AV47" i="1"/>
  <c r="AJ45" i="1"/>
  <c r="AV45" i="1"/>
  <c r="U40" i="1"/>
  <c r="AT40" i="1" s="1"/>
  <c r="AS40" i="1"/>
  <c r="U39" i="1"/>
  <c r="AT39" i="1" s="1"/>
  <c r="AS39" i="1"/>
  <c r="U38" i="1"/>
  <c r="AT38" i="1" s="1"/>
  <c r="AS38" i="1"/>
  <c r="U37" i="1"/>
  <c r="AT37" i="1" s="1"/>
  <c r="AS37" i="1"/>
  <c r="U117" i="1"/>
  <c r="AT117" i="1" s="1"/>
  <c r="AS117" i="1"/>
  <c r="U36" i="1"/>
  <c r="AS36" i="1"/>
  <c r="AG107" i="1"/>
  <c r="AS107" i="1"/>
  <c r="AG35" i="1"/>
  <c r="AS35" i="1"/>
  <c r="Y34" i="1"/>
  <c r="AJ33" i="1"/>
  <c r="AK33" i="1" s="1"/>
  <c r="AL33" i="1" s="1"/>
  <c r="AM33" i="1" s="1"/>
  <c r="AV33" i="1"/>
  <c r="U108" i="1"/>
  <c r="AT108" i="1" s="1"/>
  <c r="AS108" i="1"/>
  <c r="U32" i="1"/>
  <c r="AS32" i="1"/>
  <c r="U31" i="1"/>
  <c r="AS31" i="1"/>
  <c r="Z38" i="1"/>
  <c r="AJ38" i="1"/>
  <c r="AV38" i="1"/>
  <c r="AG112" i="1"/>
  <c r="AS112" i="1"/>
  <c r="U34" i="1"/>
  <c r="AT34" i="1" s="1"/>
  <c r="AS34" i="1"/>
  <c r="Y108" i="1"/>
  <c r="AW108" i="1"/>
  <c r="Z117" i="1"/>
  <c r="AX117" i="1"/>
  <c r="AL32" i="1"/>
  <c r="AM32" i="1" s="1"/>
  <c r="AL108" i="1"/>
  <c r="AM108" i="1" s="1"/>
  <c r="AH29" i="1"/>
  <c r="AG28" i="1"/>
  <c r="AI27" i="1"/>
  <c r="AI25" i="1"/>
  <c r="AG24" i="1"/>
  <c r="AH24" i="1" s="1"/>
  <c r="AI23" i="1"/>
  <c r="AG19" i="1"/>
  <c r="X19" i="1"/>
  <c r="AJ18" i="1"/>
  <c r="AG17" i="1"/>
  <c r="AH17" i="1" s="1"/>
  <c r="AG16" i="1"/>
  <c r="AH14" i="1"/>
  <c r="AK13" i="1"/>
  <c r="AL13" i="1" s="1"/>
  <c r="AM13" i="1" s="1"/>
  <c r="AG12" i="1"/>
  <c r="AH12" i="1" s="1"/>
  <c r="AI11" i="1"/>
  <c r="AH10" i="1"/>
  <c r="BD61" i="1" l="1"/>
  <c r="J333" i="2" s="1"/>
  <c r="BD136" i="1"/>
  <c r="J786" i="2" s="1"/>
  <c r="BD151" i="1"/>
  <c r="D888" i="2" s="1"/>
  <c r="BD153" i="1"/>
  <c r="D900" i="2" s="1"/>
  <c r="BD163" i="1"/>
  <c r="D963" i="2" s="1"/>
  <c r="BD143" i="1"/>
  <c r="D837" i="2" s="1"/>
  <c r="BD148" i="1"/>
  <c r="J861" i="2" s="1"/>
  <c r="BD77" i="1"/>
  <c r="J432" i="2" s="1"/>
  <c r="BD132" i="1"/>
  <c r="J762" i="2" s="1"/>
  <c r="F205" i="1"/>
  <c r="E8" i="1"/>
  <c r="E205" i="1" s="1"/>
  <c r="BD201" i="1"/>
  <c r="J1188" i="2" s="1"/>
  <c r="AF9" i="1"/>
  <c r="BD110" i="1"/>
  <c r="J636" i="2" s="1"/>
  <c r="BD111" i="1"/>
  <c r="D648" i="2" s="1"/>
  <c r="BD127" i="1"/>
  <c r="J735" i="2" s="1"/>
  <c r="BD133" i="1"/>
  <c r="D774" i="2" s="1"/>
  <c r="X152" i="1"/>
  <c r="AV152" i="1"/>
  <c r="AY40" i="1"/>
  <c r="BD59" i="1"/>
  <c r="J321" i="2" s="1"/>
  <c r="AT178" i="1"/>
  <c r="AH178" i="1"/>
  <c r="AJ94" i="1"/>
  <c r="AV94" i="1"/>
  <c r="AL183" i="1"/>
  <c r="AW183" i="1"/>
  <c r="X182" i="1"/>
  <c r="AV182" i="1"/>
  <c r="AL72" i="1"/>
  <c r="AX72" i="1"/>
  <c r="AL68" i="1"/>
  <c r="AX68" i="1"/>
  <c r="AX73" i="1"/>
  <c r="AL73" i="1"/>
  <c r="AK91" i="1"/>
  <c r="AW91" i="1"/>
  <c r="AL92" i="1"/>
  <c r="AX92" i="1"/>
  <c r="AL78" i="1"/>
  <c r="AX78" i="1"/>
  <c r="BD40" i="1"/>
  <c r="D207" i="2" s="1"/>
  <c r="U19" i="1"/>
  <c r="AT19" i="1" s="1"/>
  <c r="BD114" i="1"/>
  <c r="J660" i="2" s="1"/>
  <c r="BD198" i="1"/>
  <c r="D1176" i="2" s="1"/>
  <c r="AY74" i="1"/>
  <c r="BD142" i="1"/>
  <c r="J825" i="2" s="1"/>
  <c r="BD138" i="1"/>
  <c r="J798" i="2" s="1"/>
  <c r="BD75" i="1"/>
  <c r="J420" i="2" s="1"/>
  <c r="AK18" i="1"/>
  <c r="AW18" i="1"/>
  <c r="AI29" i="1"/>
  <c r="AU29" i="1"/>
  <c r="AI10" i="1"/>
  <c r="AU10" i="1"/>
  <c r="AI12" i="1"/>
  <c r="AU12" i="1"/>
  <c r="AI14" i="1"/>
  <c r="AJ14" i="1" s="1"/>
  <c r="AK14" i="1" s="1"/>
  <c r="AL14" i="1" s="1"/>
  <c r="AM14" i="1" s="1"/>
  <c r="AU14" i="1"/>
  <c r="AI17" i="1"/>
  <c r="AJ17" i="1" s="1"/>
  <c r="AK17" i="1" s="1"/>
  <c r="AL17" i="1" s="1"/>
  <c r="AM17" i="1" s="1"/>
  <c r="AU17" i="1"/>
  <c r="AI24" i="1"/>
  <c r="AU24" i="1"/>
  <c r="AJ25" i="1"/>
  <c r="AV25" i="1"/>
  <c r="AA117" i="1"/>
  <c r="AZ117" i="1" s="1"/>
  <c r="AY117" i="1"/>
  <c r="Z108" i="1"/>
  <c r="AX108" i="1"/>
  <c r="AH112" i="1"/>
  <c r="AT112" i="1"/>
  <c r="AK38" i="1"/>
  <c r="AW38" i="1"/>
  <c r="AA38" i="1"/>
  <c r="W31" i="1"/>
  <c r="AT31" i="1"/>
  <c r="W32" i="1"/>
  <c r="AT32" i="1"/>
  <c r="Z34" i="1"/>
  <c r="AH35" i="1"/>
  <c r="AT35" i="1"/>
  <c r="AH107" i="1"/>
  <c r="AT107" i="1"/>
  <c r="W36" i="1"/>
  <c r="AT36" i="1"/>
  <c r="AW45" i="1"/>
  <c r="AK45" i="1"/>
  <c r="AW47" i="1"/>
  <c r="AK47" i="1"/>
  <c r="AJ52" i="1"/>
  <c r="AV52" i="1"/>
  <c r="AJ69" i="1"/>
  <c r="AV69" i="1"/>
  <c r="AK189" i="1"/>
  <c r="AW189" i="1"/>
  <c r="Z37" i="1"/>
  <c r="AX37" i="1"/>
  <c r="AL195" i="1"/>
  <c r="AX195" i="1"/>
  <c r="X57" i="1"/>
  <c r="AV57" i="1"/>
  <c r="AL179" i="1"/>
  <c r="AX179" i="1"/>
  <c r="X194" i="1"/>
  <c r="AV194" i="1"/>
  <c r="AZ74" i="1"/>
  <c r="BD74" i="1" s="1"/>
  <c r="D420" i="2" s="1"/>
  <c r="X118" i="1"/>
  <c r="AV118" i="1"/>
  <c r="X53" i="1"/>
  <c r="AV53" i="1"/>
  <c r="AL116" i="1"/>
  <c r="AX116" i="1"/>
  <c r="AA49" i="1"/>
  <c r="AZ49" i="1" s="1"/>
  <c r="AY49" i="1"/>
  <c r="AA48" i="1"/>
  <c r="AZ48" i="1" s="1"/>
  <c r="AY48" i="1"/>
  <c r="AA47" i="1"/>
  <c r="AL145" i="1"/>
  <c r="AX145" i="1"/>
  <c r="AA43" i="1"/>
  <c r="AY43" i="1"/>
  <c r="AA62" i="1"/>
  <c r="AZ62" i="1" s="1"/>
  <c r="AY62" i="1"/>
  <c r="AU175" i="1"/>
  <c r="AI175" i="1"/>
  <c r="AL177" i="1"/>
  <c r="AX177" i="1"/>
  <c r="AJ120" i="1"/>
  <c r="AV120" i="1"/>
  <c r="X88" i="1"/>
  <c r="AV88" i="1"/>
  <c r="X54" i="1"/>
  <c r="AV54" i="1"/>
  <c r="AI123" i="1"/>
  <c r="AU123" i="1"/>
  <c r="AL51" i="1"/>
  <c r="AX51" i="1"/>
  <c r="X50" i="1"/>
  <c r="AV50" i="1"/>
  <c r="AA146" i="1"/>
  <c r="AZ146" i="1" s="1"/>
  <c r="AY146" i="1"/>
  <c r="AL55" i="1"/>
  <c r="AX55" i="1"/>
  <c r="AA44" i="1"/>
  <c r="AZ44" i="1" s="1"/>
  <c r="AY44" i="1"/>
  <c r="AA42" i="1"/>
  <c r="AZ42" i="1" s="1"/>
  <c r="AY42" i="1"/>
  <c r="AL41" i="1"/>
  <c r="AX41" i="1"/>
  <c r="AX149" i="1"/>
  <c r="AL149" i="1"/>
  <c r="AJ70" i="1"/>
  <c r="AV70" i="1"/>
  <c r="AJ134" i="1"/>
  <c r="AV134" i="1"/>
  <c r="U134" i="1"/>
  <c r="AT134" i="1" s="1"/>
  <c r="AS134" i="1"/>
  <c r="Z30" i="1"/>
  <c r="U30" i="1"/>
  <c r="AT30" i="1" s="1"/>
  <c r="AS30" i="1"/>
  <c r="U29" i="1"/>
  <c r="AT29" i="1" s="1"/>
  <c r="AS29" i="1"/>
  <c r="Z101" i="1"/>
  <c r="Z29" i="1"/>
  <c r="U28" i="1"/>
  <c r="AS28" i="1"/>
  <c r="U27" i="1"/>
  <c r="AS27" i="1"/>
  <c r="AJ26" i="1"/>
  <c r="AV26" i="1"/>
  <c r="Z26" i="1"/>
  <c r="U26" i="1"/>
  <c r="AT26" i="1" s="1"/>
  <c r="AS26" i="1"/>
  <c r="Z25" i="1"/>
  <c r="AJ82" i="1"/>
  <c r="AV82" i="1"/>
  <c r="Z82" i="1"/>
  <c r="U24" i="1"/>
  <c r="AS24" i="1"/>
  <c r="U23" i="1"/>
  <c r="AS23" i="1"/>
  <c r="U119" i="1"/>
  <c r="AS119" i="1"/>
  <c r="U22" i="1"/>
  <c r="AS22" i="1"/>
  <c r="Z21" i="1"/>
  <c r="U20" i="1"/>
  <c r="AT20" i="1" s="1"/>
  <c r="AS20" i="1"/>
  <c r="Y86" i="1"/>
  <c r="AW86" i="1"/>
  <c r="U86" i="1"/>
  <c r="AT86" i="1" s="1"/>
  <c r="AS86" i="1"/>
  <c r="U13" i="1"/>
  <c r="AS13" i="1"/>
  <c r="U98" i="1"/>
  <c r="AS98" i="1"/>
  <c r="U12" i="1"/>
  <c r="AT12" i="1" s="1"/>
  <c r="AS12" i="1"/>
  <c r="AJ84" i="1"/>
  <c r="AV84" i="1"/>
  <c r="AA84" i="1"/>
  <c r="U84" i="1"/>
  <c r="AT84" i="1" s="1"/>
  <c r="AS84" i="1"/>
  <c r="AA10" i="1"/>
  <c r="U10" i="1"/>
  <c r="AT10" i="1" s="1"/>
  <c r="AS10" i="1"/>
  <c r="Z9" i="1"/>
  <c r="AX9" i="1"/>
  <c r="U9" i="1"/>
  <c r="AS9" i="1"/>
  <c r="Y20" i="1"/>
  <c r="AW20" i="1"/>
  <c r="U11" i="1"/>
  <c r="AT11" i="1" s="1"/>
  <c r="AS11" i="1"/>
  <c r="AX130" i="1"/>
  <c r="AL130" i="1"/>
  <c r="AK63" i="1"/>
  <c r="AW63" i="1"/>
  <c r="AK80" i="1"/>
  <c r="AW80" i="1"/>
  <c r="AM124" i="1"/>
  <c r="AZ124" i="1" s="1"/>
  <c r="AY124" i="1"/>
  <c r="Y126" i="1"/>
  <c r="AW126" i="1"/>
  <c r="Y156" i="1"/>
  <c r="AW156" i="1"/>
  <c r="X186" i="1"/>
  <c r="AV186" i="1"/>
  <c r="X158" i="1"/>
  <c r="AV158" i="1"/>
  <c r="AA56" i="1"/>
  <c r="AZ56" i="1" s="1"/>
  <c r="AY56" i="1"/>
  <c r="X176" i="1"/>
  <c r="AV176" i="1"/>
  <c r="X174" i="1"/>
  <c r="AV174" i="1"/>
  <c r="AL160" i="1"/>
  <c r="AX160" i="1"/>
  <c r="AA87" i="1"/>
  <c r="AZ87" i="1" s="1"/>
  <c r="AY87" i="1"/>
  <c r="AW46" i="1"/>
  <c r="AK46" i="1"/>
  <c r="AU43" i="1"/>
  <c r="AI43" i="1"/>
  <c r="AH122" i="1"/>
  <c r="AT122" i="1"/>
  <c r="X33" i="1"/>
  <c r="AT33" i="1"/>
  <c r="Y199" i="1"/>
  <c r="AW199" i="1"/>
  <c r="Y71" i="1"/>
  <c r="AW71" i="1"/>
  <c r="Y79" i="1"/>
  <c r="AW79" i="1"/>
  <c r="Y99" i="1"/>
  <c r="AW99" i="1"/>
  <c r="Z139" i="1"/>
  <c r="AX139" i="1"/>
  <c r="Y159" i="1"/>
  <c r="AW159" i="1"/>
  <c r="Y171" i="1"/>
  <c r="AW171" i="1"/>
  <c r="AA63" i="1"/>
  <c r="AV15" i="1"/>
  <c r="AV86" i="1"/>
  <c r="U14" i="1"/>
  <c r="AS14" i="1"/>
  <c r="Y12" i="1"/>
  <c r="AA11" i="1"/>
  <c r="AJ11" i="1"/>
  <c r="AW11" i="1" s="1"/>
  <c r="AV11" i="1"/>
  <c r="AW197" i="1"/>
  <c r="Y197" i="1"/>
  <c r="U15" i="1"/>
  <c r="AT15" i="1" s="1"/>
  <c r="AS15" i="1"/>
  <c r="AV20" i="1"/>
  <c r="Y105" i="1"/>
  <c r="AW105" i="1"/>
  <c r="X196" i="1"/>
  <c r="AV196" i="1"/>
  <c r="AA188" i="1"/>
  <c r="AZ188" i="1" s="1"/>
  <c r="AY188" i="1"/>
  <c r="X187" i="1"/>
  <c r="AV187" i="1"/>
  <c r="AA173" i="1"/>
  <c r="AZ173" i="1" s="1"/>
  <c r="AY173" i="1"/>
  <c r="X172" i="1"/>
  <c r="AV172" i="1"/>
  <c r="AL137" i="1"/>
  <c r="AX137" i="1"/>
  <c r="Y95" i="1"/>
  <c r="AW95" i="1"/>
  <c r="AM81" i="1"/>
  <c r="AZ81" i="1" s="1"/>
  <c r="AY81" i="1"/>
  <c r="AK89" i="1"/>
  <c r="AW89" i="1"/>
  <c r="AK100" i="1"/>
  <c r="AW100" i="1"/>
  <c r="AL39" i="1"/>
  <c r="AX39" i="1"/>
  <c r="Z134" i="1"/>
  <c r="AJ30" i="1"/>
  <c r="AV30" i="1"/>
  <c r="AJ101" i="1"/>
  <c r="AV101" i="1"/>
  <c r="U101" i="1"/>
  <c r="AT101" i="1" s="1"/>
  <c r="AS101" i="1"/>
  <c r="U25" i="1"/>
  <c r="AT25" i="1" s="1"/>
  <c r="AS25" i="1"/>
  <c r="U82" i="1"/>
  <c r="AT82" i="1" s="1"/>
  <c r="AS82" i="1"/>
  <c r="Z24" i="1"/>
  <c r="AJ21" i="1"/>
  <c r="AV21" i="1"/>
  <c r="U21" i="1"/>
  <c r="AT21" i="1" s="1"/>
  <c r="AS21" i="1"/>
  <c r="U17" i="1"/>
  <c r="AS17" i="1"/>
  <c r="U16" i="1"/>
  <c r="AS16" i="1"/>
  <c r="U155" i="1"/>
  <c r="AS155" i="1"/>
  <c r="Y15" i="1"/>
  <c r="AW15" i="1"/>
  <c r="AJ34" i="1"/>
  <c r="AV34" i="1"/>
  <c r="AJ23" i="1"/>
  <c r="AK23" i="1" s="1"/>
  <c r="AH28" i="1"/>
  <c r="AU28" i="1" s="1"/>
  <c r="AH16" i="1"/>
  <c r="AU16" i="1" s="1"/>
  <c r="AJ27" i="1"/>
  <c r="AK27" i="1" s="1"/>
  <c r="AL27" i="1" s="1"/>
  <c r="AM27" i="1" s="1"/>
  <c r="AH19" i="1"/>
  <c r="AU19" i="1" s="1"/>
  <c r="Y19" i="1"/>
  <c r="AG9" i="1" l="1"/>
  <c r="BE180" i="1"/>
  <c r="BE182" i="1"/>
  <c r="BE184" i="1"/>
  <c r="BE186" i="1"/>
  <c r="BE188" i="1"/>
  <c r="BE190" i="1"/>
  <c r="BE192" i="1"/>
  <c r="BE194" i="1"/>
  <c r="BE196" i="1"/>
  <c r="BE198" i="1"/>
  <c r="BE200" i="1"/>
  <c r="BE202" i="1"/>
  <c r="BE204" i="1"/>
  <c r="BE10" i="1"/>
  <c r="BE14" i="1"/>
  <c r="BE18" i="1"/>
  <c r="BE22" i="1"/>
  <c r="BE26" i="1"/>
  <c r="BE30" i="1"/>
  <c r="BE34" i="1"/>
  <c r="BE38" i="1"/>
  <c r="BE42" i="1"/>
  <c r="BE9" i="1"/>
  <c r="BE13" i="1"/>
  <c r="BE17" i="1"/>
  <c r="BE21" i="1"/>
  <c r="BE25" i="1"/>
  <c r="BE29" i="1"/>
  <c r="BE8" i="1"/>
  <c r="BE201" i="1"/>
  <c r="BE197" i="1"/>
  <c r="BE193" i="1"/>
  <c r="BE189" i="1"/>
  <c r="BE185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E121" i="1"/>
  <c r="BE117" i="1"/>
  <c r="BE113" i="1"/>
  <c r="BE109" i="1"/>
  <c r="BE104" i="1"/>
  <c r="BE100" i="1"/>
  <c r="BE96" i="1"/>
  <c r="BE92" i="1"/>
  <c r="BE88" i="1"/>
  <c r="BE84" i="1"/>
  <c r="BE80" i="1"/>
  <c r="BE76" i="1"/>
  <c r="BE72" i="1"/>
  <c r="BE68" i="1"/>
  <c r="BE64" i="1"/>
  <c r="BE60" i="1"/>
  <c r="BE56" i="1"/>
  <c r="BE52" i="1"/>
  <c r="BE48" i="1"/>
  <c r="BE43" i="1"/>
  <c r="BE35" i="1"/>
  <c r="BE12" i="1"/>
  <c r="BE16" i="1"/>
  <c r="BE20" i="1"/>
  <c r="BE24" i="1"/>
  <c r="BE28" i="1"/>
  <c r="BE32" i="1"/>
  <c r="BE36" i="1"/>
  <c r="BE40" i="1"/>
  <c r="BE44" i="1"/>
  <c r="BE11" i="1"/>
  <c r="BE15" i="1"/>
  <c r="BE19" i="1"/>
  <c r="BE23" i="1"/>
  <c r="BE27" i="1"/>
  <c r="BE31" i="1"/>
  <c r="BE203" i="1"/>
  <c r="BE199" i="1"/>
  <c r="BE195" i="1"/>
  <c r="BE191" i="1"/>
  <c r="BE187" i="1"/>
  <c r="BE183" i="1"/>
  <c r="BE179" i="1"/>
  <c r="BE175" i="1"/>
  <c r="BE171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E102" i="1"/>
  <c r="BE98" i="1"/>
  <c r="BE94" i="1"/>
  <c r="BE90" i="1"/>
  <c r="BE86" i="1"/>
  <c r="BE82" i="1"/>
  <c r="BE78" i="1"/>
  <c r="BE74" i="1"/>
  <c r="BE70" i="1"/>
  <c r="BE66" i="1"/>
  <c r="BE62" i="1"/>
  <c r="BE58" i="1"/>
  <c r="BE54" i="1"/>
  <c r="BE50" i="1"/>
  <c r="BE46" i="1"/>
  <c r="BE39" i="1"/>
  <c r="BE178" i="1"/>
  <c r="BE174" i="1"/>
  <c r="BE170" i="1"/>
  <c r="BE166" i="1"/>
  <c r="BE162" i="1"/>
  <c r="BE158" i="1"/>
  <c r="BE154" i="1"/>
  <c r="BE150" i="1"/>
  <c r="BE146" i="1"/>
  <c r="BE142" i="1"/>
  <c r="BE138" i="1"/>
  <c r="BE134" i="1"/>
  <c r="BE130" i="1"/>
  <c r="BE126" i="1"/>
  <c r="BE118" i="1"/>
  <c r="BE114" i="1"/>
  <c r="BE105" i="1"/>
  <c r="BE97" i="1"/>
  <c r="BE89" i="1"/>
  <c r="BE77" i="1"/>
  <c r="BE69" i="1"/>
  <c r="BE61" i="1"/>
  <c r="BE49" i="1"/>
  <c r="BE37" i="1"/>
  <c r="BE176" i="1"/>
  <c r="BE172" i="1"/>
  <c r="BE168" i="1"/>
  <c r="BE164" i="1"/>
  <c r="BE160" i="1"/>
  <c r="BE156" i="1"/>
  <c r="BE152" i="1"/>
  <c r="BE148" i="1"/>
  <c r="BE144" i="1"/>
  <c r="BE140" i="1"/>
  <c r="BE136" i="1"/>
  <c r="BE132" i="1"/>
  <c r="BE128" i="1"/>
  <c r="BE124" i="1"/>
  <c r="BE120" i="1"/>
  <c r="BE116" i="1"/>
  <c r="BE112" i="1"/>
  <c r="BE108" i="1"/>
  <c r="BE103" i="1"/>
  <c r="BE99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1" i="1"/>
  <c r="BE33" i="1"/>
  <c r="BE122" i="1"/>
  <c r="BE110" i="1"/>
  <c r="BE101" i="1"/>
  <c r="BE93" i="1"/>
  <c r="BE85" i="1"/>
  <c r="BE81" i="1"/>
  <c r="BE73" i="1"/>
  <c r="BE65" i="1"/>
  <c r="BE57" i="1"/>
  <c r="BE53" i="1"/>
  <c r="BE45" i="1"/>
  <c r="AT9" i="1"/>
  <c r="AT24" i="1"/>
  <c r="AM78" i="1"/>
  <c r="AZ78" i="1" s="1"/>
  <c r="AY78" i="1"/>
  <c r="AM92" i="1"/>
  <c r="AZ92" i="1" s="1"/>
  <c r="BD92" i="1" s="1"/>
  <c r="D534" i="2" s="1"/>
  <c r="AY92" i="1"/>
  <c r="AL91" i="1"/>
  <c r="AX91" i="1"/>
  <c r="AM68" i="1"/>
  <c r="AZ68" i="1" s="1"/>
  <c r="BD68" i="1" s="1"/>
  <c r="D384" i="2" s="1"/>
  <c r="AY68" i="1"/>
  <c r="AU178" i="1"/>
  <c r="AI178" i="1"/>
  <c r="BD78" i="1"/>
  <c r="D447" i="2" s="1"/>
  <c r="AM73" i="1"/>
  <c r="AZ73" i="1" s="1"/>
  <c r="AY73" i="1"/>
  <c r="AM72" i="1"/>
  <c r="AZ72" i="1" s="1"/>
  <c r="AY72" i="1"/>
  <c r="Y182" i="1"/>
  <c r="AW182" i="1"/>
  <c r="AM183" i="1"/>
  <c r="AZ183" i="1" s="1"/>
  <c r="AY183" i="1"/>
  <c r="BD183" i="1" s="1"/>
  <c r="D1077" i="2" s="1"/>
  <c r="AK94" i="1"/>
  <c r="AW94" i="1"/>
  <c r="Y152" i="1"/>
  <c r="AW152" i="1"/>
  <c r="BD173" i="1"/>
  <c r="J1014" i="2" s="1"/>
  <c r="BD188" i="1"/>
  <c r="J1101" i="2" s="1"/>
  <c r="AK11" i="1"/>
  <c r="AX11" i="1" s="1"/>
  <c r="BD56" i="1"/>
  <c r="D306" i="2" s="1"/>
  <c r="BD124" i="1"/>
  <c r="D723" i="2" s="1"/>
  <c r="BD48" i="1"/>
  <c r="D258" i="2" s="1"/>
  <c r="BD117" i="1"/>
  <c r="J672" i="2" s="1"/>
  <c r="BD87" i="1"/>
  <c r="J495" i="2" s="1"/>
  <c r="BD42" i="1"/>
  <c r="D219" i="2" s="1"/>
  <c r="BD44" i="1"/>
  <c r="D231" i="2" s="1"/>
  <c r="BD146" i="1"/>
  <c r="J849" i="2" s="1"/>
  <c r="BD62" i="1"/>
  <c r="D345" i="2" s="1"/>
  <c r="BD49" i="1"/>
  <c r="J258" i="2" s="1"/>
  <c r="BD81" i="1"/>
  <c r="J459" i="2" s="1"/>
  <c r="W155" i="1"/>
  <c r="AT155" i="1"/>
  <c r="W17" i="1"/>
  <c r="AT17" i="1"/>
  <c r="AK21" i="1"/>
  <c r="AW21" i="1"/>
  <c r="AK30" i="1"/>
  <c r="AW30" i="1"/>
  <c r="AA134" i="1"/>
  <c r="AL100" i="1"/>
  <c r="AX100" i="1"/>
  <c r="AL89" i="1"/>
  <c r="AX89" i="1"/>
  <c r="Z197" i="1"/>
  <c r="AX197" i="1"/>
  <c r="AJ43" i="1"/>
  <c r="AV43" i="1"/>
  <c r="AM160" i="1"/>
  <c r="AZ160" i="1" s="1"/>
  <c r="AY160" i="1"/>
  <c r="Y174" i="1"/>
  <c r="AW174" i="1"/>
  <c r="Y176" i="1"/>
  <c r="AW176" i="1"/>
  <c r="Y158" i="1"/>
  <c r="AW158" i="1"/>
  <c r="Z156" i="1"/>
  <c r="AX156" i="1"/>
  <c r="Z126" i="1"/>
  <c r="AX126" i="1"/>
  <c r="AL80" i="1"/>
  <c r="AX80" i="1"/>
  <c r="AA9" i="1"/>
  <c r="AZ9" i="1" s="1"/>
  <c r="AY9" i="1"/>
  <c r="W13" i="1"/>
  <c r="AT13" i="1"/>
  <c r="AA21" i="1"/>
  <c r="AW82" i="1"/>
  <c r="AK82" i="1"/>
  <c r="AA25" i="1"/>
  <c r="AA26" i="1"/>
  <c r="W28" i="1"/>
  <c r="AT28" i="1"/>
  <c r="AM55" i="1"/>
  <c r="AZ55" i="1" s="1"/>
  <c r="AY55" i="1"/>
  <c r="Y50" i="1"/>
  <c r="AW50" i="1"/>
  <c r="AM116" i="1"/>
  <c r="AZ116" i="1" s="1"/>
  <c r="AY116" i="1"/>
  <c r="Y118" i="1"/>
  <c r="AW118" i="1"/>
  <c r="Y194" i="1"/>
  <c r="AW194" i="1"/>
  <c r="Y57" i="1"/>
  <c r="AW57" i="1"/>
  <c r="AI107" i="1"/>
  <c r="AU107" i="1"/>
  <c r="AA34" i="1"/>
  <c r="X31" i="1"/>
  <c r="AV31" i="1"/>
  <c r="AL38" i="1"/>
  <c r="AX38" i="1"/>
  <c r="AA108" i="1"/>
  <c r="AZ108" i="1" s="1"/>
  <c r="AY108" i="1"/>
  <c r="AJ10" i="1"/>
  <c r="AV10" i="1"/>
  <c r="Z15" i="1"/>
  <c r="AX15" i="1"/>
  <c r="W16" i="1"/>
  <c r="AT16" i="1"/>
  <c r="AA24" i="1"/>
  <c r="AK101" i="1"/>
  <c r="AW101" i="1"/>
  <c r="AM39" i="1"/>
  <c r="AZ39" i="1" s="1"/>
  <c r="AY39" i="1"/>
  <c r="Z95" i="1"/>
  <c r="AX95" i="1"/>
  <c r="AX46" i="1"/>
  <c r="AL46" i="1"/>
  <c r="AY46" i="1" s="1"/>
  <c r="Y186" i="1"/>
  <c r="AW186" i="1"/>
  <c r="AL63" i="1"/>
  <c r="AX63" i="1"/>
  <c r="Z20" i="1"/>
  <c r="AX20" i="1"/>
  <c r="AK84" i="1"/>
  <c r="AW84" i="1"/>
  <c r="W98" i="1"/>
  <c r="AT98" i="1"/>
  <c r="Z86" i="1"/>
  <c r="AX86" i="1"/>
  <c r="W22" i="1"/>
  <c r="AT22" i="1"/>
  <c r="W119" i="1"/>
  <c r="AT119" i="1"/>
  <c r="W23" i="1"/>
  <c r="AT23" i="1"/>
  <c r="AA82" i="1"/>
  <c r="AK26" i="1"/>
  <c r="AW26" i="1"/>
  <c r="W27" i="1"/>
  <c r="AT27" i="1"/>
  <c r="AA29" i="1"/>
  <c r="AA101" i="1"/>
  <c r="AA30" i="1"/>
  <c r="AK134" i="1"/>
  <c r="AW134" i="1"/>
  <c r="AK70" i="1"/>
  <c r="AW70" i="1"/>
  <c r="AM41" i="1"/>
  <c r="AZ41" i="1" s="1"/>
  <c r="AY41" i="1"/>
  <c r="AM51" i="1"/>
  <c r="AZ51" i="1" s="1"/>
  <c r="AY51" i="1"/>
  <c r="AJ123" i="1"/>
  <c r="AV123" i="1"/>
  <c r="Y53" i="1"/>
  <c r="AW53" i="1"/>
  <c r="AK52" i="1"/>
  <c r="AW52" i="1"/>
  <c r="X36" i="1"/>
  <c r="AV36" i="1"/>
  <c r="AU35" i="1"/>
  <c r="AI35" i="1"/>
  <c r="X32" i="1"/>
  <c r="AV32" i="1"/>
  <c r="AI112" i="1"/>
  <c r="AU112" i="1"/>
  <c r="AK25" i="1"/>
  <c r="AW25" i="1"/>
  <c r="AJ24" i="1"/>
  <c r="AV24" i="1"/>
  <c r="AJ12" i="1"/>
  <c r="AV12" i="1"/>
  <c r="AI16" i="1"/>
  <c r="AJ16" i="1" s="1"/>
  <c r="AL11" i="1"/>
  <c r="AI28" i="1"/>
  <c r="AJ28" i="1" s="1"/>
  <c r="AK34" i="1"/>
  <c r="AW34" i="1"/>
  <c r="AM137" i="1"/>
  <c r="AZ137" i="1" s="1"/>
  <c r="AY137" i="1"/>
  <c r="Y172" i="1"/>
  <c r="AW172" i="1"/>
  <c r="Y187" i="1"/>
  <c r="AW187" i="1"/>
  <c r="Y196" i="1"/>
  <c r="AW196" i="1"/>
  <c r="Z105" i="1"/>
  <c r="AX105" i="1"/>
  <c r="Z12" i="1"/>
  <c r="W14" i="1"/>
  <c r="AT14" i="1"/>
  <c r="Z171" i="1"/>
  <c r="AX171" i="1"/>
  <c r="Z159" i="1"/>
  <c r="AX159" i="1"/>
  <c r="AA139" i="1"/>
  <c r="AZ139" i="1" s="1"/>
  <c r="AY139" i="1"/>
  <c r="Z99" i="1"/>
  <c r="AX99" i="1"/>
  <c r="Z79" i="1"/>
  <c r="AX79" i="1"/>
  <c r="Z71" i="1"/>
  <c r="AX71" i="1"/>
  <c r="Z199" i="1"/>
  <c r="AX199" i="1"/>
  <c r="Y33" i="1"/>
  <c r="AW33" i="1"/>
  <c r="AI122" i="1"/>
  <c r="AU122" i="1"/>
  <c r="AM130" i="1"/>
  <c r="AZ130" i="1" s="1"/>
  <c r="AY130" i="1"/>
  <c r="AM149" i="1"/>
  <c r="AZ149" i="1" s="1"/>
  <c r="AY149" i="1"/>
  <c r="Y54" i="1"/>
  <c r="AW54" i="1"/>
  <c r="Y88" i="1"/>
  <c r="AW88" i="1"/>
  <c r="AK120" i="1"/>
  <c r="AW120" i="1"/>
  <c r="AM177" i="1"/>
  <c r="AZ177" i="1" s="1"/>
  <c r="AY177" i="1"/>
  <c r="AJ175" i="1"/>
  <c r="AV175" i="1"/>
  <c r="AM145" i="1"/>
  <c r="AZ145" i="1" s="1"/>
  <c r="AY145" i="1"/>
  <c r="AM179" i="1"/>
  <c r="AZ179" i="1" s="1"/>
  <c r="AY179" i="1"/>
  <c r="AM195" i="1"/>
  <c r="AZ195" i="1" s="1"/>
  <c r="AY195" i="1"/>
  <c r="AA37" i="1"/>
  <c r="AZ37" i="1" s="1"/>
  <c r="AY37" i="1"/>
  <c r="AL189" i="1"/>
  <c r="AX189" i="1"/>
  <c r="AK69" i="1"/>
  <c r="AW69" i="1"/>
  <c r="AL47" i="1"/>
  <c r="AX47" i="1"/>
  <c r="AL45" i="1"/>
  <c r="AX45" i="1"/>
  <c r="AJ29" i="1"/>
  <c r="AV29" i="1"/>
  <c r="AL18" i="1"/>
  <c r="AX18" i="1"/>
  <c r="AK16" i="1"/>
  <c r="AL16" i="1" s="1"/>
  <c r="AM16" i="1" s="1"/>
  <c r="AK28" i="1"/>
  <c r="AL28" i="1" s="1"/>
  <c r="AM28" i="1" s="1"/>
  <c r="AI19" i="1"/>
  <c r="AV19" i="1" s="1"/>
  <c r="Z19" i="1"/>
  <c r="BE205" i="1" l="1"/>
  <c r="BD72" i="1"/>
  <c r="D408" i="2" s="1"/>
  <c r="BD73" i="1"/>
  <c r="J408" i="2" s="1"/>
  <c r="Z152" i="1"/>
  <c r="AX152" i="1"/>
  <c r="AM94" i="1"/>
  <c r="AZ94" i="1" s="1"/>
  <c r="AX94" i="1"/>
  <c r="Z182" i="1"/>
  <c r="AX182" i="1"/>
  <c r="AV178" i="1"/>
  <c r="AJ178" i="1"/>
  <c r="AM91" i="1"/>
  <c r="AZ91" i="1" s="1"/>
  <c r="AY91" i="1"/>
  <c r="BD46" i="1"/>
  <c r="D243" i="2" s="1"/>
  <c r="BD37" i="1"/>
  <c r="J180" i="2" s="1"/>
  <c r="BD195" i="1"/>
  <c r="J1152" i="2" s="1"/>
  <c r="BD179" i="1"/>
  <c r="J1215" i="2" s="1"/>
  <c r="BD177" i="1"/>
  <c r="J1038" i="2" s="1"/>
  <c r="BD149" i="1"/>
  <c r="D873" i="2" s="1"/>
  <c r="BD116" i="1"/>
  <c r="J1227" i="2" s="1"/>
  <c r="BD55" i="1"/>
  <c r="J294" i="2" s="1"/>
  <c r="BD108" i="1"/>
  <c r="J621" i="2" s="1"/>
  <c r="AK29" i="1"/>
  <c r="AW29" i="1"/>
  <c r="AM45" i="1"/>
  <c r="AZ45" i="1" s="1"/>
  <c r="AY45" i="1"/>
  <c r="AX69" i="1"/>
  <c r="AL69" i="1"/>
  <c r="AM189" i="1"/>
  <c r="AZ189" i="1" s="1"/>
  <c r="AY189" i="1"/>
  <c r="BD145" i="1"/>
  <c r="D849" i="2" s="1"/>
  <c r="BD130" i="1"/>
  <c r="J1140" i="2" s="1"/>
  <c r="AJ122" i="1"/>
  <c r="AV122" i="1"/>
  <c r="Z33" i="1"/>
  <c r="AX33" i="1"/>
  <c r="AA199" i="1"/>
  <c r="AZ199" i="1" s="1"/>
  <c r="AY199" i="1"/>
  <c r="AA71" i="1"/>
  <c r="AZ71" i="1" s="1"/>
  <c r="AY71" i="1"/>
  <c r="AA79" i="1"/>
  <c r="AZ79" i="1" s="1"/>
  <c r="AY79" i="1"/>
  <c r="AA99" i="1"/>
  <c r="AZ99" i="1" s="1"/>
  <c r="AY99" i="1"/>
  <c r="BD139" i="1"/>
  <c r="D810" i="2" s="1"/>
  <c r="AA159" i="1"/>
  <c r="AZ159" i="1" s="1"/>
  <c r="AY159" i="1"/>
  <c r="AA171" i="1"/>
  <c r="AZ171" i="1" s="1"/>
  <c r="AY171" i="1"/>
  <c r="AA105" i="1"/>
  <c r="AZ105" i="1" s="1"/>
  <c r="AY105" i="1"/>
  <c r="Z196" i="1"/>
  <c r="AX196" i="1"/>
  <c r="Z187" i="1"/>
  <c r="AX187" i="1"/>
  <c r="Z172" i="1"/>
  <c r="AX172" i="1"/>
  <c r="BD137" i="1"/>
  <c r="D798" i="2" s="1"/>
  <c r="AL34" i="1"/>
  <c r="AX34" i="1"/>
  <c r="AM11" i="1"/>
  <c r="AZ11" i="1" s="1"/>
  <c r="AY11" i="1"/>
  <c r="Y32" i="1"/>
  <c r="AW32" i="1"/>
  <c r="Y36" i="1"/>
  <c r="AW36" i="1"/>
  <c r="AL52" i="1"/>
  <c r="AX52" i="1"/>
  <c r="Z53" i="1"/>
  <c r="AX53" i="1"/>
  <c r="AK123" i="1"/>
  <c r="AW123" i="1"/>
  <c r="BD51" i="1"/>
  <c r="J270" i="2" s="1"/>
  <c r="BD41" i="1"/>
  <c r="J207" i="2" s="1"/>
  <c r="AX70" i="1"/>
  <c r="AL70" i="1"/>
  <c r="AL134" i="1"/>
  <c r="AX134" i="1"/>
  <c r="X27" i="1"/>
  <c r="AV27" i="1"/>
  <c r="AL26" i="1"/>
  <c r="AX26" i="1"/>
  <c r="X23" i="1"/>
  <c r="AV23" i="1"/>
  <c r="X119" i="1"/>
  <c r="AV119" i="1"/>
  <c r="X22" i="1"/>
  <c r="AV22" i="1"/>
  <c r="AA86" i="1"/>
  <c r="AZ86" i="1" s="1"/>
  <c r="AY86" i="1"/>
  <c r="X98" i="1"/>
  <c r="AV98" i="1"/>
  <c r="AL84" i="1"/>
  <c r="AX84" i="1"/>
  <c r="AA20" i="1"/>
  <c r="AY20" i="1"/>
  <c r="AM63" i="1"/>
  <c r="AZ63" i="1" s="1"/>
  <c r="AY63" i="1"/>
  <c r="Z186" i="1"/>
  <c r="AX186" i="1"/>
  <c r="BD39" i="1"/>
  <c r="J195" i="2" s="1"/>
  <c r="AL82" i="1"/>
  <c r="AX82" i="1"/>
  <c r="BD9" i="1"/>
  <c r="J6" i="2" s="1"/>
  <c r="AM80" i="1"/>
  <c r="AZ80" i="1" s="1"/>
  <c r="AY80" i="1"/>
  <c r="AA126" i="1"/>
  <c r="AZ126" i="1" s="1"/>
  <c r="AY126" i="1"/>
  <c r="AA156" i="1"/>
  <c r="AZ156" i="1" s="1"/>
  <c r="AY156" i="1"/>
  <c r="Z158" i="1"/>
  <c r="AX158" i="1"/>
  <c r="Z176" i="1"/>
  <c r="AX176" i="1"/>
  <c r="Z174" i="1"/>
  <c r="AX174" i="1"/>
  <c r="BD160" i="1"/>
  <c r="J936" i="2" s="1"/>
  <c r="AK43" i="1"/>
  <c r="AW43" i="1"/>
  <c r="AM18" i="1"/>
  <c r="AZ18" i="1" s="1"/>
  <c r="AY18" i="1"/>
  <c r="AM47" i="1"/>
  <c r="AZ47" i="1" s="1"/>
  <c r="AY47" i="1"/>
  <c r="AW175" i="1"/>
  <c r="AK175" i="1"/>
  <c r="AL120" i="1"/>
  <c r="AX120" i="1"/>
  <c r="Z88" i="1"/>
  <c r="AX88" i="1"/>
  <c r="Z54" i="1"/>
  <c r="AX54" i="1"/>
  <c r="X14" i="1"/>
  <c r="AV14" i="1"/>
  <c r="AA12" i="1"/>
  <c r="AK12" i="1"/>
  <c r="AW12" i="1"/>
  <c r="AK24" i="1"/>
  <c r="AW24" i="1"/>
  <c r="AX25" i="1"/>
  <c r="AL25" i="1"/>
  <c r="AJ112" i="1"/>
  <c r="AV112" i="1"/>
  <c r="AJ35" i="1"/>
  <c r="AV35" i="1"/>
  <c r="AA95" i="1"/>
  <c r="AZ95" i="1" s="1"/>
  <c r="AY95" i="1"/>
  <c r="AL101" i="1"/>
  <c r="AX101" i="1"/>
  <c r="X16" i="1"/>
  <c r="AV16" i="1"/>
  <c r="AA15" i="1"/>
  <c r="AZ15" i="1" s="1"/>
  <c r="AY15" i="1"/>
  <c r="AK10" i="1"/>
  <c r="AW10" i="1"/>
  <c r="AM38" i="1"/>
  <c r="AZ38" i="1" s="1"/>
  <c r="AY38" i="1"/>
  <c r="Y31" i="1"/>
  <c r="AW31" i="1"/>
  <c r="AV107" i="1"/>
  <c r="AJ107" i="1"/>
  <c r="Z57" i="1"/>
  <c r="AX57" i="1"/>
  <c r="Z194" i="1"/>
  <c r="AX194" i="1"/>
  <c r="Z118" i="1"/>
  <c r="AX118" i="1"/>
  <c r="Z50" i="1"/>
  <c r="AX50" i="1"/>
  <c r="X28" i="1"/>
  <c r="AV28" i="1"/>
  <c r="X13" i="1"/>
  <c r="AV13" i="1"/>
  <c r="AA197" i="1"/>
  <c r="AZ197" i="1" s="1"/>
  <c r="AY197" i="1"/>
  <c r="AM89" i="1"/>
  <c r="AZ89" i="1" s="1"/>
  <c r="AY89" i="1"/>
  <c r="AM100" i="1"/>
  <c r="AZ100" i="1" s="1"/>
  <c r="AY100" i="1"/>
  <c r="AL30" i="1"/>
  <c r="AX30" i="1"/>
  <c r="AL21" i="1"/>
  <c r="AX21" i="1"/>
  <c r="X17" i="1"/>
  <c r="AV17" i="1"/>
  <c r="X155" i="1"/>
  <c r="AV155" i="1"/>
  <c r="AJ19" i="1"/>
  <c r="AW19" i="1" s="1"/>
  <c r="AA19" i="1"/>
  <c r="AO10" i="1"/>
  <c r="BU10" i="1" s="1"/>
  <c r="AO11" i="1"/>
  <c r="BU11" i="1" s="1"/>
  <c r="AO12" i="1"/>
  <c r="BU12" i="1" s="1"/>
  <c r="AO13" i="1"/>
  <c r="BU13" i="1" s="1"/>
  <c r="AO14" i="1"/>
  <c r="BU14" i="1" s="1"/>
  <c r="AO15" i="1"/>
  <c r="BU15" i="1" s="1"/>
  <c r="AO16" i="1"/>
  <c r="BU16" i="1" s="1"/>
  <c r="AO17" i="1"/>
  <c r="BU17" i="1" s="1"/>
  <c r="AO19" i="1"/>
  <c r="BU19" i="1" s="1"/>
  <c r="AO21" i="1"/>
  <c r="BU21" i="1" s="1"/>
  <c r="AO22" i="1"/>
  <c r="BU22" i="1" s="1"/>
  <c r="AO23" i="1"/>
  <c r="BU23" i="1" s="1"/>
  <c r="AO24" i="1"/>
  <c r="BU24" i="1" s="1"/>
  <c r="AO25" i="1"/>
  <c r="BU25" i="1" s="1"/>
  <c r="AO26" i="1"/>
  <c r="BU26" i="1" s="1"/>
  <c r="AO27" i="1"/>
  <c r="BU27" i="1" s="1"/>
  <c r="AO28" i="1"/>
  <c r="BU28" i="1" s="1"/>
  <c r="AO29" i="1"/>
  <c r="BU29" i="1" s="1"/>
  <c r="AO30" i="1"/>
  <c r="BU30" i="1" s="1"/>
  <c r="AO31" i="1"/>
  <c r="BU31" i="1" s="1"/>
  <c r="AO32" i="1"/>
  <c r="BU32" i="1" s="1"/>
  <c r="AO33" i="1"/>
  <c r="BU33" i="1" s="1"/>
  <c r="AO34" i="1"/>
  <c r="BU34" i="1" s="1"/>
  <c r="AO35" i="1"/>
  <c r="BU35" i="1" s="1"/>
  <c r="AO36" i="1"/>
  <c r="BU36" i="1" s="1"/>
  <c r="AO37" i="1"/>
  <c r="BU37" i="1" s="1"/>
  <c r="AO38" i="1"/>
  <c r="BU38" i="1" s="1"/>
  <c r="AO39" i="1"/>
  <c r="BU39" i="1" s="1"/>
  <c r="AO40" i="1"/>
  <c r="BU40" i="1" s="1"/>
  <c r="AO41" i="1"/>
  <c r="BU41" i="1" s="1"/>
  <c r="AO42" i="1"/>
  <c r="BU42" i="1" s="1"/>
  <c r="AO43" i="1"/>
  <c r="BU43" i="1" s="1"/>
  <c r="AO44" i="1"/>
  <c r="BU44" i="1" s="1"/>
  <c r="AO45" i="1"/>
  <c r="BU45" i="1" s="1"/>
  <c r="AO46" i="1"/>
  <c r="BU46" i="1" s="1"/>
  <c r="AO47" i="1"/>
  <c r="BU47" i="1" s="1"/>
  <c r="AO48" i="1"/>
  <c r="BU48" i="1" s="1"/>
  <c r="AO49" i="1"/>
  <c r="BU49" i="1" s="1"/>
  <c r="AO50" i="1"/>
  <c r="BU50" i="1" s="1"/>
  <c r="AO51" i="1"/>
  <c r="BU51" i="1" s="1"/>
  <c r="AO52" i="1"/>
  <c r="BU52" i="1" s="1"/>
  <c r="AO53" i="1"/>
  <c r="BU53" i="1" s="1"/>
  <c r="AO54" i="1"/>
  <c r="BU54" i="1" s="1"/>
  <c r="AO55" i="1"/>
  <c r="BU55" i="1" s="1"/>
  <c r="AO56" i="1"/>
  <c r="BU56" i="1" s="1"/>
  <c r="AO57" i="1"/>
  <c r="BU57" i="1" s="1"/>
  <c r="AO58" i="1"/>
  <c r="BU58" i="1" s="1"/>
  <c r="AO59" i="1"/>
  <c r="BU59" i="1" s="1"/>
  <c r="AO60" i="1"/>
  <c r="BU60" i="1" s="1"/>
  <c r="BU61" i="1"/>
  <c r="AO62" i="1"/>
  <c r="BU62" i="1" s="1"/>
  <c r="AO63" i="1"/>
  <c r="BU63" i="1" s="1"/>
  <c r="AO64" i="1"/>
  <c r="BU64" i="1" s="1"/>
  <c r="AO65" i="1"/>
  <c r="BU65" i="1" s="1"/>
  <c r="AO66" i="1"/>
  <c r="BU66" i="1" s="1"/>
  <c r="AO67" i="1"/>
  <c r="BU67" i="1" s="1"/>
  <c r="AO68" i="1"/>
  <c r="BU68" i="1" s="1"/>
  <c r="AO69" i="1"/>
  <c r="BU69" i="1" s="1"/>
  <c r="AO70" i="1"/>
  <c r="BU70" i="1" s="1"/>
  <c r="AO71" i="1"/>
  <c r="BU71" i="1" s="1"/>
  <c r="AO72" i="1"/>
  <c r="BU72" i="1" s="1"/>
  <c r="AO73" i="1"/>
  <c r="BU73" i="1" s="1"/>
  <c r="AO75" i="1"/>
  <c r="BU75" i="1" s="1"/>
  <c r="AO76" i="1"/>
  <c r="BU76" i="1" s="1"/>
  <c r="AO77" i="1"/>
  <c r="BU77" i="1" s="1"/>
  <c r="AO78" i="1"/>
  <c r="BU78" i="1" s="1"/>
  <c r="AO79" i="1"/>
  <c r="BU79" i="1" s="1"/>
  <c r="AO80" i="1"/>
  <c r="BU80" i="1" s="1"/>
  <c r="AO81" i="1"/>
  <c r="BU81" i="1" s="1"/>
  <c r="AO82" i="1"/>
  <c r="BU82" i="1" s="1"/>
  <c r="AO83" i="1"/>
  <c r="BU83" i="1" s="1"/>
  <c r="AO84" i="1"/>
  <c r="BU84" i="1" s="1"/>
  <c r="AO85" i="1"/>
  <c r="BU85" i="1" s="1"/>
  <c r="AO86" i="1"/>
  <c r="BU86" i="1" s="1"/>
  <c r="AO87" i="1"/>
  <c r="BU87" i="1" s="1"/>
  <c r="AO88" i="1"/>
  <c r="BU88" i="1" s="1"/>
  <c r="AO89" i="1"/>
  <c r="BU89" i="1" s="1"/>
  <c r="AO90" i="1"/>
  <c r="BU90" i="1" s="1"/>
  <c r="AO91" i="1"/>
  <c r="BU91" i="1" s="1"/>
  <c r="AO92" i="1"/>
  <c r="BU92" i="1" s="1"/>
  <c r="AO93" i="1"/>
  <c r="BU93" i="1" s="1"/>
  <c r="AO94" i="1"/>
  <c r="BU94" i="1" s="1"/>
  <c r="AO95" i="1"/>
  <c r="BU95" i="1" s="1"/>
  <c r="AO96" i="1"/>
  <c r="BU96" i="1" s="1"/>
  <c r="AO97" i="1"/>
  <c r="BU97" i="1" s="1"/>
  <c r="AO98" i="1"/>
  <c r="BU98" i="1" s="1"/>
  <c r="AO99" i="1"/>
  <c r="BU99" i="1" s="1"/>
  <c r="AO100" i="1"/>
  <c r="BU100" i="1" s="1"/>
  <c r="AO101" i="1"/>
  <c r="BU101" i="1" s="1"/>
  <c r="AO102" i="1"/>
  <c r="BU102" i="1" s="1"/>
  <c r="AO103" i="1"/>
  <c r="BU103" i="1" s="1"/>
  <c r="AO104" i="1"/>
  <c r="BU104" i="1" s="1"/>
  <c r="AO105" i="1"/>
  <c r="BU105" i="1" s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8" i="1"/>
  <c r="BU8" i="1" s="1"/>
  <c r="AD168" i="1"/>
  <c r="AD205" i="1" s="1"/>
  <c r="R168" i="1"/>
  <c r="R205" i="1" s="1"/>
  <c r="AG8" i="1"/>
  <c r="AT8" i="1" l="1"/>
  <c r="BD86" i="1"/>
  <c r="D495" i="2" s="1"/>
  <c r="BD91" i="1"/>
  <c r="J522" i="2" s="1"/>
  <c r="BD94" i="1"/>
  <c r="D546" i="2" s="1"/>
  <c r="BF10" i="1"/>
  <c r="BF18" i="1"/>
  <c r="BF26" i="1"/>
  <c r="BF34" i="1"/>
  <c r="BF42" i="1"/>
  <c r="BF50" i="1"/>
  <c r="BF58" i="1"/>
  <c r="BF66" i="1"/>
  <c r="BF74" i="1"/>
  <c r="BF82" i="1"/>
  <c r="BF90" i="1"/>
  <c r="BF98" i="1"/>
  <c r="BF107" i="1"/>
  <c r="BF115" i="1"/>
  <c r="BF9" i="1"/>
  <c r="BF17" i="1"/>
  <c r="BF25" i="1"/>
  <c r="BF33" i="1"/>
  <c r="BF41" i="1"/>
  <c r="BF49" i="1"/>
  <c r="BF57" i="1"/>
  <c r="BF65" i="1"/>
  <c r="BF73" i="1"/>
  <c r="BF85" i="1"/>
  <c r="BF101" i="1"/>
  <c r="BF118" i="1"/>
  <c r="BF128" i="1"/>
  <c r="BF136" i="1"/>
  <c r="BF144" i="1"/>
  <c r="BF152" i="1"/>
  <c r="BF160" i="1"/>
  <c r="BF168" i="1"/>
  <c r="BF176" i="1"/>
  <c r="BF184" i="1"/>
  <c r="BF192" i="1"/>
  <c r="BF200" i="1"/>
  <c r="BF83" i="1"/>
  <c r="BF99" i="1"/>
  <c r="BF116" i="1"/>
  <c r="BF127" i="1"/>
  <c r="BF135" i="1"/>
  <c r="BF143" i="1"/>
  <c r="BF151" i="1"/>
  <c r="BF159" i="1"/>
  <c r="BF167" i="1"/>
  <c r="BF175" i="1"/>
  <c r="BF183" i="1"/>
  <c r="BF191" i="1"/>
  <c r="BF199" i="1"/>
  <c r="BF8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3" i="1"/>
  <c r="BF121" i="1"/>
  <c r="BF15" i="1"/>
  <c r="BF23" i="1"/>
  <c r="BF31" i="1"/>
  <c r="BF39" i="1"/>
  <c r="BF47" i="1"/>
  <c r="BF55" i="1"/>
  <c r="BF63" i="1"/>
  <c r="BF71" i="1"/>
  <c r="BF81" i="1"/>
  <c r="BF97" i="1"/>
  <c r="BF114" i="1"/>
  <c r="BF126" i="1"/>
  <c r="BF134" i="1"/>
  <c r="BF142" i="1"/>
  <c r="BF150" i="1"/>
  <c r="BF158" i="1"/>
  <c r="BF166" i="1"/>
  <c r="BF174" i="1"/>
  <c r="BF182" i="1"/>
  <c r="BF190" i="1"/>
  <c r="BF198" i="1"/>
  <c r="BF79" i="1"/>
  <c r="BF95" i="1"/>
  <c r="BF112" i="1"/>
  <c r="BF125" i="1"/>
  <c r="BF133" i="1"/>
  <c r="BF141" i="1"/>
  <c r="BF149" i="1"/>
  <c r="BF157" i="1"/>
  <c r="BF165" i="1"/>
  <c r="BF173" i="1"/>
  <c r="BF181" i="1"/>
  <c r="BF189" i="1"/>
  <c r="BF197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1" i="1"/>
  <c r="BF119" i="1"/>
  <c r="BF13" i="1"/>
  <c r="BF21" i="1"/>
  <c r="BF29" i="1"/>
  <c r="BF37" i="1"/>
  <c r="BF45" i="1"/>
  <c r="BF53" i="1"/>
  <c r="BF61" i="1"/>
  <c r="BF69" i="1"/>
  <c r="BF77" i="1"/>
  <c r="BF93" i="1"/>
  <c r="BF110" i="1"/>
  <c r="BF124" i="1"/>
  <c r="BF132" i="1"/>
  <c r="BF140" i="1"/>
  <c r="BF148" i="1"/>
  <c r="BF156" i="1"/>
  <c r="BF164" i="1"/>
  <c r="BF172" i="1"/>
  <c r="BF180" i="1"/>
  <c r="BF188" i="1"/>
  <c r="BF196" i="1"/>
  <c r="BF204" i="1"/>
  <c r="BF91" i="1"/>
  <c r="BF108" i="1"/>
  <c r="BF123" i="1"/>
  <c r="BF131" i="1"/>
  <c r="BF139" i="1"/>
  <c r="BF147" i="1"/>
  <c r="BF155" i="1"/>
  <c r="BF163" i="1"/>
  <c r="BF171" i="1"/>
  <c r="BF179" i="1"/>
  <c r="BF187" i="1"/>
  <c r="BF195" i="1"/>
  <c r="BF203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9" i="1"/>
  <c r="BF117" i="1"/>
  <c r="BF11" i="1"/>
  <c r="BF19" i="1"/>
  <c r="BF27" i="1"/>
  <c r="BF35" i="1"/>
  <c r="BF43" i="1"/>
  <c r="BF51" i="1"/>
  <c r="BF59" i="1"/>
  <c r="BF67" i="1"/>
  <c r="BF75" i="1"/>
  <c r="BF89" i="1"/>
  <c r="BF105" i="1"/>
  <c r="BF122" i="1"/>
  <c r="BF130" i="1"/>
  <c r="BF138" i="1"/>
  <c r="BF146" i="1"/>
  <c r="BF154" i="1"/>
  <c r="BF162" i="1"/>
  <c r="BF170" i="1"/>
  <c r="BF178" i="1"/>
  <c r="BF186" i="1"/>
  <c r="BF194" i="1"/>
  <c r="BF202" i="1"/>
  <c r="BF87" i="1"/>
  <c r="BF103" i="1"/>
  <c r="BF120" i="1"/>
  <c r="BF129" i="1"/>
  <c r="BF137" i="1"/>
  <c r="BF145" i="1"/>
  <c r="BF153" i="1"/>
  <c r="BF161" i="1"/>
  <c r="BF169" i="1"/>
  <c r="BF177" i="1"/>
  <c r="BF185" i="1"/>
  <c r="BF193" i="1"/>
  <c r="BF201" i="1"/>
  <c r="AH8" i="1"/>
  <c r="AQ168" i="1"/>
  <c r="AQ205" i="1" s="1"/>
  <c r="AE168" i="1"/>
  <c r="AE205" i="1" s="1"/>
  <c r="AK178" i="1"/>
  <c r="AW178" i="1"/>
  <c r="AA182" i="1"/>
  <c r="AZ182" i="1" s="1"/>
  <c r="AY182" i="1"/>
  <c r="AA152" i="1"/>
  <c r="AZ152" i="1" s="1"/>
  <c r="AY152" i="1"/>
  <c r="BD100" i="1"/>
  <c r="D585" i="2" s="1"/>
  <c r="BD89" i="1"/>
  <c r="J510" i="2" s="1"/>
  <c r="BD197" i="1"/>
  <c r="J1164" i="2" s="1"/>
  <c r="BD38" i="1"/>
  <c r="D195" i="2" s="1"/>
  <c r="BD15" i="1"/>
  <c r="J42" i="2" s="1"/>
  <c r="BD47" i="1"/>
  <c r="J243" i="2" s="1"/>
  <c r="BD171" i="1"/>
  <c r="J999" i="2" s="1"/>
  <c r="BD159" i="1"/>
  <c r="D936" i="2" s="1"/>
  <c r="BD189" i="1"/>
  <c r="D1113" i="2" s="1"/>
  <c r="BD45" i="1"/>
  <c r="J231" i="2" s="1"/>
  <c r="Y13" i="1"/>
  <c r="AW13" i="1"/>
  <c r="AK107" i="1"/>
  <c r="AW107" i="1"/>
  <c r="Z31" i="1"/>
  <c r="AX31" i="1"/>
  <c r="AX10" i="1"/>
  <c r="AL10" i="1"/>
  <c r="Y16" i="1"/>
  <c r="AW16" i="1"/>
  <c r="AK35" i="1"/>
  <c r="AW35" i="1"/>
  <c r="AK112" i="1"/>
  <c r="AW112" i="1"/>
  <c r="AL24" i="1"/>
  <c r="AX24" i="1"/>
  <c r="AL12" i="1"/>
  <c r="AX12" i="1"/>
  <c r="Y14" i="1"/>
  <c r="AW14" i="1"/>
  <c r="AA54" i="1"/>
  <c r="AZ54" i="1" s="1"/>
  <c r="AY54" i="1"/>
  <c r="AA88" i="1"/>
  <c r="AZ88" i="1" s="1"/>
  <c r="AY88" i="1"/>
  <c r="AM120" i="1"/>
  <c r="AZ120" i="1" s="1"/>
  <c r="AY120" i="1"/>
  <c r="AM43" i="1"/>
  <c r="AZ43" i="1" s="1"/>
  <c r="AX43" i="1"/>
  <c r="AM82" i="1"/>
  <c r="AZ82" i="1" s="1"/>
  <c r="AY82" i="1"/>
  <c r="AA186" i="1"/>
  <c r="AZ186" i="1" s="1"/>
  <c r="AY186" i="1"/>
  <c r="BD63" i="1"/>
  <c r="J345" i="2" s="1"/>
  <c r="AB20" i="1"/>
  <c r="AB205" i="1" s="1"/>
  <c r="AZ20" i="1"/>
  <c r="AM84" i="1"/>
  <c r="AZ84" i="1" s="1"/>
  <c r="AY84" i="1"/>
  <c r="Y98" i="1"/>
  <c r="AW98" i="1"/>
  <c r="Y22" i="1"/>
  <c r="AW22" i="1"/>
  <c r="Y119" i="1"/>
  <c r="AW119" i="1"/>
  <c r="Y23" i="1"/>
  <c r="AX23" i="1" s="1"/>
  <c r="AW23" i="1"/>
  <c r="AM134" i="1"/>
  <c r="AZ134" i="1" s="1"/>
  <c r="AY134" i="1"/>
  <c r="AL123" i="1"/>
  <c r="AX123" i="1"/>
  <c r="AA53" i="1"/>
  <c r="AZ53" i="1" s="1"/>
  <c r="AY53" i="1"/>
  <c r="AM52" i="1"/>
  <c r="AZ52" i="1" s="1"/>
  <c r="AY52" i="1"/>
  <c r="Z36" i="1"/>
  <c r="AX36" i="1"/>
  <c r="BD11" i="1"/>
  <c r="J18" i="2" s="1"/>
  <c r="AA172" i="1"/>
  <c r="AZ172" i="1" s="1"/>
  <c r="AY172" i="1"/>
  <c r="AA187" i="1"/>
  <c r="AZ187" i="1" s="1"/>
  <c r="AY187" i="1"/>
  <c r="AA196" i="1"/>
  <c r="AZ196" i="1" s="1"/>
  <c r="AY196" i="1"/>
  <c r="BD105" i="1"/>
  <c r="J609" i="2" s="1"/>
  <c r="BD99" i="1"/>
  <c r="J573" i="2" s="1"/>
  <c r="BD79" i="1"/>
  <c r="J447" i="2" s="1"/>
  <c r="BD71" i="1"/>
  <c r="J396" i="2" s="1"/>
  <c r="BD199" i="1"/>
  <c r="J1176" i="2" s="1"/>
  <c r="AA33" i="1"/>
  <c r="AZ33" i="1" s="1"/>
  <c r="AY33" i="1"/>
  <c r="AK122" i="1"/>
  <c r="AW122" i="1"/>
  <c r="AM69" i="1"/>
  <c r="AZ69" i="1" s="1"/>
  <c r="AY69" i="1"/>
  <c r="Y155" i="1"/>
  <c r="AW155" i="1"/>
  <c r="Y17" i="1"/>
  <c r="AW17" i="1"/>
  <c r="AM21" i="1"/>
  <c r="AZ21" i="1" s="1"/>
  <c r="AY21" i="1"/>
  <c r="AM30" i="1"/>
  <c r="AZ30" i="1" s="1"/>
  <c r="AY30" i="1"/>
  <c r="Y28" i="1"/>
  <c r="AW28" i="1"/>
  <c r="AA50" i="1"/>
  <c r="AZ50" i="1" s="1"/>
  <c r="AY50" i="1"/>
  <c r="AA118" i="1"/>
  <c r="AZ118" i="1" s="1"/>
  <c r="AY118" i="1"/>
  <c r="AA194" i="1"/>
  <c r="AZ194" i="1" s="1"/>
  <c r="AY194" i="1"/>
  <c r="AA57" i="1"/>
  <c r="AZ57" i="1" s="1"/>
  <c r="AY57" i="1"/>
  <c r="AM101" i="1"/>
  <c r="AZ101" i="1" s="1"/>
  <c r="AY101" i="1"/>
  <c r="BD95" i="1"/>
  <c r="J546" i="2" s="1"/>
  <c r="AM25" i="1"/>
  <c r="AZ25" i="1" s="1"/>
  <c r="AY25" i="1"/>
  <c r="AX175" i="1"/>
  <c r="AL175" i="1"/>
  <c r="AA174" i="1"/>
  <c r="AZ174" i="1" s="1"/>
  <c r="AY174" i="1"/>
  <c r="AA176" i="1"/>
  <c r="AZ176" i="1" s="1"/>
  <c r="AY176" i="1"/>
  <c r="AA158" i="1"/>
  <c r="AZ158" i="1" s="1"/>
  <c r="AY158" i="1"/>
  <c r="BD156" i="1"/>
  <c r="J912" i="2" s="1"/>
  <c r="BD126" i="1"/>
  <c r="D735" i="2" s="1"/>
  <c r="BD80" i="1"/>
  <c r="D459" i="2" s="1"/>
  <c r="AM26" i="1"/>
  <c r="AZ26" i="1" s="1"/>
  <c r="AY26" i="1"/>
  <c r="Y27" i="1"/>
  <c r="AW27" i="1"/>
  <c r="AM70" i="1"/>
  <c r="AZ70" i="1" s="1"/>
  <c r="AY70" i="1"/>
  <c r="Z32" i="1"/>
  <c r="AX32" i="1"/>
  <c r="AM34" i="1"/>
  <c r="AZ34" i="1" s="1"/>
  <c r="AY34" i="1"/>
  <c r="AL29" i="1"/>
  <c r="AX29" i="1"/>
  <c r="AI8" i="1"/>
  <c r="S168" i="1"/>
  <c r="AF168" i="1"/>
  <c r="AF205" i="1" s="1"/>
  <c r="AE206" i="1"/>
  <c r="AK19" i="1"/>
  <c r="AX19" i="1" s="1"/>
  <c r="AO74" i="1"/>
  <c r="BU74" i="1" s="1"/>
  <c r="AN18" i="1"/>
  <c r="BD34" i="1" l="1"/>
  <c r="D168" i="2" s="1"/>
  <c r="BD70" i="1"/>
  <c r="D396" i="2" s="1"/>
  <c r="BD101" i="1"/>
  <c r="J585" i="2" s="1"/>
  <c r="BD57" i="1"/>
  <c r="J306" i="2" s="1"/>
  <c r="BD194" i="1"/>
  <c r="D1152" i="2" s="1"/>
  <c r="BD118" i="1"/>
  <c r="D684" i="2" s="1"/>
  <c r="BD50" i="1"/>
  <c r="D270" i="2" s="1"/>
  <c r="BD30" i="1"/>
  <c r="D144" i="2" s="1"/>
  <c r="BA18" i="1"/>
  <c r="AR168" i="1"/>
  <c r="AR205" i="1" s="1"/>
  <c r="S205" i="1"/>
  <c r="BD152" i="1"/>
  <c r="J888" i="2" s="1"/>
  <c r="BD182" i="1"/>
  <c r="J1062" i="2" s="1"/>
  <c r="AV8" i="1"/>
  <c r="AU8" i="1"/>
  <c r="BF205" i="1"/>
  <c r="BD18" i="1"/>
  <c r="D69" i="2" s="1"/>
  <c r="AL178" i="1"/>
  <c r="AX178" i="1"/>
  <c r="BD196" i="1"/>
  <c r="D1164" i="2" s="1"/>
  <c r="BD187" i="1"/>
  <c r="D1101" i="2" s="1"/>
  <c r="BD172" i="1"/>
  <c r="D1014" i="2" s="1"/>
  <c r="BD134" i="1"/>
  <c r="J774" i="2" s="1"/>
  <c r="BD23" i="1"/>
  <c r="J93" i="2" s="1"/>
  <c r="BD84" i="1"/>
  <c r="D483" i="2" s="1"/>
  <c r="BD21" i="1"/>
  <c r="J81" i="2" s="1"/>
  <c r="BD26" i="1"/>
  <c r="D117" i="2" s="1"/>
  <c r="BD158" i="1"/>
  <c r="J924" i="2" s="1"/>
  <c r="BD176" i="1"/>
  <c r="D1038" i="2" s="1"/>
  <c r="BD174" i="1"/>
  <c r="D1026" i="2" s="1"/>
  <c r="BD25" i="1"/>
  <c r="J105" i="2" s="1"/>
  <c r="BD186" i="1"/>
  <c r="J1089" i="2" s="1"/>
  <c r="BD82" i="1"/>
  <c r="D471" i="2" s="1"/>
  <c r="BD43" i="1"/>
  <c r="J219" i="2" s="1"/>
  <c r="BD120" i="1"/>
  <c r="D699" i="2" s="1"/>
  <c r="BD88" i="1"/>
  <c r="D510" i="2" s="1"/>
  <c r="BD54" i="1"/>
  <c r="D294" i="2" s="1"/>
  <c r="Z14" i="1"/>
  <c r="AX14" i="1"/>
  <c r="AY10" i="1"/>
  <c r="AM10" i="1"/>
  <c r="AZ10" i="1" s="1"/>
  <c r="AM29" i="1"/>
  <c r="AZ29" i="1" s="1"/>
  <c r="AY29" i="1"/>
  <c r="AA32" i="1"/>
  <c r="AY32" i="1"/>
  <c r="Z27" i="1"/>
  <c r="AX27" i="1"/>
  <c r="AM175" i="1"/>
  <c r="AZ175" i="1" s="1"/>
  <c r="AY175" i="1"/>
  <c r="Z28" i="1"/>
  <c r="AX28" i="1"/>
  <c r="AX17" i="1"/>
  <c r="Z17" i="1"/>
  <c r="Z155" i="1"/>
  <c r="AX155" i="1"/>
  <c r="BD69" i="1"/>
  <c r="J384" i="2" s="1"/>
  <c r="AL122" i="1"/>
  <c r="AX122" i="1"/>
  <c r="BD33" i="1"/>
  <c r="J156" i="2" s="1"/>
  <c r="AA36" i="1"/>
  <c r="AZ36" i="1" s="1"/>
  <c r="AY36" i="1"/>
  <c r="BD52" i="1"/>
  <c r="D282" i="2" s="1"/>
  <c r="BD53" i="1"/>
  <c r="J282" i="2" s="1"/>
  <c r="AM123" i="1"/>
  <c r="AZ123" i="1" s="1"/>
  <c r="AY123" i="1"/>
  <c r="Z119" i="1"/>
  <c r="AX119" i="1"/>
  <c r="Z22" i="1"/>
  <c r="AX22" i="1"/>
  <c r="Z98" i="1"/>
  <c r="AX98" i="1"/>
  <c r="BA20" i="1"/>
  <c r="AO20" i="1"/>
  <c r="BU20" i="1" s="1"/>
  <c r="AM12" i="1"/>
  <c r="AZ12" i="1" s="1"/>
  <c r="AY12" i="1"/>
  <c r="AM24" i="1"/>
  <c r="AZ24" i="1" s="1"/>
  <c r="AY24" i="1"/>
  <c r="AL112" i="1"/>
  <c r="AX112" i="1"/>
  <c r="AL35" i="1"/>
  <c r="AX35" i="1"/>
  <c r="Z16" i="1"/>
  <c r="AX16" i="1"/>
  <c r="AA31" i="1"/>
  <c r="AZ31" i="1" s="1"/>
  <c r="AY31" i="1"/>
  <c r="AL107" i="1"/>
  <c r="AX107" i="1"/>
  <c r="Z13" i="1"/>
  <c r="AX13" i="1"/>
  <c r="AO18" i="1"/>
  <c r="BU18" i="1" s="1"/>
  <c r="AG168" i="1"/>
  <c r="AG205" i="1" s="1"/>
  <c r="AF206" i="1"/>
  <c r="T168" i="1"/>
  <c r="AJ8" i="1"/>
  <c r="AL19" i="1"/>
  <c r="AY19" i="1" s="1"/>
  <c r="D210" i="1"/>
  <c r="AS168" i="1" l="1"/>
  <c r="AS205" i="1" s="1"/>
  <c r="T205" i="1"/>
  <c r="AW8" i="1"/>
  <c r="BD175" i="1"/>
  <c r="J1026" i="2" s="1"/>
  <c r="BG10" i="1"/>
  <c r="BG14" i="1"/>
  <c r="BG18" i="1"/>
  <c r="BG22" i="1"/>
  <c r="BG26" i="1"/>
  <c r="BG9" i="1"/>
  <c r="BG13" i="1"/>
  <c r="BG17" i="1"/>
  <c r="BG21" i="1"/>
  <c r="BG25" i="1"/>
  <c r="BG29" i="1"/>
  <c r="BG33" i="1"/>
  <c r="BG37" i="1"/>
  <c r="BG41" i="1"/>
  <c r="BG45" i="1"/>
  <c r="BG49" i="1"/>
  <c r="BG32" i="1"/>
  <c r="BG36" i="1"/>
  <c r="BG40" i="1"/>
  <c r="BG44" i="1"/>
  <c r="BG48" i="1"/>
  <c r="BG52" i="1"/>
  <c r="BG56" i="1"/>
  <c r="BG60" i="1"/>
  <c r="BG64" i="1"/>
  <c r="BG68" i="1"/>
  <c r="BG72" i="1"/>
  <c r="BG76" i="1"/>
  <c r="BG80" i="1"/>
  <c r="BG84" i="1"/>
  <c r="BG88" i="1"/>
  <c r="BG51" i="1"/>
  <c r="BG55" i="1"/>
  <c r="BG59" i="1"/>
  <c r="BG63" i="1"/>
  <c r="BG67" i="1"/>
  <c r="BG71" i="1"/>
  <c r="BG75" i="1"/>
  <c r="BG79" i="1"/>
  <c r="BG83" i="1"/>
  <c r="BG87" i="1"/>
  <c r="BG91" i="1"/>
  <c r="BG93" i="1"/>
  <c r="BG97" i="1"/>
  <c r="BG101" i="1"/>
  <c r="BG105" i="1"/>
  <c r="BG110" i="1"/>
  <c r="BG114" i="1"/>
  <c r="BG118" i="1"/>
  <c r="BG122" i="1"/>
  <c r="BG126" i="1"/>
  <c r="BG130" i="1"/>
  <c r="BG134" i="1"/>
  <c r="BG96" i="1"/>
  <c r="BG100" i="1"/>
  <c r="BG104" i="1"/>
  <c r="BG109" i="1"/>
  <c r="BG113" i="1"/>
  <c r="BG117" i="1"/>
  <c r="BG121" i="1"/>
  <c r="BG125" i="1"/>
  <c r="BG129" i="1"/>
  <c r="BG133" i="1"/>
  <c r="BG136" i="1"/>
  <c r="BG139" i="1"/>
  <c r="BG143" i="1"/>
  <c r="BG147" i="1"/>
  <c r="BG151" i="1"/>
  <c r="BG155" i="1"/>
  <c r="BG159" i="1"/>
  <c r="BG163" i="1"/>
  <c r="BG167" i="1"/>
  <c r="BG171" i="1"/>
  <c r="BG175" i="1"/>
  <c r="BG179" i="1"/>
  <c r="BG183" i="1"/>
  <c r="BG187" i="1"/>
  <c r="BG191" i="1"/>
  <c r="BG195" i="1"/>
  <c r="BG199" i="1"/>
  <c r="BG203" i="1"/>
  <c r="BG140" i="1"/>
  <c r="BG144" i="1"/>
  <c r="BG148" i="1"/>
  <c r="BG152" i="1"/>
  <c r="BG156" i="1"/>
  <c r="BG160" i="1"/>
  <c r="BG164" i="1"/>
  <c r="BG168" i="1"/>
  <c r="BG172" i="1"/>
  <c r="BG176" i="1"/>
  <c r="BG180" i="1"/>
  <c r="BG184" i="1"/>
  <c r="BG188" i="1"/>
  <c r="BG192" i="1"/>
  <c r="BG196" i="1"/>
  <c r="BG200" i="1"/>
  <c r="BG204" i="1"/>
  <c r="BG8" i="1"/>
  <c r="BG12" i="1"/>
  <c r="BG16" i="1"/>
  <c r="BG20" i="1"/>
  <c r="BG24" i="1"/>
  <c r="BG28" i="1"/>
  <c r="BG11" i="1"/>
  <c r="BG15" i="1"/>
  <c r="BG19" i="1"/>
  <c r="BG23" i="1"/>
  <c r="BG27" i="1"/>
  <c r="BG31" i="1"/>
  <c r="BG35" i="1"/>
  <c r="BG39" i="1"/>
  <c r="BG43" i="1"/>
  <c r="BG47" i="1"/>
  <c r="BG30" i="1"/>
  <c r="BG34" i="1"/>
  <c r="BG38" i="1"/>
  <c r="BG42" i="1"/>
  <c r="BG46" i="1"/>
  <c r="BG50" i="1"/>
  <c r="BG54" i="1"/>
  <c r="BG58" i="1"/>
  <c r="BG62" i="1"/>
  <c r="BG66" i="1"/>
  <c r="BG70" i="1"/>
  <c r="BG74" i="1"/>
  <c r="BG78" i="1"/>
  <c r="BG82" i="1"/>
  <c r="BG86" i="1"/>
  <c r="BG90" i="1"/>
  <c r="BG53" i="1"/>
  <c r="BG57" i="1"/>
  <c r="BG61" i="1"/>
  <c r="BG65" i="1"/>
  <c r="BG69" i="1"/>
  <c r="BG73" i="1"/>
  <c r="BG77" i="1"/>
  <c r="BG81" i="1"/>
  <c r="BG85" i="1"/>
  <c r="BG89" i="1"/>
  <c r="BG92" i="1"/>
  <c r="BG95" i="1"/>
  <c r="BG99" i="1"/>
  <c r="BG103" i="1"/>
  <c r="BG108" i="1"/>
  <c r="BG112" i="1"/>
  <c r="BG116" i="1"/>
  <c r="BG120" i="1"/>
  <c r="BG124" i="1"/>
  <c r="BG128" i="1"/>
  <c r="BG132" i="1"/>
  <c r="BG94" i="1"/>
  <c r="BG98" i="1"/>
  <c r="BG102" i="1"/>
  <c r="BG107" i="1"/>
  <c r="BG111" i="1"/>
  <c r="BG115" i="1"/>
  <c r="BG119" i="1"/>
  <c r="BG123" i="1"/>
  <c r="BG127" i="1"/>
  <c r="BG131" i="1"/>
  <c r="BG135" i="1"/>
  <c r="BG137" i="1"/>
  <c r="BG141" i="1"/>
  <c r="BG145" i="1"/>
  <c r="BG149" i="1"/>
  <c r="BG153" i="1"/>
  <c r="BG157" i="1"/>
  <c r="BG161" i="1"/>
  <c r="BG165" i="1"/>
  <c r="BG169" i="1"/>
  <c r="BG173" i="1"/>
  <c r="BG177" i="1"/>
  <c r="BG181" i="1"/>
  <c r="BG185" i="1"/>
  <c r="BG189" i="1"/>
  <c r="BG193" i="1"/>
  <c r="BG197" i="1"/>
  <c r="BG201" i="1"/>
  <c r="BG138" i="1"/>
  <c r="BG142" i="1"/>
  <c r="BG146" i="1"/>
  <c r="BG150" i="1"/>
  <c r="BG154" i="1"/>
  <c r="BG158" i="1"/>
  <c r="BG162" i="1"/>
  <c r="BG166" i="1"/>
  <c r="BG170" i="1"/>
  <c r="BG174" i="1"/>
  <c r="BG178" i="1"/>
  <c r="BG182" i="1"/>
  <c r="BG186" i="1"/>
  <c r="BG190" i="1"/>
  <c r="BG194" i="1"/>
  <c r="BG198" i="1"/>
  <c r="BG202" i="1"/>
  <c r="BD123" i="1"/>
  <c r="J711" i="2" s="1"/>
  <c r="BD36" i="1"/>
  <c r="D180" i="2" s="1"/>
  <c r="AZ32" i="1"/>
  <c r="BD32" i="1" s="1"/>
  <c r="D156" i="2" s="1"/>
  <c r="BD29" i="1"/>
  <c r="J132" i="2" s="1"/>
  <c r="P210" i="1"/>
  <c r="AY178" i="1"/>
  <c r="BD178" i="1" s="1"/>
  <c r="D1050" i="2" s="1"/>
  <c r="AM178" i="1"/>
  <c r="AZ178" i="1" s="1"/>
  <c r="BD10" i="1"/>
  <c r="D18" i="2" s="1"/>
  <c r="AA13" i="1"/>
  <c r="AY13" i="1"/>
  <c r="AM107" i="1"/>
  <c r="AZ107" i="1" s="1"/>
  <c r="AY107" i="1"/>
  <c r="BD31" i="1"/>
  <c r="J144" i="2" s="1"/>
  <c r="AA16" i="1"/>
  <c r="AZ16" i="1" s="1"/>
  <c r="BD16" i="1" s="1"/>
  <c r="D54" i="2" s="1"/>
  <c r="AY16" i="1"/>
  <c r="AM35" i="1"/>
  <c r="AZ35" i="1" s="1"/>
  <c r="BD35" i="1" s="1"/>
  <c r="J168" i="2" s="1"/>
  <c r="AY35" i="1"/>
  <c r="AM112" i="1"/>
  <c r="AZ112" i="1" s="1"/>
  <c r="BD112" i="1" s="1"/>
  <c r="J648" i="2" s="1"/>
  <c r="AY112" i="1"/>
  <c r="BD24" i="1"/>
  <c r="D105" i="2" s="1"/>
  <c r="BD12" i="1"/>
  <c r="D30" i="2" s="1"/>
  <c r="BD20" i="1"/>
  <c r="D81" i="2" s="1"/>
  <c r="AM122" i="1"/>
  <c r="AZ122" i="1" s="1"/>
  <c r="AY122" i="1"/>
  <c r="AA17" i="1"/>
  <c r="AZ17" i="1" s="1"/>
  <c r="AY17" i="1"/>
  <c r="AA14" i="1"/>
  <c r="AZ14" i="1" s="1"/>
  <c r="AY14" i="1"/>
  <c r="AA98" i="1"/>
  <c r="AZ98" i="1" s="1"/>
  <c r="AY98" i="1"/>
  <c r="AA22" i="1"/>
  <c r="AZ22" i="1" s="1"/>
  <c r="AY22" i="1"/>
  <c r="AA119" i="1"/>
  <c r="AZ119" i="1" s="1"/>
  <c r="AY119" i="1"/>
  <c r="AA155" i="1"/>
  <c r="AZ155" i="1" s="1"/>
  <c r="AY155" i="1"/>
  <c r="AA28" i="1"/>
  <c r="AZ28" i="1" s="1"/>
  <c r="AY28" i="1"/>
  <c r="AA27" i="1"/>
  <c r="AZ27" i="1" s="1"/>
  <c r="AY27" i="1"/>
  <c r="AK8" i="1"/>
  <c r="U168" i="1"/>
  <c r="AH168" i="1"/>
  <c r="AG206" i="1"/>
  <c r="AM19" i="1"/>
  <c r="AZ19" i="1" s="1"/>
  <c r="BD19" i="1" s="1"/>
  <c r="J69" i="2" s="1"/>
  <c r="AB210" i="1"/>
  <c r="AT168" i="1" l="1"/>
  <c r="AT205" i="1" s="1"/>
  <c r="U205" i="1"/>
  <c r="AA205" i="1"/>
  <c r="AU168" i="1"/>
  <c r="AU205" i="1" s="1"/>
  <c r="AH205" i="1"/>
  <c r="AX8" i="1"/>
  <c r="BG205" i="1"/>
  <c r="BH11" i="1"/>
  <c r="BH15" i="1"/>
  <c r="BH19" i="1"/>
  <c r="BH23" i="1"/>
  <c r="BH27" i="1"/>
  <c r="BH10" i="1"/>
  <c r="BH14" i="1"/>
  <c r="BH18" i="1"/>
  <c r="BH22" i="1"/>
  <c r="BH26" i="1"/>
  <c r="BH30" i="1"/>
  <c r="BH34" i="1"/>
  <c r="BH38" i="1"/>
  <c r="BH42" i="1"/>
  <c r="BH46" i="1"/>
  <c r="BH29" i="1"/>
  <c r="BH33" i="1"/>
  <c r="BH37" i="1"/>
  <c r="BH41" i="1"/>
  <c r="BH45" i="1"/>
  <c r="BH49" i="1"/>
  <c r="BH53" i="1"/>
  <c r="BH57" i="1"/>
  <c r="BH61" i="1"/>
  <c r="BH65" i="1"/>
  <c r="BH69" i="1"/>
  <c r="BH73" i="1"/>
  <c r="BH77" i="1"/>
  <c r="BH81" i="1"/>
  <c r="BH85" i="1"/>
  <c r="BH89" i="1"/>
  <c r="BH50" i="1"/>
  <c r="BH54" i="1"/>
  <c r="BH58" i="1"/>
  <c r="BH62" i="1"/>
  <c r="BH66" i="1"/>
  <c r="BH70" i="1"/>
  <c r="BH74" i="1"/>
  <c r="BH78" i="1"/>
  <c r="BH82" i="1"/>
  <c r="BH86" i="1"/>
  <c r="BH90" i="1"/>
  <c r="BH94" i="1"/>
  <c r="BH98" i="1"/>
  <c r="BH102" i="1"/>
  <c r="BH107" i="1"/>
  <c r="BH111" i="1"/>
  <c r="BH115" i="1"/>
  <c r="BH119" i="1"/>
  <c r="BH123" i="1"/>
  <c r="BH127" i="1"/>
  <c r="BH131" i="1"/>
  <c r="BH135" i="1"/>
  <c r="BH95" i="1"/>
  <c r="BH99" i="1"/>
  <c r="BH103" i="1"/>
  <c r="BH108" i="1"/>
  <c r="BH112" i="1"/>
  <c r="BH116" i="1"/>
  <c r="BH120" i="1"/>
  <c r="BH124" i="1"/>
  <c r="BH128" i="1"/>
  <c r="BH132" i="1"/>
  <c r="BH136" i="1"/>
  <c r="BH140" i="1"/>
  <c r="BH144" i="1"/>
  <c r="BH148" i="1"/>
  <c r="BH152" i="1"/>
  <c r="BH156" i="1"/>
  <c r="BH160" i="1"/>
  <c r="BH164" i="1"/>
  <c r="BH168" i="1"/>
  <c r="BH172" i="1"/>
  <c r="BH176" i="1"/>
  <c r="BH180" i="1"/>
  <c r="BH184" i="1"/>
  <c r="BH188" i="1"/>
  <c r="BH192" i="1"/>
  <c r="BH196" i="1"/>
  <c r="BH200" i="1"/>
  <c r="BH204" i="1"/>
  <c r="BH139" i="1"/>
  <c r="BH143" i="1"/>
  <c r="BH147" i="1"/>
  <c r="BH151" i="1"/>
  <c r="BH155" i="1"/>
  <c r="BH159" i="1"/>
  <c r="BH163" i="1"/>
  <c r="BH167" i="1"/>
  <c r="BH171" i="1"/>
  <c r="BH175" i="1"/>
  <c r="BH179" i="1"/>
  <c r="BH183" i="1"/>
  <c r="BH187" i="1"/>
  <c r="BH191" i="1"/>
  <c r="BH195" i="1"/>
  <c r="BH199" i="1"/>
  <c r="BH203" i="1"/>
  <c r="BH9" i="1"/>
  <c r="BH13" i="1"/>
  <c r="BH17" i="1"/>
  <c r="BH21" i="1"/>
  <c r="BH25" i="1"/>
  <c r="BH8" i="1"/>
  <c r="BH12" i="1"/>
  <c r="BH16" i="1"/>
  <c r="BH20" i="1"/>
  <c r="BH24" i="1"/>
  <c r="BH28" i="1"/>
  <c r="BH32" i="1"/>
  <c r="BH36" i="1"/>
  <c r="BH40" i="1"/>
  <c r="BH44" i="1"/>
  <c r="BH48" i="1"/>
  <c r="BH31" i="1"/>
  <c r="BH35" i="1"/>
  <c r="BH39" i="1"/>
  <c r="BH43" i="1"/>
  <c r="BH47" i="1"/>
  <c r="BH51" i="1"/>
  <c r="BH55" i="1"/>
  <c r="BH59" i="1"/>
  <c r="BH63" i="1"/>
  <c r="BH67" i="1"/>
  <c r="BH71" i="1"/>
  <c r="BH75" i="1"/>
  <c r="BH79" i="1"/>
  <c r="BH83" i="1"/>
  <c r="BH87" i="1"/>
  <c r="BH91" i="1"/>
  <c r="BH52" i="1"/>
  <c r="BH56" i="1"/>
  <c r="BH60" i="1"/>
  <c r="BH64" i="1"/>
  <c r="BH68" i="1"/>
  <c r="BH72" i="1"/>
  <c r="BH76" i="1"/>
  <c r="BH80" i="1"/>
  <c r="BH84" i="1"/>
  <c r="BH88" i="1"/>
  <c r="BH92" i="1"/>
  <c r="BH96" i="1"/>
  <c r="BH100" i="1"/>
  <c r="BH104" i="1"/>
  <c r="BH109" i="1"/>
  <c r="BH113" i="1"/>
  <c r="BH117" i="1"/>
  <c r="BH121" i="1"/>
  <c r="BH125" i="1"/>
  <c r="BH129" i="1"/>
  <c r="BH133" i="1"/>
  <c r="BH93" i="1"/>
  <c r="BH97" i="1"/>
  <c r="BH101" i="1"/>
  <c r="BH105" i="1"/>
  <c r="BH110" i="1"/>
  <c r="BH114" i="1"/>
  <c r="BH118" i="1"/>
  <c r="BH122" i="1"/>
  <c r="BH126" i="1"/>
  <c r="BH130" i="1"/>
  <c r="BH134" i="1"/>
  <c r="BH138" i="1"/>
  <c r="BH142" i="1"/>
  <c r="BH146" i="1"/>
  <c r="BH150" i="1"/>
  <c r="BH154" i="1"/>
  <c r="BH158" i="1"/>
  <c r="BH162" i="1"/>
  <c r="BH166" i="1"/>
  <c r="BH170" i="1"/>
  <c r="BH174" i="1"/>
  <c r="BH178" i="1"/>
  <c r="BH182" i="1"/>
  <c r="BH186" i="1"/>
  <c r="BH190" i="1"/>
  <c r="BH194" i="1"/>
  <c r="BH198" i="1"/>
  <c r="BH202" i="1"/>
  <c r="BH137" i="1"/>
  <c r="BH141" i="1"/>
  <c r="BH145" i="1"/>
  <c r="BH149" i="1"/>
  <c r="BH153" i="1"/>
  <c r="BH157" i="1"/>
  <c r="BH161" i="1"/>
  <c r="BH165" i="1"/>
  <c r="BH169" i="1"/>
  <c r="BH173" i="1"/>
  <c r="BH177" i="1"/>
  <c r="BH181" i="1"/>
  <c r="BH185" i="1"/>
  <c r="BH189" i="1"/>
  <c r="BH193" i="1"/>
  <c r="BH197" i="1"/>
  <c r="BH201" i="1"/>
  <c r="BD14" i="1"/>
  <c r="D42" i="2" s="1"/>
  <c r="BD17" i="1"/>
  <c r="J54" i="2" s="1"/>
  <c r="BD122" i="1"/>
  <c r="D711" i="2" s="1"/>
  <c r="BD27" i="1"/>
  <c r="J117" i="2" s="1"/>
  <c r="BD28" i="1"/>
  <c r="D132" i="2" s="1"/>
  <c r="BD155" i="1"/>
  <c r="D912" i="2" s="1"/>
  <c r="BD119" i="1"/>
  <c r="J684" i="2" s="1"/>
  <c r="BD22" i="1"/>
  <c r="D93" i="2" s="1"/>
  <c r="BD98" i="1"/>
  <c r="D573" i="2" s="1"/>
  <c r="BD107" i="1"/>
  <c r="D621" i="2" s="1"/>
  <c r="AZ13" i="1"/>
  <c r="AI168" i="1"/>
  <c r="AI205" i="1" s="1"/>
  <c r="AH206" i="1"/>
  <c r="W168" i="1"/>
  <c r="AL8" i="1"/>
  <c r="AV168" i="1" l="1"/>
  <c r="AV205" i="1" s="1"/>
  <c r="W205" i="1"/>
  <c r="BH205" i="1"/>
  <c r="BI8" i="1"/>
  <c r="BI12" i="1"/>
  <c r="BI16" i="1"/>
  <c r="BI20" i="1"/>
  <c r="BI24" i="1"/>
  <c r="BI28" i="1"/>
  <c r="BI11" i="1"/>
  <c r="BI15" i="1"/>
  <c r="BI19" i="1"/>
  <c r="BI23" i="1"/>
  <c r="BI27" i="1"/>
  <c r="BI31" i="1"/>
  <c r="BI35" i="1"/>
  <c r="BI39" i="1"/>
  <c r="BI43" i="1"/>
  <c r="BI47" i="1"/>
  <c r="BI30" i="1"/>
  <c r="BI34" i="1"/>
  <c r="BI38" i="1"/>
  <c r="BI42" i="1"/>
  <c r="BI46" i="1"/>
  <c r="BI50" i="1"/>
  <c r="BI54" i="1"/>
  <c r="BI58" i="1"/>
  <c r="BI62" i="1"/>
  <c r="BI66" i="1"/>
  <c r="BI70" i="1"/>
  <c r="BI74" i="1"/>
  <c r="BI78" i="1"/>
  <c r="BI82" i="1"/>
  <c r="BI86" i="1"/>
  <c r="BI90" i="1"/>
  <c r="BI53" i="1"/>
  <c r="BI57" i="1"/>
  <c r="BI61" i="1"/>
  <c r="BI65" i="1"/>
  <c r="BI69" i="1"/>
  <c r="BI73" i="1"/>
  <c r="BI77" i="1"/>
  <c r="BI81" i="1"/>
  <c r="BI85" i="1"/>
  <c r="BI89" i="1"/>
  <c r="BI93" i="1"/>
  <c r="BI97" i="1"/>
  <c r="BI101" i="1"/>
  <c r="BI105" i="1"/>
  <c r="BI110" i="1"/>
  <c r="BI114" i="1"/>
  <c r="BI118" i="1"/>
  <c r="BI122" i="1"/>
  <c r="BI126" i="1"/>
  <c r="BI130" i="1"/>
  <c r="BI134" i="1"/>
  <c r="BI94" i="1"/>
  <c r="BI98" i="1"/>
  <c r="BI102" i="1"/>
  <c r="BI107" i="1"/>
  <c r="BI111" i="1"/>
  <c r="BI115" i="1"/>
  <c r="BI119" i="1"/>
  <c r="BI123" i="1"/>
  <c r="BI127" i="1"/>
  <c r="BI131" i="1"/>
  <c r="BI135" i="1"/>
  <c r="BI139" i="1"/>
  <c r="BI143" i="1"/>
  <c r="BI147" i="1"/>
  <c r="BI151" i="1"/>
  <c r="BI155" i="1"/>
  <c r="BI159" i="1"/>
  <c r="BI163" i="1"/>
  <c r="BI167" i="1"/>
  <c r="BI171" i="1"/>
  <c r="BI175" i="1"/>
  <c r="BI179" i="1"/>
  <c r="BI183" i="1"/>
  <c r="BI187" i="1"/>
  <c r="BI191" i="1"/>
  <c r="BI195" i="1"/>
  <c r="BI199" i="1"/>
  <c r="BI203" i="1"/>
  <c r="BI138" i="1"/>
  <c r="BI142" i="1"/>
  <c r="BI146" i="1"/>
  <c r="BI150" i="1"/>
  <c r="BI154" i="1"/>
  <c r="BI158" i="1"/>
  <c r="BI162" i="1"/>
  <c r="BI166" i="1"/>
  <c r="BI170" i="1"/>
  <c r="BI174" i="1"/>
  <c r="BI178" i="1"/>
  <c r="BI182" i="1"/>
  <c r="BI186" i="1"/>
  <c r="BI190" i="1"/>
  <c r="BI194" i="1"/>
  <c r="BI198" i="1"/>
  <c r="BI202" i="1"/>
  <c r="BI10" i="1"/>
  <c r="BI14" i="1"/>
  <c r="BI18" i="1"/>
  <c r="BI22" i="1"/>
  <c r="BI26" i="1"/>
  <c r="BI9" i="1"/>
  <c r="BI13" i="1"/>
  <c r="BI17" i="1"/>
  <c r="BI21" i="1"/>
  <c r="BI25" i="1"/>
  <c r="BI29" i="1"/>
  <c r="BI33" i="1"/>
  <c r="BI37" i="1"/>
  <c r="BI41" i="1"/>
  <c r="BI45" i="1"/>
  <c r="BI49" i="1"/>
  <c r="BI32" i="1"/>
  <c r="BI36" i="1"/>
  <c r="BI40" i="1"/>
  <c r="BI44" i="1"/>
  <c r="BI48" i="1"/>
  <c r="BI52" i="1"/>
  <c r="BI56" i="1"/>
  <c r="BI60" i="1"/>
  <c r="BI64" i="1"/>
  <c r="BI68" i="1"/>
  <c r="BI72" i="1"/>
  <c r="BI76" i="1"/>
  <c r="BI80" i="1"/>
  <c r="BI84" i="1"/>
  <c r="BI88" i="1"/>
  <c r="BI51" i="1"/>
  <c r="BI55" i="1"/>
  <c r="BI59" i="1"/>
  <c r="BI63" i="1"/>
  <c r="BI67" i="1"/>
  <c r="BI71" i="1"/>
  <c r="BI75" i="1"/>
  <c r="BI79" i="1"/>
  <c r="BI83" i="1"/>
  <c r="BI87" i="1"/>
  <c r="BI91" i="1"/>
  <c r="BI95" i="1"/>
  <c r="BI99" i="1"/>
  <c r="BI103" i="1"/>
  <c r="BI108" i="1"/>
  <c r="BI112" i="1"/>
  <c r="BI116" i="1"/>
  <c r="BI120" i="1"/>
  <c r="BI124" i="1"/>
  <c r="BI128" i="1"/>
  <c r="BI132" i="1"/>
  <c r="BI92" i="1"/>
  <c r="BI96" i="1"/>
  <c r="BI100" i="1"/>
  <c r="BI104" i="1"/>
  <c r="BI109" i="1"/>
  <c r="BI113" i="1"/>
  <c r="BI117" i="1"/>
  <c r="BI121" i="1"/>
  <c r="BI125" i="1"/>
  <c r="BI129" i="1"/>
  <c r="BI133" i="1"/>
  <c r="BI137" i="1"/>
  <c r="BI141" i="1"/>
  <c r="BI145" i="1"/>
  <c r="BI149" i="1"/>
  <c r="BI153" i="1"/>
  <c r="BI157" i="1"/>
  <c r="BI161" i="1"/>
  <c r="BI165" i="1"/>
  <c r="BI169" i="1"/>
  <c r="BI173" i="1"/>
  <c r="BI177" i="1"/>
  <c r="BI181" i="1"/>
  <c r="BI185" i="1"/>
  <c r="BI189" i="1"/>
  <c r="BI193" i="1"/>
  <c r="BI197" i="1"/>
  <c r="BI201" i="1"/>
  <c r="BI136" i="1"/>
  <c r="BI140" i="1"/>
  <c r="BI144" i="1"/>
  <c r="BI148" i="1"/>
  <c r="BI152" i="1"/>
  <c r="BI156" i="1"/>
  <c r="BI160" i="1"/>
  <c r="BI164" i="1"/>
  <c r="BI168" i="1"/>
  <c r="BI172" i="1"/>
  <c r="BI176" i="1"/>
  <c r="BI180" i="1"/>
  <c r="BI184" i="1"/>
  <c r="BI188" i="1"/>
  <c r="BI192" i="1"/>
  <c r="BI196" i="1"/>
  <c r="BI200" i="1"/>
  <c r="BI204" i="1"/>
  <c r="AY8" i="1"/>
  <c r="BJ15" i="1"/>
  <c r="BJ23" i="1"/>
  <c r="BJ31" i="1"/>
  <c r="BJ39" i="1"/>
  <c r="BJ47" i="1"/>
  <c r="BJ55" i="1"/>
  <c r="BJ63" i="1"/>
  <c r="BJ71" i="1"/>
  <c r="BJ79" i="1"/>
  <c r="BJ87" i="1"/>
  <c r="BJ95" i="1"/>
  <c r="BJ103" i="1"/>
  <c r="BJ112" i="1"/>
  <c r="BJ120" i="1"/>
  <c r="BJ14" i="1"/>
  <c r="BJ22" i="1"/>
  <c r="BJ30" i="1"/>
  <c r="BJ38" i="1"/>
  <c r="BJ46" i="1"/>
  <c r="BJ54" i="1"/>
  <c r="BJ62" i="1"/>
  <c r="BJ70" i="1"/>
  <c r="BJ82" i="1"/>
  <c r="BJ98" i="1"/>
  <c r="BJ115" i="1"/>
  <c r="BJ127" i="1"/>
  <c r="BJ135" i="1"/>
  <c r="BJ143" i="1"/>
  <c r="BJ151" i="1"/>
  <c r="BJ159" i="1"/>
  <c r="BJ167" i="1"/>
  <c r="BJ175" i="1"/>
  <c r="BJ183" i="1"/>
  <c r="BJ191" i="1"/>
  <c r="BJ199" i="1"/>
  <c r="BJ80" i="1"/>
  <c r="BJ96" i="1"/>
  <c r="BJ113" i="1"/>
  <c r="BJ124" i="1"/>
  <c r="BJ132" i="1"/>
  <c r="BJ140" i="1"/>
  <c r="BJ148" i="1"/>
  <c r="BJ156" i="1"/>
  <c r="BJ164" i="1"/>
  <c r="BJ172" i="1"/>
  <c r="BJ180" i="1"/>
  <c r="BJ188" i="1"/>
  <c r="BJ196" i="1"/>
  <c r="BJ204" i="1"/>
  <c r="BJ13" i="1"/>
  <c r="BJ21" i="1"/>
  <c r="BJ29" i="1"/>
  <c r="BJ37" i="1"/>
  <c r="BJ45" i="1"/>
  <c r="BJ53" i="1"/>
  <c r="BJ61" i="1"/>
  <c r="BJ69" i="1"/>
  <c r="BJ77" i="1"/>
  <c r="BJ85" i="1"/>
  <c r="BJ93" i="1"/>
  <c r="BJ101" i="1"/>
  <c r="BJ110" i="1"/>
  <c r="BJ118" i="1"/>
  <c r="BJ12" i="1"/>
  <c r="BJ20" i="1"/>
  <c r="BJ28" i="1"/>
  <c r="BJ36" i="1"/>
  <c r="BJ44" i="1"/>
  <c r="BJ52" i="1"/>
  <c r="BJ60" i="1"/>
  <c r="BJ68" i="1"/>
  <c r="BJ78" i="1"/>
  <c r="BJ94" i="1"/>
  <c r="BJ111" i="1"/>
  <c r="BJ125" i="1"/>
  <c r="BJ133" i="1"/>
  <c r="BJ141" i="1"/>
  <c r="BJ149" i="1"/>
  <c r="BJ157" i="1"/>
  <c r="BJ165" i="1"/>
  <c r="BJ173" i="1"/>
  <c r="BJ181" i="1"/>
  <c r="BJ189" i="1"/>
  <c r="BJ197" i="1"/>
  <c r="BJ76" i="1"/>
  <c r="BJ92" i="1"/>
  <c r="BJ109" i="1"/>
  <c r="BJ122" i="1"/>
  <c r="BJ130" i="1"/>
  <c r="BJ138" i="1"/>
  <c r="BJ146" i="1"/>
  <c r="BJ154" i="1"/>
  <c r="BJ162" i="1"/>
  <c r="BJ170" i="1"/>
  <c r="BJ178" i="1"/>
  <c r="BJ186" i="1"/>
  <c r="BJ194" i="1"/>
  <c r="BJ202" i="1"/>
  <c r="BJ11" i="1"/>
  <c r="BJ19" i="1"/>
  <c r="BJ27" i="1"/>
  <c r="BJ35" i="1"/>
  <c r="BJ43" i="1"/>
  <c r="BJ51" i="1"/>
  <c r="BJ59" i="1"/>
  <c r="BJ67" i="1"/>
  <c r="BJ75" i="1"/>
  <c r="BJ83" i="1"/>
  <c r="BJ91" i="1"/>
  <c r="BJ99" i="1"/>
  <c r="BJ108" i="1"/>
  <c r="BJ116" i="1"/>
  <c r="BJ10" i="1"/>
  <c r="BJ18" i="1"/>
  <c r="BJ26" i="1"/>
  <c r="BJ34" i="1"/>
  <c r="BJ42" i="1"/>
  <c r="BJ50" i="1"/>
  <c r="BJ58" i="1"/>
  <c r="BJ66" i="1"/>
  <c r="BJ74" i="1"/>
  <c r="BJ90" i="1"/>
  <c r="BJ107" i="1"/>
  <c r="BJ123" i="1"/>
  <c r="BJ131" i="1"/>
  <c r="BJ139" i="1"/>
  <c r="BJ147" i="1"/>
  <c r="BJ155" i="1"/>
  <c r="BJ163" i="1"/>
  <c r="BJ171" i="1"/>
  <c r="BJ179" i="1"/>
  <c r="BJ187" i="1"/>
  <c r="BJ195" i="1"/>
  <c r="BJ203" i="1"/>
  <c r="BJ88" i="1"/>
  <c r="BJ104" i="1"/>
  <c r="BJ121" i="1"/>
  <c r="BJ128" i="1"/>
  <c r="BJ136" i="1"/>
  <c r="BJ144" i="1"/>
  <c r="BJ152" i="1"/>
  <c r="BJ160" i="1"/>
  <c r="BJ168" i="1"/>
  <c r="BJ176" i="1"/>
  <c r="BJ184" i="1"/>
  <c r="BJ192" i="1"/>
  <c r="BJ200" i="1"/>
  <c r="BJ9" i="1"/>
  <c r="BJ17" i="1"/>
  <c r="BJ25" i="1"/>
  <c r="BJ33" i="1"/>
  <c r="BJ41" i="1"/>
  <c r="BJ49" i="1"/>
  <c r="BJ57" i="1"/>
  <c r="BJ65" i="1"/>
  <c r="BJ73" i="1"/>
  <c r="BJ81" i="1"/>
  <c r="BJ89" i="1"/>
  <c r="BJ97" i="1"/>
  <c r="BJ105" i="1"/>
  <c r="BJ114" i="1"/>
  <c r="BJ8" i="1"/>
  <c r="BJ16" i="1"/>
  <c r="BJ24" i="1"/>
  <c r="BJ32" i="1"/>
  <c r="BJ40" i="1"/>
  <c r="BJ48" i="1"/>
  <c r="BJ56" i="1"/>
  <c r="BJ64" i="1"/>
  <c r="BJ72" i="1"/>
  <c r="BJ86" i="1"/>
  <c r="BJ102" i="1"/>
  <c r="BJ119" i="1"/>
  <c r="BJ129" i="1"/>
  <c r="BJ137" i="1"/>
  <c r="BJ145" i="1"/>
  <c r="BJ153" i="1"/>
  <c r="BJ161" i="1"/>
  <c r="BJ169" i="1"/>
  <c r="BJ177" i="1"/>
  <c r="BJ185" i="1"/>
  <c r="BJ193" i="1"/>
  <c r="BJ201" i="1"/>
  <c r="BJ84" i="1"/>
  <c r="BJ100" i="1"/>
  <c r="BJ117" i="1"/>
  <c r="BJ126" i="1"/>
  <c r="BJ134" i="1"/>
  <c r="BJ142" i="1"/>
  <c r="BJ150" i="1"/>
  <c r="BJ158" i="1"/>
  <c r="BJ166" i="1"/>
  <c r="BJ174" i="1"/>
  <c r="BJ182" i="1"/>
  <c r="BJ190" i="1"/>
  <c r="BJ198" i="1"/>
  <c r="BD13" i="1"/>
  <c r="J30" i="2" s="1"/>
  <c r="AM8" i="1"/>
  <c r="X168" i="1"/>
  <c r="X205" i="1" s="1"/>
  <c r="AJ168" i="1"/>
  <c r="AJ205" i="1" s="1"/>
  <c r="AI206" i="1"/>
  <c r="AZ8" i="1" l="1"/>
  <c r="BD8" i="1" s="1"/>
  <c r="D6" i="2" s="1"/>
  <c r="BL9" i="1"/>
  <c r="BL13" i="1"/>
  <c r="BL17" i="1"/>
  <c r="BL21" i="1"/>
  <c r="BL25" i="1"/>
  <c r="BL8" i="1"/>
  <c r="BL12" i="1"/>
  <c r="BL16" i="1"/>
  <c r="BL20" i="1"/>
  <c r="BL24" i="1"/>
  <c r="BL28" i="1"/>
  <c r="BL32" i="1"/>
  <c r="BL36" i="1"/>
  <c r="BL40" i="1"/>
  <c r="BL44" i="1"/>
  <c r="BL48" i="1"/>
  <c r="BL31" i="1"/>
  <c r="BL35" i="1"/>
  <c r="BL39" i="1"/>
  <c r="BL43" i="1"/>
  <c r="BL47" i="1"/>
  <c r="BL51" i="1"/>
  <c r="BL55" i="1"/>
  <c r="BL59" i="1"/>
  <c r="BL63" i="1"/>
  <c r="BL67" i="1"/>
  <c r="BL71" i="1"/>
  <c r="BL75" i="1"/>
  <c r="BL79" i="1"/>
  <c r="BL83" i="1"/>
  <c r="BL87" i="1"/>
  <c r="BL91" i="1"/>
  <c r="BL52" i="1"/>
  <c r="BL56" i="1"/>
  <c r="BL60" i="1"/>
  <c r="BL64" i="1"/>
  <c r="BL68" i="1"/>
  <c r="BL72" i="1"/>
  <c r="BL76" i="1"/>
  <c r="BL80" i="1"/>
  <c r="BL84" i="1"/>
  <c r="BL88" i="1"/>
  <c r="BL92" i="1"/>
  <c r="BL96" i="1"/>
  <c r="BL100" i="1"/>
  <c r="BL104" i="1"/>
  <c r="BL109" i="1"/>
  <c r="BL113" i="1"/>
  <c r="BL117" i="1"/>
  <c r="BL121" i="1"/>
  <c r="BL125" i="1"/>
  <c r="BL129" i="1"/>
  <c r="BL133" i="1"/>
  <c r="BL93" i="1"/>
  <c r="BL97" i="1"/>
  <c r="BL101" i="1"/>
  <c r="BL105" i="1"/>
  <c r="BL110" i="1"/>
  <c r="BL114" i="1"/>
  <c r="BL118" i="1"/>
  <c r="BL122" i="1"/>
  <c r="BL126" i="1"/>
  <c r="BL130" i="1"/>
  <c r="BL134" i="1"/>
  <c r="BL138" i="1"/>
  <c r="BL142" i="1"/>
  <c r="BL146" i="1"/>
  <c r="BL150" i="1"/>
  <c r="BL154" i="1"/>
  <c r="BL158" i="1"/>
  <c r="BL162" i="1"/>
  <c r="BL166" i="1"/>
  <c r="BL170" i="1"/>
  <c r="BL174" i="1"/>
  <c r="BL178" i="1"/>
  <c r="BL182" i="1"/>
  <c r="BL186" i="1"/>
  <c r="BL190" i="1"/>
  <c r="BL194" i="1"/>
  <c r="BL198" i="1"/>
  <c r="BL202" i="1"/>
  <c r="BL137" i="1"/>
  <c r="BL141" i="1"/>
  <c r="BL145" i="1"/>
  <c r="BL149" i="1"/>
  <c r="BL153" i="1"/>
  <c r="BL157" i="1"/>
  <c r="BL161" i="1"/>
  <c r="BL165" i="1"/>
  <c r="BL169" i="1"/>
  <c r="BL173" i="1"/>
  <c r="BL177" i="1"/>
  <c r="BL181" i="1"/>
  <c r="BL185" i="1"/>
  <c r="BL189" i="1"/>
  <c r="BL193" i="1"/>
  <c r="BL197" i="1"/>
  <c r="BL201" i="1"/>
  <c r="BL11" i="1"/>
  <c r="BL15" i="1"/>
  <c r="BL19" i="1"/>
  <c r="BL23" i="1"/>
  <c r="BL27" i="1"/>
  <c r="BL10" i="1"/>
  <c r="BL14" i="1"/>
  <c r="BL18" i="1"/>
  <c r="BL22" i="1"/>
  <c r="BL26" i="1"/>
  <c r="BL30" i="1"/>
  <c r="BL34" i="1"/>
  <c r="BL38" i="1"/>
  <c r="BL42" i="1"/>
  <c r="BL46" i="1"/>
  <c r="BL29" i="1"/>
  <c r="BL33" i="1"/>
  <c r="BL37" i="1"/>
  <c r="BL41" i="1"/>
  <c r="BL45" i="1"/>
  <c r="BL49" i="1"/>
  <c r="BL53" i="1"/>
  <c r="BL57" i="1"/>
  <c r="BL61" i="1"/>
  <c r="BL65" i="1"/>
  <c r="BL69" i="1"/>
  <c r="BL73" i="1"/>
  <c r="BL77" i="1"/>
  <c r="BL81" i="1"/>
  <c r="BL85" i="1"/>
  <c r="BL89" i="1"/>
  <c r="BL50" i="1"/>
  <c r="BL54" i="1"/>
  <c r="BL58" i="1"/>
  <c r="BL62" i="1"/>
  <c r="BL66" i="1"/>
  <c r="BL70" i="1"/>
  <c r="BL74" i="1"/>
  <c r="BL78" i="1"/>
  <c r="BL82" i="1"/>
  <c r="BL86" i="1"/>
  <c r="BL90" i="1"/>
  <c r="BL94" i="1"/>
  <c r="BL98" i="1"/>
  <c r="BL102" i="1"/>
  <c r="BL107" i="1"/>
  <c r="BL111" i="1"/>
  <c r="BL115" i="1"/>
  <c r="BL119" i="1"/>
  <c r="BL123" i="1"/>
  <c r="BL127" i="1"/>
  <c r="BL131" i="1"/>
  <c r="BL135" i="1"/>
  <c r="BL95" i="1"/>
  <c r="BL99" i="1"/>
  <c r="BL103" i="1"/>
  <c r="BL108" i="1"/>
  <c r="BL112" i="1"/>
  <c r="BL116" i="1"/>
  <c r="BL120" i="1"/>
  <c r="BL124" i="1"/>
  <c r="BL128" i="1"/>
  <c r="BL132" i="1"/>
  <c r="BL136" i="1"/>
  <c r="BL140" i="1"/>
  <c r="BL144" i="1"/>
  <c r="BL148" i="1"/>
  <c r="BL152" i="1"/>
  <c r="BL156" i="1"/>
  <c r="BL160" i="1"/>
  <c r="BL164" i="1"/>
  <c r="BL168" i="1"/>
  <c r="BL172" i="1"/>
  <c r="BL176" i="1"/>
  <c r="BL180" i="1"/>
  <c r="BL184" i="1"/>
  <c r="BL188" i="1"/>
  <c r="BL192" i="1"/>
  <c r="BL196" i="1"/>
  <c r="BL200" i="1"/>
  <c r="BL204" i="1"/>
  <c r="BL139" i="1"/>
  <c r="BL143" i="1"/>
  <c r="BL147" i="1"/>
  <c r="BL151" i="1"/>
  <c r="BL155" i="1"/>
  <c r="BL159" i="1"/>
  <c r="BL163" i="1"/>
  <c r="BL167" i="1"/>
  <c r="BL171" i="1"/>
  <c r="BL175" i="1"/>
  <c r="BL179" i="1"/>
  <c r="BL183" i="1"/>
  <c r="BL187" i="1"/>
  <c r="BL191" i="1"/>
  <c r="BL195" i="1"/>
  <c r="BL199" i="1"/>
  <c r="BL203" i="1"/>
  <c r="BJ205" i="1"/>
  <c r="BK10" i="1"/>
  <c r="BK14" i="1"/>
  <c r="BK18" i="1"/>
  <c r="BK22" i="1"/>
  <c r="BK26" i="1"/>
  <c r="BK9" i="1"/>
  <c r="BK13" i="1"/>
  <c r="BK17" i="1"/>
  <c r="BK21" i="1"/>
  <c r="BK25" i="1"/>
  <c r="BK29" i="1"/>
  <c r="BK33" i="1"/>
  <c r="BK37" i="1"/>
  <c r="BK41" i="1"/>
  <c r="BK45" i="1"/>
  <c r="BK30" i="1"/>
  <c r="BK34" i="1"/>
  <c r="BK38" i="1"/>
  <c r="BK42" i="1"/>
  <c r="BK46" i="1"/>
  <c r="BK49" i="1"/>
  <c r="BK52" i="1"/>
  <c r="BK56" i="1"/>
  <c r="BK60" i="1"/>
  <c r="BK64" i="1"/>
  <c r="BK68" i="1"/>
  <c r="BK72" i="1"/>
  <c r="BK76" i="1"/>
  <c r="BK80" i="1"/>
  <c r="BK84" i="1"/>
  <c r="BK88" i="1"/>
  <c r="BK51" i="1"/>
  <c r="BK55" i="1"/>
  <c r="BK59" i="1"/>
  <c r="BK63" i="1"/>
  <c r="BK67" i="1"/>
  <c r="BK71" i="1"/>
  <c r="BK75" i="1"/>
  <c r="BK79" i="1"/>
  <c r="BK83" i="1"/>
  <c r="BK87" i="1"/>
  <c r="BK91" i="1"/>
  <c r="BK95" i="1"/>
  <c r="BK99" i="1"/>
  <c r="BK103" i="1"/>
  <c r="BK108" i="1"/>
  <c r="BK112" i="1"/>
  <c r="BK116" i="1"/>
  <c r="BK120" i="1"/>
  <c r="BK124" i="1"/>
  <c r="BK128" i="1"/>
  <c r="BK132" i="1"/>
  <c r="BK92" i="1"/>
  <c r="BK96" i="1"/>
  <c r="BK100" i="1"/>
  <c r="BK104" i="1"/>
  <c r="BK109" i="1"/>
  <c r="BK113" i="1"/>
  <c r="BK117" i="1"/>
  <c r="BK121" i="1"/>
  <c r="BK125" i="1"/>
  <c r="BK129" i="1"/>
  <c r="BK133" i="1"/>
  <c r="BK137" i="1"/>
  <c r="BK141" i="1"/>
  <c r="BK145" i="1"/>
  <c r="BK149" i="1"/>
  <c r="BK153" i="1"/>
  <c r="BK157" i="1"/>
  <c r="BK161" i="1"/>
  <c r="BK165" i="1"/>
  <c r="BK169" i="1"/>
  <c r="BK173" i="1"/>
  <c r="BK177" i="1"/>
  <c r="BK181" i="1"/>
  <c r="BK185" i="1"/>
  <c r="BK189" i="1"/>
  <c r="BK193" i="1"/>
  <c r="BK197" i="1"/>
  <c r="BK201" i="1"/>
  <c r="BK136" i="1"/>
  <c r="BK140" i="1"/>
  <c r="BK144" i="1"/>
  <c r="BK148" i="1"/>
  <c r="BK152" i="1"/>
  <c r="BK156" i="1"/>
  <c r="BK160" i="1"/>
  <c r="BK164" i="1"/>
  <c r="BK168" i="1"/>
  <c r="BK172" i="1"/>
  <c r="BK176" i="1"/>
  <c r="BK180" i="1"/>
  <c r="BK184" i="1"/>
  <c r="BK188" i="1"/>
  <c r="BK192" i="1"/>
  <c r="BK196" i="1"/>
  <c r="BK200" i="1"/>
  <c r="BK204" i="1"/>
  <c r="BK8" i="1"/>
  <c r="BK12" i="1"/>
  <c r="BK16" i="1"/>
  <c r="BK20" i="1"/>
  <c r="BK24" i="1"/>
  <c r="BK28" i="1"/>
  <c r="BK11" i="1"/>
  <c r="BK15" i="1"/>
  <c r="BK19" i="1"/>
  <c r="BK23" i="1"/>
  <c r="BK27" i="1"/>
  <c r="BK31" i="1"/>
  <c r="BK35" i="1"/>
  <c r="BK39" i="1"/>
  <c r="BK43" i="1"/>
  <c r="BK47" i="1"/>
  <c r="BK32" i="1"/>
  <c r="BK36" i="1"/>
  <c r="BK40" i="1"/>
  <c r="BK44" i="1"/>
  <c r="BK48" i="1"/>
  <c r="BK50" i="1"/>
  <c r="BK54" i="1"/>
  <c r="BK58" i="1"/>
  <c r="BK62" i="1"/>
  <c r="BK66" i="1"/>
  <c r="BK70" i="1"/>
  <c r="BK74" i="1"/>
  <c r="BK78" i="1"/>
  <c r="BK82" i="1"/>
  <c r="BK86" i="1"/>
  <c r="BK90" i="1"/>
  <c r="BK53" i="1"/>
  <c r="BK57" i="1"/>
  <c r="BK61" i="1"/>
  <c r="BK65" i="1"/>
  <c r="BK69" i="1"/>
  <c r="BK73" i="1"/>
  <c r="BK77" i="1"/>
  <c r="BK81" i="1"/>
  <c r="BK85" i="1"/>
  <c r="BK89" i="1"/>
  <c r="BK93" i="1"/>
  <c r="BK97" i="1"/>
  <c r="BK101" i="1"/>
  <c r="BK105" i="1"/>
  <c r="BK110" i="1"/>
  <c r="BK114" i="1"/>
  <c r="BK118" i="1"/>
  <c r="BK122" i="1"/>
  <c r="BK126" i="1"/>
  <c r="BK130" i="1"/>
  <c r="BK134" i="1"/>
  <c r="BK94" i="1"/>
  <c r="BK98" i="1"/>
  <c r="BK102" i="1"/>
  <c r="BK107" i="1"/>
  <c r="BK111" i="1"/>
  <c r="BK115" i="1"/>
  <c r="BK119" i="1"/>
  <c r="BK123" i="1"/>
  <c r="BK127" i="1"/>
  <c r="BK131" i="1"/>
  <c r="BK135" i="1"/>
  <c r="BK139" i="1"/>
  <c r="BK143" i="1"/>
  <c r="BK147" i="1"/>
  <c r="BK151" i="1"/>
  <c r="BK155" i="1"/>
  <c r="BK159" i="1"/>
  <c r="BK163" i="1"/>
  <c r="BK167" i="1"/>
  <c r="BK171" i="1"/>
  <c r="BK175" i="1"/>
  <c r="BK179" i="1"/>
  <c r="BK183" i="1"/>
  <c r="BK187" i="1"/>
  <c r="BK191" i="1"/>
  <c r="BK195" i="1"/>
  <c r="BK199" i="1"/>
  <c r="BK203" i="1"/>
  <c r="BK138" i="1"/>
  <c r="BK142" i="1"/>
  <c r="BK146" i="1"/>
  <c r="BK150" i="1"/>
  <c r="BK154" i="1"/>
  <c r="BK158" i="1"/>
  <c r="BK162" i="1"/>
  <c r="BK166" i="1"/>
  <c r="BK170" i="1"/>
  <c r="BK174" i="1"/>
  <c r="BK178" i="1"/>
  <c r="BK182" i="1"/>
  <c r="BK186" i="1"/>
  <c r="BK190" i="1"/>
  <c r="BK194" i="1"/>
  <c r="BK198" i="1"/>
  <c r="BK202" i="1"/>
  <c r="BI205" i="1"/>
  <c r="AW168" i="1"/>
  <c r="AW205" i="1" s="1"/>
  <c r="AK168" i="1"/>
  <c r="AK205" i="1" s="1"/>
  <c r="AJ206" i="1"/>
  <c r="Y168" i="1"/>
  <c r="BK205" i="1" l="1"/>
  <c r="BL205" i="1"/>
  <c r="AX168" i="1"/>
  <c r="AX205" i="1" s="1"/>
  <c r="Y205" i="1"/>
  <c r="Z168" i="1"/>
  <c r="Z205" i="1" s="1"/>
  <c r="AL168" i="1"/>
  <c r="AL205" i="1" s="1"/>
  <c r="AK206" i="1"/>
  <c r="BN11" i="1" l="1"/>
  <c r="BN15" i="1"/>
  <c r="BN19" i="1"/>
  <c r="BN23" i="1"/>
  <c r="BN27" i="1"/>
  <c r="BN10" i="1"/>
  <c r="BN14" i="1"/>
  <c r="BN18" i="1"/>
  <c r="BN22" i="1"/>
  <c r="BN26" i="1"/>
  <c r="BN32" i="1"/>
  <c r="BN36" i="1"/>
  <c r="BN40" i="1"/>
  <c r="BN44" i="1"/>
  <c r="BN48" i="1"/>
  <c r="BN29" i="1"/>
  <c r="BN33" i="1"/>
  <c r="BN37" i="1"/>
  <c r="BN41" i="1"/>
  <c r="BN45" i="1"/>
  <c r="BN49" i="1"/>
  <c r="BN53" i="1"/>
  <c r="BN57" i="1"/>
  <c r="BN61" i="1"/>
  <c r="BN65" i="1"/>
  <c r="BN69" i="1"/>
  <c r="BN73" i="1"/>
  <c r="BN77" i="1"/>
  <c r="BN81" i="1"/>
  <c r="BN85" i="1"/>
  <c r="BN89" i="1"/>
  <c r="BN50" i="1"/>
  <c r="BN54" i="1"/>
  <c r="BN58" i="1"/>
  <c r="BN62" i="1"/>
  <c r="BN66" i="1"/>
  <c r="BN70" i="1"/>
  <c r="BN74" i="1"/>
  <c r="BN78" i="1"/>
  <c r="BN82" i="1"/>
  <c r="BN86" i="1"/>
  <c r="BN90" i="1"/>
  <c r="BN94" i="1"/>
  <c r="BN98" i="1"/>
  <c r="BN102" i="1"/>
  <c r="BN107" i="1"/>
  <c r="BN111" i="1"/>
  <c r="BN115" i="1"/>
  <c r="BN119" i="1"/>
  <c r="BN123" i="1"/>
  <c r="BN127" i="1"/>
  <c r="BN131" i="1"/>
  <c r="BN93" i="1"/>
  <c r="BN97" i="1"/>
  <c r="BN101" i="1"/>
  <c r="BN105" i="1"/>
  <c r="BN110" i="1"/>
  <c r="BN114" i="1"/>
  <c r="BN118" i="1"/>
  <c r="BN122" i="1"/>
  <c r="BN126" i="1"/>
  <c r="BN130" i="1"/>
  <c r="BN134" i="1"/>
  <c r="BN138" i="1"/>
  <c r="BN142" i="1"/>
  <c r="BN146" i="1"/>
  <c r="BN150" i="1"/>
  <c r="BN154" i="1"/>
  <c r="BN158" i="1"/>
  <c r="BN162" i="1"/>
  <c r="BN166" i="1"/>
  <c r="BN170" i="1"/>
  <c r="BN174" i="1"/>
  <c r="BN178" i="1"/>
  <c r="BN182" i="1"/>
  <c r="BN186" i="1"/>
  <c r="BN190" i="1"/>
  <c r="BN194" i="1"/>
  <c r="BN198" i="1"/>
  <c r="BN202" i="1"/>
  <c r="BN135" i="1"/>
  <c r="BN139" i="1"/>
  <c r="BN143" i="1"/>
  <c r="BN147" i="1"/>
  <c r="BN151" i="1"/>
  <c r="BN155" i="1"/>
  <c r="BN159" i="1"/>
  <c r="BN163" i="1"/>
  <c r="BN167" i="1"/>
  <c r="BN171" i="1"/>
  <c r="BN175" i="1"/>
  <c r="BN179" i="1"/>
  <c r="BN183" i="1"/>
  <c r="BN187" i="1"/>
  <c r="BN191" i="1"/>
  <c r="BN195" i="1"/>
  <c r="BN199" i="1"/>
  <c r="BN203" i="1"/>
  <c r="BN9" i="1"/>
  <c r="BN13" i="1"/>
  <c r="BN17" i="1"/>
  <c r="BN21" i="1"/>
  <c r="BN25" i="1"/>
  <c r="BN8" i="1"/>
  <c r="BN12" i="1"/>
  <c r="BN16" i="1"/>
  <c r="BN20" i="1"/>
  <c r="BN24" i="1"/>
  <c r="BN30" i="1"/>
  <c r="BN34" i="1"/>
  <c r="BN38" i="1"/>
  <c r="BN42" i="1"/>
  <c r="BN46" i="1"/>
  <c r="BN28" i="1"/>
  <c r="BN31" i="1"/>
  <c r="BN35" i="1"/>
  <c r="BN39" i="1"/>
  <c r="BN43" i="1"/>
  <c r="BN47" i="1"/>
  <c r="BN51" i="1"/>
  <c r="BN55" i="1"/>
  <c r="BN59" i="1"/>
  <c r="BN63" i="1"/>
  <c r="BN67" i="1"/>
  <c r="BN71" i="1"/>
  <c r="BN75" i="1"/>
  <c r="BN79" i="1"/>
  <c r="BN83" i="1"/>
  <c r="BN87" i="1"/>
  <c r="BN91" i="1"/>
  <c r="BN52" i="1"/>
  <c r="BN56" i="1"/>
  <c r="BN60" i="1"/>
  <c r="BN64" i="1"/>
  <c r="BN68" i="1"/>
  <c r="BN72" i="1"/>
  <c r="BN76" i="1"/>
  <c r="BN80" i="1"/>
  <c r="BN84" i="1"/>
  <c r="BN88" i="1"/>
  <c r="BN92" i="1"/>
  <c r="BN96" i="1"/>
  <c r="BN100" i="1"/>
  <c r="BN104" i="1"/>
  <c r="BN109" i="1"/>
  <c r="BN113" i="1"/>
  <c r="BN117" i="1"/>
  <c r="BN121" i="1"/>
  <c r="BN125" i="1"/>
  <c r="BN129" i="1"/>
  <c r="BN133" i="1"/>
  <c r="BN95" i="1"/>
  <c r="BN99" i="1"/>
  <c r="BN103" i="1"/>
  <c r="BN108" i="1"/>
  <c r="BN112" i="1"/>
  <c r="BN116" i="1"/>
  <c r="BN120" i="1"/>
  <c r="BN124" i="1"/>
  <c r="BN128" i="1"/>
  <c r="BN132" i="1"/>
  <c r="BN136" i="1"/>
  <c r="BN140" i="1"/>
  <c r="BN144" i="1"/>
  <c r="BN148" i="1"/>
  <c r="BN152" i="1"/>
  <c r="BN156" i="1"/>
  <c r="BN160" i="1"/>
  <c r="BN164" i="1"/>
  <c r="BN168" i="1"/>
  <c r="BN172" i="1"/>
  <c r="BN176" i="1"/>
  <c r="BN180" i="1"/>
  <c r="BN184" i="1"/>
  <c r="BN188" i="1"/>
  <c r="BN192" i="1"/>
  <c r="BN196" i="1"/>
  <c r="BN200" i="1"/>
  <c r="BN204" i="1"/>
  <c r="BN137" i="1"/>
  <c r="BN141" i="1"/>
  <c r="BN145" i="1"/>
  <c r="BN149" i="1"/>
  <c r="BN153" i="1"/>
  <c r="BN157" i="1"/>
  <c r="BN161" i="1"/>
  <c r="BN165" i="1"/>
  <c r="BN169" i="1"/>
  <c r="BN173" i="1"/>
  <c r="BN177" i="1"/>
  <c r="BN181" i="1"/>
  <c r="BN185" i="1"/>
  <c r="BN189" i="1"/>
  <c r="BN193" i="1"/>
  <c r="BN197" i="1"/>
  <c r="BN201" i="1"/>
  <c r="BM8" i="1"/>
  <c r="BM12" i="1"/>
  <c r="BM16" i="1"/>
  <c r="BM20" i="1"/>
  <c r="BM24" i="1"/>
  <c r="BM28" i="1"/>
  <c r="BM11" i="1"/>
  <c r="BM15" i="1"/>
  <c r="BM19" i="1"/>
  <c r="BM23" i="1"/>
  <c r="BM27" i="1"/>
  <c r="BM31" i="1"/>
  <c r="BM35" i="1"/>
  <c r="BM39" i="1"/>
  <c r="BM43" i="1"/>
  <c r="BM47" i="1"/>
  <c r="BM32" i="1"/>
  <c r="BM36" i="1"/>
  <c r="BM40" i="1"/>
  <c r="BM44" i="1"/>
  <c r="BM48" i="1"/>
  <c r="BM52" i="1"/>
  <c r="BM56" i="1"/>
  <c r="BM60" i="1"/>
  <c r="BM64" i="1"/>
  <c r="BM68" i="1"/>
  <c r="BM72" i="1"/>
  <c r="BM76" i="1"/>
  <c r="BM80" i="1"/>
  <c r="BM84" i="1"/>
  <c r="BM88" i="1"/>
  <c r="BM49" i="1"/>
  <c r="BM53" i="1"/>
  <c r="BM57" i="1"/>
  <c r="BM61" i="1"/>
  <c r="BM65" i="1"/>
  <c r="BM69" i="1"/>
  <c r="BM73" i="1"/>
  <c r="BM77" i="1"/>
  <c r="BM81" i="1"/>
  <c r="BM85" i="1"/>
  <c r="BM89" i="1"/>
  <c r="BM93" i="1"/>
  <c r="BM97" i="1"/>
  <c r="BM101" i="1"/>
  <c r="BM105" i="1"/>
  <c r="BM110" i="1"/>
  <c r="BM114" i="1"/>
  <c r="BM118" i="1"/>
  <c r="BM122" i="1"/>
  <c r="BM126" i="1"/>
  <c r="BM130" i="1"/>
  <c r="BM134" i="1"/>
  <c r="BM94" i="1"/>
  <c r="BM98" i="1"/>
  <c r="BM102" i="1"/>
  <c r="BM107" i="1"/>
  <c r="BM111" i="1"/>
  <c r="BM115" i="1"/>
  <c r="BM119" i="1"/>
  <c r="BM123" i="1"/>
  <c r="BM127" i="1"/>
  <c r="BM131" i="1"/>
  <c r="BM135" i="1"/>
  <c r="BM139" i="1"/>
  <c r="BM143" i="1"/>
  <c r="BM147" i="1"/>
  <c r="BM151" i="1"/>
  <c r="BM155" i="1"/>
  <c r="BM159" i="1"/>
  <c r="BM163" i="1"/>
  <c r="BM167" i="1"/>
  <c r="BM171" i="1"/>
  <c r="BM175" i="1"/>
  <c r="BM179" i="1"/>
  <c r="BM183" i="1"/>
  <c r="BM187" i="1"/>
  <c r="BM191" i="1"/>
  <c r="BM195" i="1"/>
  <c r="BM199" i="1"/>
  <c r="BM203" i="1"/>
  <c r="BM138" i="1"/>
  <c r="BM142" i="1"/>
  <c r="BM146" i="1"/>
  <c r="BM150" i="1"/>
  <c r="BM154" i="1"/>
  <c r="BM158" i="1"/>
  <c r="BM162" i="1"/>
  <c r="BM166" i="1"/>
  <c r="BM170" i="1"/>
  <c r="BM174" i="1"/>
  <c r="BM178" i="1"/>
  <c r="BM182" i="1"/>
  <c r="BM186" i="1"/>
  <c r="BM190" i="1"/>
  <c r="BM194" i="1"/>
  <c r="BM198" i="1"/>
  <c r="BM202" i="1"/>
  <c r="BM10" i="1"/>
  <c r="BM14" i="1"/>
  <c r="BM18" i="1"/>
  <c r="BM22" i="1"/>
  <c r="BM26" i="1"/>
  <c r="BM9" i="1"/>
  <c r="BM13" i="1"/>
  <c r="BM17" i="1"/>
  <c r="BM21" i="1"/>
  <c r="BM25" i="1"/>
  <c r="BM29" i="1"/>
  <c r="BM33" i="1"/>
  <c r="BM37" i="1"/>
  <c r="BM41" i="1"/>
  <c r="BM45" i="1"/>
  <c r="BM30" i="1"/>
  <c r="BM34" i="1"/>
  <c r="BM38" i="1"/>
  <c r="BM42" i="1"/>
  <c r="BM46" i="1"/>
  <c r="BM50" i="1"/>
  <c r="BM54" i="1"/>
  <c r="BM58" i="1"/>
  <c r="BM62" i="1"/>
  <c r="BM66" i="1"/>
  <c r="BM70" i="1"/>
  <c r="BM74" i="1"/>
  <c r="BM78" i="1"/>
  <c r="BM82" i="1"/>
  <c r="BM86" i="1"/>
  <c r="BM90" i="1"/>
  <c r="BM51" i="1"/>
  <c r="BM55" i="1"/>
  <c r="BM59" i="1"/>
  <c r="BM63" i="1"/>
  <c r="BM67" i="1"/>
  <c r="BM71" i="1"/>
  <c r="BM75" i="1"/>
  <c r="BM79" i="1"/>
  <c r="BM83" i="1"/>
  <c r="BM87" i="1"/>
  <c r="BM91" i="1"/>
  <c r="BM95" i="1"/>
  <c r="BM99" i="1"/>
  <c r="BM103" i="1"/>
  <c r="BM108" i="1"/>
  <c r="BM112" i="1"/>
  <c r="BM116" i="1"/>
  <c r="BM120" i="1"/>
  <c r="BM124" i="1"/>
  <c r="BM128" i="1"/>
  <c r="BM132" i="1"/>
  <c r="BM92" i="1"/>
  <c r="BM96" i="1"/>
  <c r="BM100" i="1"/>
  <c r="BM104" i="1"/>
  <c r="BM109" i="1"/>
  <c r="BM113" i="1"/>
  <c r="BM117" i="1"/>
  <c r="BM121" i="1"/>
  <c r="BM125" i="1"/>
  <c r="BM129" i="1"/>
  <c r="BM133" i="1"/>
  <c r="BM137" i="1"/>
  <c r="BM141" i="1"/>
  <c r="BM145" i="1"/>
  <c r="BM149" i="1"/>
  <c r="BM153" i="1"/>
  <c r="BM157" i="1"/>
  <c r="BM161" i="1"/>
  <c r="BM165" i="1"/>
  <c r="BM169" i="1"/>
  <c r="BM173" i="1"/>
  <c r="BM177" i="1"/>
  <c r="BM181" i="1"/>
  <c r="BM185" i="1"/>
  <c r="BM189" i="1"/>
  <c r="BM193" i="1"/>
  <c r="BM197" i="1"/>
  <c r="BM201" i="1"/>
  <c r="BM136" i="1"/>
  <c r="BM140" i="1"/>
  <c r="BM144" i="1"/>
  <c r="BM148" i="1"/>
  <c r="BM152" i="1"/>
  <c r="BM156" i="1"/>
  <c r="BM160" i="1"/>
  <c r="BM164" i="1"/>
  <c r="BM168" i="1"/>
  <c r="BM172" i="1"/>
  <c r="BM176" i="1"/>
  <c r="BM180" i="1"/>
  <c r="BM184" i="1"/>
  <c r="BM188" i="1"/>
  <c r="BM192" i="1"/>
  <c r="BM196" i="1"/>
  <c r="BM200" i="1"/>
  <c r="BM204" i="1"/>
  <c r="AY168" i="1"/>
  <c r="AY205" i="1" s="1"/>
  <c r="AM168" i="1"/>
  <c r="AL206" i="1"/>
  <c r="AZ168" i="1" l="1"/>
  <c r="AZ205" i="1" s="1"/>
  <c r="AM205" i="1"/>
  <c r="BN205" i="1"/>
  <c r="BM205" i="1"/>
  <c r="AN168" i="1"/>
  <c r="AM206" i="1"/>
  <c r="BA168" i="1" l="1"/>
  <c r="BA205" i="1" s="1"/>
  <c r="AN205" i="1"/>
  <c r="AN210" i="1" s="1"/>
  <c r="BO8" i="1"/>
  <c r="BO12" i="1"/>
  <c r="BO16" i="1"/>
  <c r="BO20" i="1"/>
  <c r="BO24" i="1"/>
  <c r="BO28" i="1"/>
  <c r="BO11" i="1"/>
  <c r="BO15" i="1"/>
  <c r="BO19" i="1"/>
  <c r="BO23" i="1"/>
  <c r="BO27" i="1"/>
  <c r="BO31" i="1"/>
  <c r="BO35" i="1"/>
  <c r="BO39" i="1"/>
  <c r="BO43" i="1"/>
  <c r="BO47" i="1"/>
  <c r="BO32" i="1"/>
  <c r="BO36" i="1"/>
  <c r="BO40" i="1"/>
  <c r="BO44" i="1"/>
  <c r="BO48" i="1"/>
  <c r="BO50" i="1"/>
  <c r="BO54" i="1"/>
  <c r="BO58" i="1"/>
  <c r="BO62" i="1"/>
  <c r="BO66" i="1"/>
  <c r="BO70" i="1"/>
  <c r="BO74" i="1"/>
  <c r="BO78" i="1"/>
  <c r="BO82" i="1"/>
  <c r="BO86" i="1"/>
  <c r="BO90" i="1"/>
  <c r="BO53" i="1"/>
  <c r="BO57" i="1"/>
  <c r="BO61" i="1"/>
  <c r="BO65" i="1"/>
  <c r="BO69" i="1"/>
  <c r="BO73" i="1"/>
  <c r="BO77" i="1"/>
  <c r="BO81" i="1"/>
  <c r="BO85" i="1"/>
  <c r="BO89" i="1"/>
  <c r="BO93" i="1"/>
  <c r="BO97" i="1"/>
  <c r="BO101" i="1"/>
  <c r="BO105" i="1"/>
  <c r="BO110" i="1"/>
  <c r="BO114" i="1"/>
  <c r="BO118" i="1"/>
  <c r="BO122" i="1"/>
  <c r="BO126" i="1"/>
  <c r="BO130" i="1"/>
  <c r="BO134" i="1"/>
  <c r="BO94" i="1"/>
  <c r="BO98" i="1"/>
  <c r="BO102" i="1"/>
  <c r="BO107" i="1"/>
  <c r="BO111" i="1"/>
  <c r="BO115" i="1"/>
  <c r="BO119" i="1"/>
  <c r="BO123" i="1"/>
  <c r="BO127" i="1"/>
  <c r="BO131" i="1"/>
  <c r="BO135" i="1"/>
  <c r="BO139" i="1"/>
  <c r="BO143" i="1"/>
  <c r="BO147" i="1"/>
  <c r="BO151" i="1"/>
  <c r="BO155" i="1"/>
  <c r="BO159" i="1"/>
  <c r="BO163" i="1"/>
  <c r="BO167" i="1"/>
  <c r="BO171" i="1"/>
  <c r="BO175" i="1"/>
  <c r="BO179" i="1"/>
  <c r="BO183" i="1"/>
  <c r="BO187" i="1"/>
  <c r="BO191" i="1"/>
  <c r="BO195" i="1"/>
  <c r="BO199" i="1"/>
  <c r="BO203" i="1"/>
  <c r="BO138" i="1"/>
  <c r="BO142" i="1"/>
  <c r="BO146" i="1"/>
  <c r="BO150" i="1"/>
  <c r="BO154" i="1"/>
  <c r="BO158" i="1"/>
  <c r="BO162" i="1"/>
  <c r="BO166" i="1"/>
  <c r="BO170" i="1"/>
  <c r="BO174" i="1"/>
  <c r="BO178" i="1"/>
  <c r="BO186" i="1"/>
  <c r="BO190" i="1"/>
  <c r="BO198" i="1"/>
  <c r="BO10" i="1"/>
  <c r="BO14" i="1"/>
  <c r="BO18" i="1"/>
  <c r="BO22" i="1"/>
  <c r="BO26" i="1"/>
  <c r="BO9" i="1"/>
  <c r="BO13" i="1"/>
  <c r="BO17" i="1"/>
  <c r="BO21" i="1"/>
  <c r="BO25" i="1"/>
  <c r="BO29" i="1"/>
  <c r="BO33" i="1"/>
  <c r="BO37" i="1"/>
  <c r="BO41" i="1"/>
  <c r="BO45" i="1"/>
  <c r="BO30" i="1"/>
  <c r="BO34" i="1"/>
  <c r="BO38" i="1"/>
  <c r="BO42" i="1"/>
  <c r="BO46" i="1"/>
  <c r="BO49" i="1"/>
  <c r="BO52" i="1"/>
  <c r="BO56" i="1"/>
  <c r="BO60" i="1"/>
  <c r="BO64" i="1"/>
  <c r="BO68" i="1"/>
  <c r="BO72" i="1"/>
  <c r="BO76" i="1"/>
  <c r="BO80" i="1"/>
  <c r="BO84" i="1"/>
  <c r="BO88" i="1"/>
  <c r="BO51" i="1"/>
  <c r="BO55" i="1"/>
  <c r="BO59" i="1"/>
  <c r="BO63" i="1"/>
  <c r="BO67" i="1"/>
  <c r="BO71" i="1"/>
  <c r="BO75" i="1"/>
  <c r="BO79" i="1"/>
  <c r="BO83" i="1"/>
  <c r="BO87" i="1"/>
  <c r="BO91" i="1"/>
  <c r="BO95" i="1"/>
  <c r="BO99" i="1"/>
  <c r="BO103" i="1"/>
  <c r="BO108" i="1"/>
  <c r="BO112" i="1"/>
  <c r="BO116" i="1"/>
  <c r="BO120" i="1"/>
  <c r="BO124" i="1"/>
  <c r="BO128" i="1"/>
  <c r="BO132" i="1"/>
  <c r="BO92" i="1"/>
  <c r="BO96" i="1"/>
  <c r="BO100" i="1"/>
  <c r="BO104" i="1"/>
  <c r="BO109" i="1"/>
  <c r="BO113" i="1"/>
  <c r="BO117" i="1"/>
  <c r="BO121" i="1"/>
  <c r="BO125" i="1"/>
  <c r="BO129" i="1"/>
  <c r="BO133" i="1"/>
  <c r="BO137" i="1"/>
  <c r="BO141" i="1"/>
  <c r="BO145" i="1"/>
  <c r="BO149" i="1"/>
  <c r="BO153" i="1"/>
  <c r="BO157" i="1"/>
  <c r="BO161" i="1"/>
  <c r="BO165" i="1"/>
  <c r="BO169" i="1"/>
  <c r="BO173" i="1"/>
  <c r="BO177" i="1"/>
  <c r="BO181" i="1"/>
  <c r="BO185" i="1"/>
  <c r="BO189" i="1"/>
  <c r="BO193" i="1"/>
  <c r="BO197" i="1"/>
  <c r="BO201" i="1"/>
  <c r="BO136" i="1"/>
  <c r="BO140" i="1"/>
  <c r="BO144" i="1"/>
  <c r="BO148" i="1"/>
  <c r="BO152" i="1"/>
  <c r="BO156" i="1"/>
  <c r="BO160" i="1"/>
  <c r="BO164" i="1"/>
  <c r="BO168" i="1"/>
  <c r="BO172" i="1"/>
  <c r="BO176" i="1"/>
  <c r="BO180" i="1"/>
  <c r="BO184" i="1"/>
  <c r="BO188" i="1"/>
  <c r="BO192" i="1"/>
  <c r="BO196" i="1"/>
  <c r="BO200" i="1"/>
  <c r="BO204" i="1"/>
  <c r="BO182" i="1"/>
  <c r="BO194" i="1"/>
  <c r="BO202" i="1"/>
  <c r="BD168" i="1"/>
  <c r="AO168" i="1"/>
  <c r="AO205" i="1" s="1"/>
  <c r="BD205" i="1" l="1"/>
  <c r="D1239" i="2" s="1"/>
  <c r="J987" i="2"/>
  <c r="BP14" i="1"/>
  <c r="BP22" i="1"/>
  <c r="BP30" i="1"/>
  <c r="BP38" i="1"/>
  <c r="BP46" i="1"/>
  <c r="BP54" i="1"/>
  <c r="BP62" i="1"/>
  <c r="BP70" i="1"/>
  <c r="BP78" i="1"/>
  <c r="BP86" i="1"/>
  <c r="BP94" i="1"/>
  <c r="BQ94" i="1" s="1"/>
  <c r="BP102" i="1"/>
  <c r="BQ102" i="1" s="1"/>
  <c r="BP111" i="1"/>
  <c r="BQ111" i="1" s="1"/>
  <c r="BP119" i="1"/>
  <c r="BQ119" i="1" s="1"/>
  <c r="BP8" i="1"/>
  <c r="BQ8" i="1" s="1"/>
  <c r="D7" i="2" s="1"/>
  <c r="BP16" i="1"/>
  <c r="BP24" i="1"/>
  <c r="BP32" i="1"/>
  <c r="BP40" i="1"/>
  <c r="BP48" i="1"/>
  <c r="BP56" i="1"/>
  <c r="BQ56" i="1" s="1"/>
  <c r="BP64" i="1"/>
  <c r="BQ64" i="1" s="1"/>
  <c r="BP72" i="1"/>
  <c r="BQ72" i="1" s="1"/>
  <c r="BP80" i="1"/>
  <c r="BQ80" i="1" s="1"/>
  <c r="BP88" i="1"/>
  <c r="BQ88" i="1" s="1"/>
  <c r="BP96" i="1"/>
  <c r="BP104" i="1"/>
  <c r="BP113" i="1"/>
  <c r="BP121" i="1"/>
  <c r="BP15" i="1"/>
  <c r="BQ15" i="1" s="1"/>
  <c r="BP23" i="1"/>
  <c r="BQ23" i="1" s="1"/>
  <c r="BP31" i="1"/>
  <c r="BQ31" i="1" s="1"/>
  <c r="BP39" i="1"/>
  <c r="BQ39" i="1" s="1"/>
  <c r="BP47" i="1"/>
  <c r="BQ47" i="1" s="1"/>
  <c r="BP55" i="1"/>
  <c r="BQ55" i="1" s="1"/>
  <c r="BP63" i="1"/>
  <c r="BQ63" i="1" s="1"/>
  <c r="BP71" i="1"/>
  <c r="BQ71" i="1" s="1"/>
  <c r="BP83" i="1"/>
  <c r="BP99" i="1"/>
  <c r="BP116" i="1"/>
  <c r="BP126" i="1"/>
  <c r="BP134" i="1"/>
  <c r="BP142" i="1"/>
  <c r="BP150" i="1"/>
  <c r="BP158" i="1"/>
  <c r="BP166" i="1"/>
  <c r="BP174" i="1"/>
  <c r="BP182" i="1"/>
  <c r="BQ182" i="1" s="1"/>
  <c r="BP190" i="1"/>
  <c r="BQ190" i="1" s="1"/>
  <c r="BP198" i="1"/>
  <c r="BP77" i="1"/>
  <c r="BP93" i="1"/>
  <c r="BP110" i="1"/>
  <c r="BP125" i="1"/>
  <c r="BQ125" i="1" s="1"/>
  <c r="BP133" i="1"/>
  <c r="BQ133" i="1" s="1"/>
  <c r="BP141" i="1"/>
  <c r="BQ141" i="1" s="1"/>
  <c r="BP149" i="1"/>
  <c r="BQ149" i="1" s="1"/>
  <c r="BP157" i="1"/>
  <c r="BQ157" i="1" s="1"/>
  <c r="BP165" i="1"/>
  <c r="BQ165" i="1" s="1"/>
  <c r="BP21" i="1"/>
  <c r="BQ21" i="1" s="1"/>
  <c r="BP37" i="1"/>
  <c r="BQ37" i="1" s="1"/>
  <c r="BP53" i="1"/>
  <c r="BP69" i="1"/>
  <c r="BP95" i="1"/>
  <c r="BQ95" i="1" s="1"/>
  <c r="BP124" i="1"/>
  <c r="BP140" i="1"/>
  <c r="BP156" i="1"/>
  <c r="BP172" i="1"/>
  <c r="BP188" i="1"/>
  <c r="BP204" i="1"/>
  <c r="BP105" i="1"/>
  <c r="BQ105" i="1" s="1"/>
  <c r="BP131" i="1"/>
  <c r="BP147" i="1"/>
  <c r="BP163" i="1"/>
  <c r="BP173" i="1"/>
  <c r="BQ173" i="1" s="1"/>
  <c r="BP181" i="1"/>
  <c r="BQ181" i="1" s="1"/>
  <c r="BP189" i="1"/>
  <c r="BQ189" i="1" s="1"/>
  <c r="BP197" i="1"/>
  <c r="BQ197" i="1" s="1"/>
  <c r="BP17" i="1"/>
  <c r="BP33" i="1"/>
  <c r="BP49" i="1"/>
  <c r="BQ49" i="1" s="1"/>
  <c r="BP65" i="1"/>
  <c r="BQ65" i="1" s="1"/>
  <c r="BP87" i="1"/>
  <c r="BQ87" i="1" s="1"/>
  <c r="BP120" i="1"/>
  <c r="BQ120" i="1" s="1"/>
  <c r="BP136" i="1"/>
  <c r="BQ136" i="1" s="1"/>
  <c r="BP152" i="1"/>
  <c r="BQ152" i="1" s="1"/>
  <c r="BP168" i="1"/>
  <c r="BQ168" i="1" s="1"/>
  <c r="BP184" i="1"/>
  <c r="BQ184" i="1" s="1"/>
  <c r="BP200" i="1"/>
  <c r="BQ200" i="1" s="1"/>
  <c r="BP97" i="1"/>
  <c r="BQ97" i="1" s="1"/>
  <c r="BP127" i="1"/>
  <c r="BQ127" i="1" s="1"/>
  <c r="BP143" i="1"/>
  <c r="BQ143" i="1" s="1"/>
  <c r="BP159" i="1"/>
  <c r="BQ159" i="1" s="1"/>
  <c r="BP171" i="1"/>
  <c r="BP179" i="1"/>
  <c r="BP187" i="1"/>
  <c r="BP195" i="1"/>
  <c r="BP203" i="1"/>
  <c r="BP10" i="1"/>
  <c r="BQ10" i="1" s="1"/>
  <c r="BP18" i="1"/>
  <c r="BQ18" i="1" s="1"/>
  <c r="BP26" i="1"/>
  <c r="BQ26" i="1" s="1"/>
  <c r="BP34" i="1"/>
  <c r="BQ34" i="1" s="1"/>
  <c r="BP42" i="1"/>
  <c r="BQ42" i="1" s="1"/>
  <c r="BP50" i="1"/>
  <c r="BQ50" i="1" s="1"/>
  <c r="BP58" i="1"/>
  <c r="BQ58" i="1" s="1"/>
  <c r="BP66" i="1"/>
  <c r="BQ66" i="1" s="1"/>
  <c r="BP74" i="1"/>
  <c r="BQ74" i="1" s="1"/>
  <c r="BP82" i="1"/>
  <c r="BQ82" i="1" s="1"/>
  <c r="BP90" i="1"/>
  <c r="BQ90" i="1" s="1"/>
  <c r="BP98" i="1"/>
  <c r="BP107" i="1"/>
  <c r="BP115" i="1"/>
  <c r="BP9" i="1"/>
  <c r="BP12" i="1"/>
  <c r="BQ12" i="1" s="1"/>
  <c r="BP20" i="1"/>
  <c r="BQ20" i="1" s="1"/>
  <c r="BP28" i="1"/>
  <c r="BQ28" i="1" s="1"/>
  <c r="BP36" i="1"/>
  <c r="BQ36" i="1" s="1"/>
  <c r="BP44" i="1"/>
  <c r="BQ44" i="1" s="1"/>
  <c r="BP52" i="1"/>
  <c r="BP60" i="1"/>
  <c r="BP68" i="1"/>
  <c r="BP76" i="1"/>
  <c r="BP84" i="1"/>
  <c r="BP92" i="1"/>
  <c r="BQ92" i="1" s="1"/>
  <c r="BP100" i="1"/>
  <c r="BQ100" i="1" s="1"/>
  <c r="BP109" i="1"/>
  <c r="BQ109" i="1" s="1"/>
  <c r="BP117" i="1"/>
  <c r="BQ117" i="1" s="1"/>
  <c r="BP11" i="1"/>
  <c r="BP19" i="1"/>
  <c r="BP27" i="1"/>
  <c r="BP35" i="1"/>
  <c r="BP43" i="1"/>
  <c r="BP51" i="1"/>
  <c r="BP59" i="1"/>
  <c r="BP67" i="1"/>
  <c r="BP75" i="1"/>
  <c r="BP91" i="1"/>
  <c r="BP108" i="1"/>
  <c r="BP122" i="1"/>
  <c r="BQ122" i="1" s="1"/>
  <c r="BP130" i="1"/>
  <c r="BQ130" i="1" s="1"/>
  <c r="BP138" i="1"/>
  <c r="BQ138" i="1" s="1"/>
  <c r="BP146" i="1"/>
  <c r="BQ146" i="1" s="1"/>
  <c r="BP154" i="1"/>
  <c r="BQ154" i="1" s="1"/>
  <c r="BP162" i="1"/>
  <c r="BQ162" i="1" s="1"/>
  <c r="BP170" i="1"/>
  <c r="BQ170" i="1" s="1"/>
  <c r="BP178" i="1"/>
  <c r="BQ178" i="1" s="1"/>
  <c r="BP186" i="1"/>
  <c r="BP194" i="1"/>
  <c r="BQ194" i="1" s="1"/>
  <c r="BP202" i="1"/>
  <c r="BQ202" i="1" s="1"/>
  <c r="BP85" i="1"/>
  <c r="BP101" i="1"/>
  <c r="BP118" i="1"/>
  <c r="BP129" i="1"/>
  <c r="BP137" i="1"/>
  <c r="BQ137" i="1" s="1"/>
  <c r="BP145" i="1"/>
  <c r="BP153" i="1"/>
  <c r="BQ153" i="1" s="1"/>
  <c r="BP161" i="1"/>
  <c r="BP13" i="1"/>
  <c r="BQ13" i="1" s="1"/>
  <c r="BP29" i="1"/>
  <c r="BQ29" i="1" s="1"/>
  <c r="BP45" i="1"/>
  <c r="BQ45" i="1" s="1"/>
  <c r="BP61" i="1"/>
  <c r="BP79" i="1"/>
  <c r="BQ79" i="1" s="1"/>
  <c r="BP112" i="1"/>
  <c r="BQ112" i="1" s="1"/>
  <c r="BP132" i="1"/>
  <c r="BQ132" i="1" s="1"/>
  <c r="BP148" i="1"/>
  <c r="BP164" i="1"/>
  <c r="BQ164" i="1" s="1"/>
  <c r="BP180" i="1"/>
  <c r="BP196" i="1"/>
  <c r="BQ196" i="1" s="1"/>
  <c r="BP89" i="1"/>
  <c r="BQ89" i="1" s="1"/>
  <c r="BP123" i="1"/>
  <c r="BP139" i="1"/>
  <c r="BP155" i="1"/>
  <c r="BP169" i="1"/>
  <c r="BP177" i="1"/>
  <c r="BP185" i="1"/>
  <c r="BP193" i="1"/>
  <c r="BP201" i="1"/>
  <c r="BP25" i="1"/>
  <c r="BP41" i="1"/>
  <c r="BP57" i="1"/>
  <c r="BQ57" i="1" s="1"/>
  <c r="BP73" i="1"/>
  <c r="BQ73" i="1" s="1"/>
  <c r="BP103" i="1"/>
  <c r="BQ103" i="1" s="1"/>
  <c r="BP128" i="1"/>
  <c r="BQ128" i="1" s="1"/>
  <c r="BP144" i="1"/>
  <c r="BQ144" i="1" s="1"/>
  <c r="BP160" i="1"/>
  <c r="BQ160" i="1" s="1"/>
  <c r="BP176" i="1"/>
  <c r="BP192" i="1"/>
  <c r="BQ192" i="1" s="1"/>
  <c r="BP81" i="1"/>
  <c r="BQ81" i="1" s="1"/>
  <c r="BP114" i="1"/>
  <c r="BQ114" i="1" s="1"/>
  <c r="BP135" i="1"/>
  <c r="BQ135" i="1" s="1"/>
  <c r="BP151" i="1"/>
  <c r="BQ151" i="1" s="1"/>
  <c r="BP167" i="1"/>
  <c r="BQ167" i="1" s="1"/>
  <c r="BP175" i="1"/>
  <c r="BQ175" i="1" s="1"/>
  <c r="BP183" i="1"/>
  <c r="BQ183" i="1" s="1"/>
  <c r="BP191" i="1"/>
  <c r="BQ191" i="1" s="1"/>
  <c r="BP199" i="1"/>
  <c r="BQ199" i="1" s="1"/>
  <c r="BQ204" i="1"/>
  <c r="BQ188" i="1"/>
  <c r="BQ180" i="1"/>
  <c r="BQ172" i="1"/>
  <c r="BQ156" i="1"/>
  <c r="BQ148" i="1"/>
  <c r="BQ140" i="1"/>
  <c r="BQ201" i="1"/>
  <c r="BQ193" i="1"/>
  <c r="BQ185" i="1"/>
  <c r="BQ177" i="1"/>
  <c r="BQ169" i="1"/>
  <c r="BQ161" i="1"/>
  <c r="BQ145" i="1"/>
  <c r="BQ129" i="1"/>
  <c r="BQ121" i="1"/>
  <c r="BQ113" i="1"/>
  <c r="BQ104" i="1"/>
  <c r="BQ96" i="1"/>
  <c r="BQ124" i="1"/>
  <c r="BQ116" i="1"/>
  <c r="BQ108" i="1"/>
  <c r="BQ99" i="1"/>
  <c r="BQ91" i="1"/>
  <c r="BQ83" i="1"/>
  <c r="BQ75" i="1"/>
  <c r="BQ67" i="1"/>
  <c r="BQ59" i="1"/>
  <c r="BQ51" i="1"/>
  <c r="BQ84" i="1"/>
  <c r="BQ76" i="1"/>
  <c r="BQ68" i="1"/>
  <c r="BQ60" i="1"/>
  <c r="BQ52" i="1"/>
  <c r="BQ46" i="1"/>
  <c r="BQ38" i="1"/>
  <c r="BQ30" i="1"/>
  <c r="BQ41" i="1"/>
  <c r="BQ33" i="1"/>
  <c r="BQ25" i="1"/>
  <c r="BQ17" i="1"/>
  <c r="BQ9" i="1"/>
  <c r="BQ22" i="1"/>
  <c r="BQ14" i="1"/>
  <c r="BQ198" i="1"/>
  <c r="BQ186" i="1"/>
  <c r="BQ174" i="1"/>
  <c r="BQ166" i="1"/>
  <c r="BQ158" i="1"/>
  <c r="BQ150" i="1"/>
  <c r="BQ142" i="1"/>
  <c r="BQ203" i="1"/>
  <c r="BQ195" i="1"/>
  <c r="BQ187" i="1"/>
  <c r="BQ179" i="1"/>
  <c r="BQ171" i="1"/>
  <c r="BQ163" i="1"/>
  <c r="BQ155" i="1"/>
  <c r="BQ147" i="1"/>
  <c r="BQ139" i="1"/>
  <c r="BQ131" i="1"/>
  <c r="BQ123" i="1"/>
  <c r="BQ115" i="1"/>
  <c r="BQ107" i="1"/>
  <c r="BQ98" i="1"/>
  <c r="BQ134" i="1"/>
  <c r="BQ126" i="1"/>
  <c r="BQ118" i="1"/>
  <c r="BQ110" i="1"/>
  <c r="BQ101" i="1"/>
  <c r="BQ93" i="1"/>
  <c r="BQ85" i="1"/>
  <c r="BQ77" i="1"/>
  <c r="BQ69" i="1"/>
  <c r="BQ61" i="1"/>
  <c r="BQ53" i="1"/>
  <c r="BQ86" i="1"/>
  <c r="BQ78" i="1"/>
  <c r="BQ70" i="1"/>
  <c r="BQ62" i="1"/>
  <c r="BQ54" i="1"/>
  <c r="BQ48" i="1"/>
  <c r="BQ40" i="1"/>
  <c r="BQ32" i="1"/>
  <c r="BQ43" i="1"/>
  <c r="BQ35" i="1"/>
  <c r="BQ27" i="1"/>
  <c r="BQ19" i="1"/>
  <c r="BQ11" i="1"/>
  <c r="BQ24" i="1"/>
  <c r="BQ16" i="1"/>
  <c r="BO205" i="1"/>
  <c r="BS16" i="1" l="1"/>
  <c r="BT16" i="1" s="1"/>
  <c r="D23" i="11" s="1"/>
  <c r="D55" i="2"/>
  <c r="D58" i="2" s="1"/>
  <c r="BS27" i="1"/>
  <c r="BT27" i="1" s="1"/>
  <c r="D26" i="11" s="1"/>
  <c r="J118" i="2"/>
  <c r="J121" i="2" s="1"/>
  <c r="BS40" i="1"/>
  <c r="BT40" i="1" s="1"/>
  <c r="D57" i="11" s="1"/>
  <c r="D208" i="2"/>
  <c r="D211" i="2" s="1"/>
  <c r="BS70" i="1"/>
  <c r="BT70" i="1" s="1"/>
  <c r="D16" i="13" s="1"/>
  <c r="D397" i="2"/>
  <c r="D400" i="2" s="1"/>
  <c r="BS24" i="1"/>
  <c r="BT24" i="1" s="1"/>
  <c r="D34" i="11" s="1"/>
  <c r="D106" i="2"/>
  <c r="D109" i="2" s="1"/>
  <c r="BS19" i="1"/>
  <c r="BT19" i="1" s="1"/>
  <c r="D27" i="11" s="1"/>
  <c r="J70" i="2"/>
  <c r="J73" i="2" s="1"/>
  <c r="BS35" i="1"/>
  <c r="BT35" i="1" s="1"/>
  <c r="D51" i="11" s="1"/>
  <c r="J169" i="2"/>
  <c r="J172" i="2" s="1"/>
  <c r="BS32" i="1"/>
  <c r="BT32" i="1" s="1"/>
  <c r="D46" i="11" s="1"/>
  <c r="D157" i="2"/>
  <c r="D160" i="2" s="1"/>
  <c r="BS48" i="1"/>
  <c r="BT48" i="1" s="1"/>
  <c r="D68" i="11" s="1"/>
  <c r="D259" i="2"/>
  <c r="D262" i="2" s="1"/>
  <c r="BS62" i="1"/>
  <c r="BT62" i="1" s="1"/>
  <c r="D12" i="13" s="1"/>
  <c r="D346" i="2"/>
  <c r="D349" i="2" s="1"/>
  <c r="BS78" i="1"/>
  <c r="BT78" i="1" s="1"/>
  <c r="D19" i="12" s="1"/>
  <c r="D448" i="2"/>
  <c r="D451" i="2" s="1"/>
  <c r="BS53" i="1"/>
  <c r="BT53" i="1" s="1"/>
  <c r="D78" i="11" s="1"/>
  <c r="J283" i="2"/>
  <c r="J286" i="2" s="1"/>
  <c r="BS69" i="1"/>
  <c r="BT69" i="1" s="1"/>
  <c r="D15" i="13" s="1"/>
  <c r="J385" i="2"/>
  <c r="J388" i="2" s="1"/>
  <c r="BS85" i="1"/>
  <c r="BT85" i="1" s="1"/>
  <c r="D21" i="12" s="1"/>
  <c r="J484" i="2"/>
  <c r="J487" i="2" s="1"/>
  <c r="BS101" i="1"/>
  <c r="BT101" i="1" s="1"/>
  <c r="D41" i="11" s="1"/>
  <c r="J586" i="2"/>
  <c r="J589" i="2" s="1"/>
  <c r="BS118" i="1"/>
  <c r="BT118" i="1" s="1"/>
  <c r="D81" i="11" s="1"/>
  <c r="D685" i="2"/>
  <c r="D688" i="2" s="1"/>
  <c r="BS134" i="1"/>
  <c r="BT134" i="1" s="1"/>
  <c r="D43" i="11" s="1"/>
  <c r="J775" i="2"/>
  <c r="J778" i="2" s="1"/>
  <c r="BS107" i="1"/>
  <c r="BT107" i="1" s="1"/>
  <c r="D52" i="11" s="1"/>
  <c r="D622" i="2"/>
  <c r="D625" i="2" s="1"/>
  <c r="BS123" i="1"/>
  <c r="BT123" i="1" s="1"/>
  <c r="D77" i="11" s="1"/>
  <c r="J712" i="2"/>
  <c r="J715" i="2" s="1"/>
  <c r="BS139" i="1"/>
  <c r="BT139" i="1" s="1"/>
  <c r="D48" i="12" s="1"/>
  <c r="D811" i="2"/>
  <c r="D814" i="2" s="1"/>
  <c r="BS155" i="1"/>
  <c r="BT155" i="1" s="1"/>
  <c r="D21" i="11" s="1"/>
  <c r="D913" i="2"/>
  <c r="D916" i="2" s="1"/>
  <c r="BS171" i="1"/>
  <c r="BT171" i="1" s="1"/>
  <c r="D70" i="12" s="1"/>
  <c r="J1000" i="2"/>
  <c r="J1003" i="2" s="1"/>
  <c r="BS187" i="1"/>
  <c r="BT187" i="1" s="1"/>
  <c r="D34" i="13" s="1"/>
  <c r="D1102" i="2"/>
  <c r="D1105" i="2" s="1"/>
  <c r="BS203" i="1"/>
  <c r="BT203" i="1" s="1"/>
  <c r="D94" i="11" s="1"/>
  <c r="J1204" i="2"/>
  <c r="J1207" i="2" s="1"/>
  <c r="BS150" i="1"/>
  <c r="BT150" i="1" s="1"/>
  <c r="D54" i="12" s="1"/>
  <c r="J874" i="2"/>
  <c r="J877" i="2" s="1"/>
  <c r="BS166" i="1"/>
  <c r="BT166" i="1" s="1"/>
  <c r="D66" i="12" s="1"/>
  <c r="J976" i="2"/>
  <c r="J979" i="2" s="1"/>
  <c r="BS186" i="1"/>
  <c r="BT186" i="1" s="1"/>
  <c r="D33" i="13" s="1"/>
  <c r="J1090" i="2"/>
  <c r="J1093" i="2" s="1"/>
  <c r="BS14" i="1"/>
  <c r="BT14" i="1" s="1"/>
  <c r="D18" i="11" s="1"/>
  <c r="D43" i="2"/>
  <c r="D46" i="2" s="1"/>
  <c r="BS9" i="1"/>
  <c r="BT9" i="1" s="1"/>
  <c r="D10" i="11" s="1"/>
  <c r="J7" i="2"/>
  <c r="J10" i="2" s="1"/>
  <c r="BS25" i="1"/>
  <c r="BT25" i="1" s="1"/>
  <c r="D36" i="11" s="1"/>
  <c r="J106" i="2"/>
  <c r="J109" i="2" s="1"/>
  <c r="BS41" i="1"/>
  <c r="BT41" i="1" s="1"/>
  <c r="D59" i="11" s="1"/>
  <c r="J208" i="2"/>
  <c r="J211" i="2" s="1"/>
  <c r="BS38" i="1"/>
  <c r="BT38" i="1" s="1"/>
  <c r="D56" i="11" s="1"/>
  <c r="D196" i="2"/>
  <c r="D199" i="2" s="1"/>
  <c r="BS52" i="1"/>
  <c r="BT52" i="1" s="1"/>
  <c r="D76" i="11" s="1"/>
  <c r="D283" i="2"/>
  <c r="D286" i="2" s="1"/>
  <c r="BS68" i="1"/>
  <c r="BT68" i="1" s="1"/>
  <c r="D13" i="12" s="1"/>
  <c r="D385" i="2"/>
  <c r="D388" i="2" s="1"/>
  <c r="BS84" i="1"/>
  <c r="BT84" i="1" s="1"/>
  <c r="D13" i="11" s="1"/>
  <c r="D484" i="2"/>
  <c r="D487" i="2" s="1"/>
  <c r="BS59" i="1"/>
  <c r="BT59" i="1" s="1"/>
  <c r="D9" i="12" s="1"/>
  <c r="J322" i="2"/>
  <c r="J325" i="2" s="1"/>
  <c r="BS75" i="1"/>
  <c r="BT75" i="1" s="1"/>
  <c r="D17" i="13" s="1"/>
  <c r="J421" i="2"/>
  <c r="J424" i="2" s="1"/>
  <c r="BS91" i="1"/>
  <c r="BT91" i="1" s="1"/>
  <c r="D23" i="12" s="1"/>
  <c r="J523" i="2"/>
  <c r="J526" i="2" s="1"/>
  <c r="BS108" i="1"/>
  <c r="BT108" i="1" s="1"/>
  <c r="D47" i="11" s="1"/>
  <c r="J622" i="2"/>
  <c r="J625" i="2" s="1"/>
  <c r="BS124" i="1"/>
  <c r="BT124" i="1" s="1"/>
  <c r="D37" i="12" s="1"/>
  <c r="D724" i="2"/>
  <c r="D727" i="2" s="1"/>
  <c r="BS96" i="1"/>
  <c r="BT96" i="1" s="1"/>
  <c r="D23" i="13" s="1"/>
  <c r="D559" i="2"/>
  <c r="D562" i="2" s="1"/>
  <c r="BS113" i="1"/>
  <c r="BT113" i="1" s="1"/>
  <c r="D38" i="11" s="1"/>
  <c r="D661" i="2"/>
  <c r="D664" i="2" s="1"/>
  <c r="BS129" i="1"/>
  <c r="BT129" i="1" s="1"/>
  <c r="D42" i="12" s="1"/>
  <c r="J748" i="2"/>
  <c r="J751" i="2" s="1"/>
  <c r="BS145" i="1"/>
  <c r="BT145" i="1" s="1"/>
  <c r="D67" i="11" s="1"/>
  <c r="D850" i="2"/>
  <c r="D853" i="2" s="1"/>
  <c r="BS161" i="1"/>
  <c r="BT161" i="1" s="1"/>
  <c r="D29" i="13" s="1"/>
  <c r="D952" i="2"/>
  <c r="D955" i="2" s="1"/>
  <c r="BS177" i="1"/>
  <c r="BT177" i="1" s="1"/>
  <c r="D85" i="11" s="1"/>
  <c r="J1039" i="2"/>
  <c r="J1042" i="2" s="1"/>
  <c r="BS193" i="1"/>
  <c r="BT193" i="1" s="1"/>
  <c r="D81" i="12" s="1"/>
  <c r="D1141" i="2"/>
  <c r="D1144" i="2" s="1"/>
  <c r="BS140" i="1"/>
  <c r="BT140" i="1" s="1"/>
  <c r="D49" i="12" s="1"/>
  <c r="J811" i="2"/>
  <c r="J814" i="2" s="1"/>
  <c r="BS156" i="1"/>
  <c r="BT156" i="1" s="1"/>
  <c r="D59" i="12" s="1"/>
  <c r="J913" i="2"/>
  <c r="J916" i="2" s="1"/>
  <c r="BS172" i="1"/>
  <c r="BT172" i="1" s="1"/>
  <c r="D30" i="13" s="1"/>
  <c r="D1015" i="2"/>
  <c r="D1018" i="2" s="1"/>
  <c r="BS188" i="1"/>
  <c r="BT188" i="1" s="1"/>
  <c r="D35" i="13" s="1"/>
  <c r="J1102" i="2"/>
  <c r="J1105" i="2" s="1"/>
  <c r="BS204" i="1"/>
  <c r="BT204" i="1" s="1"/>
  <c r="D95" i="11" s="1"/>
  <c r="D1228" i="2"/>
  <c r="D1231" i="2" s="1"/>
  <c r="BS199" i="1"/>
  <c r="BT199" i="1" s="1"/>
  <c r="D84" i="12" s="1"/>
  <c r="J1177" i="2"/>
  <c r="J1180" i="2" s="1"/>
  <c r="BS183" i="1"/>
  <c r="BT183" i="1" s="1"/>
  <c r="D74" i="12" s="1"/>
  <c r="D1078" i="2"/>
  <c r="D1081" i="2" s="1"/>
  <c r="BS167" i="1"/>
  <c r="BT167" i="1" s="1"/>
  <c r="D67" i="12" s="1"/>
  <c r="D988" i="2"/>
  <c r="D991" i="2" s="1"/>
  <c r="BS135" i="1"/>
  <c r="BT135" i="1" s="1"/>
  <c r="D46" i="12" s="1"/>
  <c r="D787" i="2"/>
  <c r="D790" i="2" s="1"/>
  <c r="BS81" i="1"/>
  <c r="BT81" i="1" s="1"/>
  <c r="D20" i="13" s="1"/>
  <c r="J460" i="2"/>
  <c r="J463" i="2" s="1"/>
  <c r="BQ176" i="1"/>
  <c r="D1039" i="2" s="1"/>
  <c r="D1042" i="2" s="1"/>
  <c r="BS144" i="1"/>
  <c r="BT144" i="1" s="1"/>
  <c r="D51" i="12" s="1"/>
  <c r="J838" i="2"/>
  <c r="J841" i="2" s="1"/>
  <c r="BS103" i="1"/>
  <c r="BT103" i="1" s="1"/>
  <c r="D30" i="12" s="1"/>
  <c r="J598" i="2"/>
  <c r="J601" i="2" s="1"/>
  <c r="BS57" i="1"/>
  <c r="BT57" i="1" s="1"/>
  <c r="D9" i="13" s="1"/>
  <c r="J307" i="2"/>
  <c r="J310" i="2" s="1"/>
  <c r="BS79" i="1"/>
  <c r="BT79" i="1" s="1"/>
  <c r="D20" i="12" s="1"/>
  <c r="J448" i="2"/>
  <c r="J451" i="2" s="1"/>
  <c r="BS45" i="1"/>
  <c r="BT45" i="1" s="1"/>
  <c r="D64" i="11" s="1"/>
  <c r="J232" i="2"/>
  <c r="J235" i="2" s="1"/>
  <c r="BS13" i="1"/>
  <c r="BT13" i="1" s="1"/>
  <c r="D17" i="11" s="1"/>
  <c r="J31" i="2"/>
  <c r="J34" i="2" s="1"/>
  <c r="BS178" i="1"/>
  <c r="BT178" i="1" s="1"/>
  <c r="D32" i="13" s="1"/>
  <c r="D1051" i="2"/>
  <c r="D1054" i="2" s="1"/>
  <c r="BS162" i="1"/>
  <c r="BT162" i="1" s="1"/>
  <c r="D62" i="12" s="1"/>
  <c r="J952" i="2"/>
  <c r="J955" i="2" s="1"/>
  <c r="BS146" i="1"/>
  <c r="BT146" i="1" s="1"/>
  <c r="D71" i="11" s="1"/>
  <c r="J850" i="2"/>
  <c r="J853" i="2" s="1"/>
  <c r="BS130" i="1"/>
  <c r="BT130" i="1" s="1"/>
  <c r="D84" i="11" s="1"/>
  <c r="J1141" i="2"/>
  <c r="J1144" i="2" s="1"/>
  <c r="BS109" i="1"/>
  <c r="BT109" i="1" s="1"/>
  <c r="D33" i="12" s="1"/>
  <c r="D637" i="2"/>
  <c r="D640" i="2" s="1"/>
  <c r="BS92" i="1"/>
  <c r="BT92" i="1" s="1"/>
  <c r="D24" i="12" s="1"/>
  <c r="D535" i="2"/>
  <c r="D538" i="2" s="1"/>
  <c r="BS44" i="1"/>
  <c r="BT44" i="1" s="1"/>
  <c r="D63" i="11" s="1"/>
  <c r="D232" i="2"/>
  <c r="D235" i="2" s="1"/>
  <c r="BS28" i="1"/>
  <c r="BT28" i="1" s="1"/>
  <c r="D39" i="11" s="1"/>
  <c r="D133" i="2"/>
  <c r="D136" i="2" s="1"/>
  <c r="BS12" i="1"/>
  <c r="BT12" i="1" s="1"/>
  <c r="D15" i="11" s="1"/>
  <c r="D31" i="2"/>
  <c r="D34" i="2" s="1"/>
  <c r="BS82" i="1"/>
  <c r="BT82" i="1" s="1"/>
  <c r="D35" i="11" s="1"/>
  <c r="D472" i="2"/>
  <c r="D475" i="2" s="1"/>
  <c r="BS66" i="1"/>
  <c r="BT66" i="1" s="1"/>
  <c r="D11" i="12" s="1"/>
  <c r="D370" i="2"/>
  <c r="D373" i="2" s="1"/>
  <c r="BS50" i="1"/>
  <c r="BT50" i="1" s="1"/>
  <c r="D72" i="11" s="1"/>
  <c r="D271" i="2"/>
  <c r="D274" i="2" s="1"/>
  <c r="BS34" i="1"/>
  <c r="BT34" i="1" s="1"/>
  <c r="D49" i="11" s="1"/>
  <c r="D169" i="2"/>
  <c r="D172" i="2" s="1"/>
  <c r="BS18" i="1"/>
  <c r="BT18" i="1" s="1"/>
  <c r="D25" i="11" s="1"/>
  <c r="D70" i="2"/>
  <c r="D73" i="2" s="1"/>
  <c r="BS143" i="1"/>
  <c r="BT143" i="1" s="1"/>
  <c r="D58" i="11" s="1"/>
  <c r="D838" i="2"/>
  <c r="D841" i="2" s="1"/>
  <c r="BS97" i="1"/>
  <c r="BT97" i="1" s="1"/>
  <c r="D27" i="12" s="1"/>
  <c r="J559" i="2"/>
  <c r="J562" i="2" s="1"/>
  <c r="BS184" i="1"/>
  <c r="BT184" i="1" s="1"/>
  <c r="D75" i="12" s="1"/>
  <c r="J1078" i="2"/>
  <c r="J1081" i="2" s="1"/>
  <c r="BS152" i="1"/>
  <c r="BT152" i="1" s="1"/>
  <c r="D56" i="12" s="1"/>
  <c r="J889" i="2"/>
  <c r="J892" i="2" s="1"/>
  <c r="BS120" i="1"/>
  <c r="BT120" i="1" s="1"/>
  <c r="D83" i="11" s="1"/>
  <c r="D700" i="2"/>
  <c r="D703" i="2" s="1"/>
  <c r="BS65" i="1"/>
  <c r="BT65" i="1" s="1"/>
  <c r="D10" i="12" s="1"/>
  <c r="J358" i="2"/>
  <c r="J361" i="2" s="1"/>
  <c r="BS197" i="1"/>
  <c r="BT197" i="1" s="1"/>
  <c r="D82" i="12" s="1"/>
  <c r="J1165" i="2"/>
  <c r="J1168" i="2" s="1"/>
  <c r="BS181" i="1"/>
  <c r="BT181" i="1" s="1"/>
  <c r="D72" i="12" s="1"/>
  <c r="D1063" i="2"/>
  <c r="D1066" i="2" s="1"/>
  <c r="BS95" i="1"/>
  <c r="BT95" i="1" s="1"/>
  <c r="D22" i="13" s="1"/>
  <c r="J547" i="2"/>
  <c r="J550" i="2" s="1"/>
  <c r="BS21" i="1"/>
  <c r="BT21" i="1" s="1"/>
  <c r="D29" i="11" s="1"/>
  <c r="J82" i="2"/>
  <c r="J85" i="2" s="1"/>
  <c r="BS157" i="1"/>
  <c r="BT157" i="1" s="1"/>
  <c r="D60" i="12" s="1"/>
  <c r="D925" i="2"/>
  <c r="D928" i="2" s="1"/>
  <c r="BS141" i="1"/>
  <c r="BT141" i="1" s="1"/>
  <c r="D50" i="12" s="1"/>
  <c r="D826" i="2"/>
  <c r="D829" i="2" s="1"/>
  <c r="BS125" i="1"/>
  <c r="BT125" i="1" s="1"/>
  <c r="D38" i="12" s="1"/>
  <c r="J724" i="2"/>
  <c r="J727" i="2" s="1"/>
  <c r="BS182" i="1"/>
  <c r="BT182" i="1" s="1"/>
  <c r="D73" i="12" s="1"/>
  <c r="J1063" i="2"/>
  <c r="J1066" i="2" s="1"/>
  <c r="BS63" i="1"/>
  <c r="BT63" i="1" s="1"/>
  <c r="D13" i="13" s="1"/>
  <c r="J346" i="2"/>
  <c r="J349" i="2" s="1"/>
  <c r="BS47" i="1"/>
  <c r="BT47" i="1" s="1"/>
  <c r="D22" i="11" s="1"/>
  <c r="J244" i="2"/>
  <c r="J247" i="2" s="1"/>
  <c r="BS31" i="1"/>
  <c r="BT31" i="1" s="1"/>
  <c r="D44" i="11" s="1"/>
  <c r="J145" i="2"/>
  <c r="J148" i="2" s="1"/>
  <c r="BS15" i="1"/>
  <c r="BT15" i="1" s="1"/>
  <c r="D20" i="11" s="1"/>
  <c r="J43" i="2"/>
  <c r="J46" i="2" s="1"/>
  <c r="BS80" i="1"/>
  <c r="BT80" i="1" s="1"/>
  <c r="D19" i="13" s="1"/>
  <c r="D460" i="2"/>
  <c r="D463" i="2" s="1"/>
  <c r="BS64" i="1"/>
  <c r="BT64" i="1" s="1"/>
  <c r="D14" i="13" s="1"/>
  <c r="D358" i="2"/>
  <c r="D361" i="2" s="1"/>
  <c r="BS119" i="1"/>
  <c r="BT119" i="1" s="1"/>
  <c r="D31" i="11" s="1"/>
  <c r="J685" i="2"/>
  <c r="J688" i="2" s="1"/>
  <c r="BS102" i="1"/>
  <c r="BT102" i="1" s="1"/>
  <c r="D29" i="12" s="1"/>
  <c r="D598" i="2"/>
  <c r="D601" i="2" s="1"/>
  <c r="J1239" i="2"/>
  <c r="BS11" i="1"/>
  <c r="BT11" i="1" s="1"/>
  <c r="D14" i="11" s="1"/>
  <c r="J19" i="2"/>
  <c r="J22" i="2" s="1"/>
  <c r="BS43" i="1"/>
  <c r="BT43" i="1" s="1"/>
  <c r="D61" i="11" s="1"/>
  <c r="J220" i="2"/>
  <c r="J223" i="2" s="1"/>
  <c r="BS54" i="1"/>
  <c r="BT54" i="1" s="1"/>
  <c r="D80" i="11" s="1"/>
  <c r="D295" i="2"/>
  <c r="D298" i="2" s="1"/>
  <c r="BS86" i="1"/>
  <c r="BT86" i="1" s="1"/>
  <c r="D19" i="11" s="1"/>
  <c r="D496" i="2"/>
  <c r="D499" i="2" s="1"/>
  <c r="BS61" i="1"/>
  <c r="BT61" i="1" s="1"/>
  <c r="D11" i="13" s="1"/>
  <c r="J334" i="2"/>
  <c r="J337" i="2" s="1"/>
  <c r="BS77" i="1"/>
  <c r="BT77" i="1" s="1"/>
  <c r="D18" i="12" s="1"/>
  <c r="J433" i="2"/>
  <c r="J436" i="2" s="1"/>
  <c r="BS93" i="1"/>
  <c r="BT93" i="1" s="1"/>
  <c r="D25" i="12" s="1"/>
  <c r="J535" i="2"/>
  <c r="J538" i="2" s="1"/>
  <c r="BS110" i="1"/>
  <c r="BT110" i="1" s="1"/>
  <c r="D34" i="12" s="1"/>
  <c r="J637" i="2"/>
  <c r="J640" i="2" s="1"/>
  <c r="BS126" i="1"/>
  <c r="BT126" i="1" s="1"/>
  <c r="D39" i="12" s="1"/>
  <c r="D736" i="2"/>
  <c r="D739" i="2" s="1"/>
  <c r="BS98" i="1"/>
  <c r="BT98" i="1" s="1"/>
  <c r="D16" i="11" s="1"/>
  <c r="D574" i="2"/>
  <c r="D577" i="2" s="1"/>
  <c r="BS115" i="1"/>
  <c r="BT115" i="1" s="1"/>
  <c r="D25" i="13" s="1"/>
  <c r="D673" i="2"/>
  <c r="D676" i="2" s="1"/>
  <c r="BS131" i="1"/>
  <c r="BT131" i="1" s="1"/>
  <c r="D43" i="12" s="1"/>
  <c r="D763" i="2"/>
  <c r="D766" i="2" s="1"/>
  <c r="BS147" i="1"/>
  <c r="BT147" i="1" s="1"/>
  <c r="D52" i="12" s="1"/>
  <c r="D862" i="2"/>
  <c r="D865" i="2" s="1"/>
  <c r="BS163" i="1"/>
  <c r="BT163" i="1" s="1"/>
  <c r="D63" i="12" s="1"/>
  <c r="D964" i="2"/>
  <c r="D967" i="2" s="1"/>
  <c r="BS179" i="1"/>
  <c r="BT179" i="1" s="1"/>
  <c r="D92" i="11" s="1"/>
  <c r="J1216" i="2"/>
  <c r="J1219" i="2" s="1"/>
  <c r="BS195" i="1"/>
  <c r="BT195" i="1" s="1"/>
  <c r="D93" i="11" s="1"/>
  <c r="J1153" i="2"/>
  <c r="J1156" i="2" s="1"/>
  <c r="BS142" i="1"/>
  <c r="BT142" i="1" s="1"/>
  <c r="D62" i="11" s="1"/>
  <c r="J826" i="2"/>
  <c r="J829" i="2" s="1"/>
  <c r="BS158" i="1"/>
  <c r="BT158" i="1" s="1"/>
  <c r="D28" i="13" s="1"/>
  <c r="J925" i="2"/>
  <c r="J928" i="2" s="1"/>
  <c r="BS174" i="1"/>
  <c r="BT174" i="1" s="1"/>
  <c r="D87" i="11" s="1"/>
  <c r="D1027" i="2"/>
  <c r="D1030" i="2" s="1"/>
  <c r="BS198" i="1"/>
  <c r="BT198" i="1" s="1"/>
  <c r="D83" i="12" s="1"/>
  <c r="D1177" i="2"/>
  <c r="D1180" i="2" s="1"/>
  <c r="BS22" i="1"/>
  <c r="BT22" i="1" s="1"/>
  <c r="D30" i="11" s="1"/>
  <c r="D94" i="2"/>
  <c r="D97" i="2" s="1"/>
  <c r="BS17" i="1"/>
  <c r="BT17" i="1" s="1"/>
  <c r="D24" i="11" s="1"/>
  <c r="J55" i="2"/>
  <c r="J58" i="2" s="1"/>
  <c r="BS33" i="1"/>
  <c r="BT33" i="1" s="1"/>
  <c r="D48" i="11" s="1"/>
  <c r="J157" i="2"/>
  <c r="J160" i="2" s="1"/>
  <c r="BS30" i="1"/>
  <c r="BT30" i="1" s="1"/>
  <c r="D42" i="11" s="1"/>
  <c r="D145" i="2"/>
  <c r="D148" i="2" s="1"/>
  <c r="BS46" i="1"/>
  <c r="BT46" i="1" s="1"/>
  <c r="D66" i="11" s="1"/>
  <c r="D244" i="2"/>
  <c r="D247" i="2" s="1"/>
  <c r="BS60" i="1"/>
  <c r="BT60" i="1" s="1"/>
  <c r="D10" i="13" s="1"/>
  <c r="D334" i="2"/>
  <c r="D337" i="2" s="1"/>
  <c r="BS76" i="1"/>
  <c r="BT76" i="1" s="1"/>
  <c r="D17" i="12" s="1"/>
  <c r="D433" i="2"/>
  <c r="D436" i="2" s="1"/>
  <c r="BS51" i="1"/>
  <c r="BT51" i="1" s="1"/>
  <c r="D74" i="11" s="1"/>
  <c r="J271" i="2"/>
  <c r="J274" i="2" s="1"/>
  <c r="BS67" i="1"/>
  <c r="BT67" i="1" s="1"/>
  <c r="D12" i="12" s="1"/>
  <c r="J370" i="2"/>
  <c r="J373" i="2" s="1"/>
  <c r="BS83" i="1"/>
  <c r="BT83" i="1" s="1"/>
  <c r="D21" i="13" s="1"/>
  <c r="J472" i="2"/>
  <c r="J475" i="2" s="1"/>
  <c r="BS99" i="1"/>
  <c r="BT99" i="1" s="1"/>
  <c r="D28" i="12" s="1"/>
  <c r="J574" i="2"/>
  <c r="J577" i="2" s="1"/>
  <c r="BS116" i="1"/>
  <c r="BT116" i="1" s="1"/>
  <c r="D75" i="11" s="1"/>
  <c r="J1228" i="2"/>
  <c r="J1231" i="2" s="1"/>
  <c r="BS132" i="1"/>
  <c r="BT132" i="1" s="1"/>
  <c r="D44" i="12" s="1"/>
  <c r="J763" i="2"/>
  <c r="J766" i="2" s="1"/>
  <c r="BS104" i="1"/>
  <c r="BT104" i="1" s="1"/>
  <c r="D31" i="12" s="1"/>
  <c r="D610" i="2"/>
  <c r="D613" i="2" s="1"/>
  <c r="BS121" i="1"/>
  <c r="BT121" i="1" s="1"/>
  <c r="D36" i="12" s="1"/>
  <c r="J700" i="2"/>
  <c r="J703" i="2" s="1"/>
  <c r="BS137" i="1"/>
  <c r="BT137" i="1" s="1"/>
  <c r="D26" i="13" s="1"/>
  <c r="D799" i="2"/>
  <c r="D802" i="2" s="1"/>
  <c r="BS153" i="1"/>
  <c r="BT153" i="1" s="1"/>
  <c r="D57" i="12" s="1"/>
  <c r="D901" i="2"/>
  <c r="D904" i="2" s="1"/>
  <c r="BS169" i="1"/>
  <c r="BT169" i="1" s="1"/>
  <c r="D68" i="12" s="1"/>
  <c r="D1216" i="2"/>
  <c r="D1219" i="2" s="1"/>
  <c r="BS185" i="1"/>
  <c r="BT185" i="1" s="1"/>
  <c r="D76" i="12" s="1"/>
  <c r="D1090" i="2"/>
  <c r="D1093" i="2" s="1"/>
  <c r="BS201" i="1"/>
  <c r="BT201" i="1" s="1"/>
  <c r="D85" i="12" s="1"/>
  <c r="J1189" i="2"/>
  <c r="J1192" i="2" s="1"/>
  <c r="BS148" i="1"/>
  <c r="BT148" i="1" s="1"/>
  <c r="D53" i="12" s="1"/>
  <c r="J862" i="2"/>
  <c r="J865" i="2" s="1"/>
  <c r="BS164" i="1"/>
  <c r="BT164" i="1" s="1"/>
  <c r="D64" i="12" s="1"/>
  <c r="J964" i="2"/>
  <c r="J967" i="2" s="1"/>
  <c r="BS180" i="1"/>
  <c r="BT180" i="1" s="1"/>
  <c r="D71" i="12" s="1"/>
  <c r="J1051" i="2"/>
  <c r="J1054" i="2" s="1"/>
  <c r="BS196" i="1"/>
  <c r="BT196" i="1" s="1"/>
  <c r="D36" i="13" s="1"/>
  <c r="D1165" i="2"/>
  <c r="D1168" i="2" s="1"/>
  <c r="BS194" i="1"/>
  <c r="BT194" i="1" s="1"/>
  <c r="D91" i="11" s="1"/>
  <c r="D1153" i="2"/>
  <c r="D1156" i="2" s="1"/>
  <c r="BS191" i="1"/>
  <c r="BT191" i="1" s="1"/>
  <c r="D79" i="12" s="1"/>
  <c r="D1126" i="2"/>
  <c r="D1129" i="2" s="1"/>
  <c r="BS175" i="1"/>
  <c r="BT175" i="1" s="1"/>
  <c r="D89" i="11" s="1"/>
  <c r="J1027" i="2"/>
  <c r="J1030" i="2" s="1"/>
  <c r="BS151" i="1"/>
  <c r="BT151" i="1" s="1"/>
  <c r="D55" i="12" s="1"/>
  <c r="D889" i="2"/>
  <c r="D892" i="2" s="1"/>
  <c r="BS114" i="1"/>
  <c r="BT114" i="1" s="1"/>
  <c r="D24" i="13" s="1"/>
  <c r="J661" i="2"/>
  <c r="J664" i="2" s="1"/>
  <c r="BS192" i="1"/>
  <c r="BT192" i="1" s="1"/>
  <c r="D80" i="12" s="1"/>
  <c r="J1126" i="2"/>
  <c r="J1129" i="2" s="1"/>
  <c r="BS160" i="1"/>
  <c r="BT160" i="1" s="1"/>
  <c r="D86" i="11" s="1"/>
  <c r="J937" i="2"/>
  <c r="J940" i="2" s="1"/>
  <c r="BS128" i="1"/>
  <c r="BT128" i="1" s="1"/>
  <c r="D41" i="12" s="1"/>
  <c r="D748" i="2"/>
  <c r="D751" i="2" s="1"/>
  <c r="BS73" i="1"/>
  <c r="BT73" i="1" s="1"/>
  <c r="D16" i="12" s="1"/>
  <c r="J409" i="2"/>
  <c r="J412" i="2" s="1"/>
  <c r="BS89" i="1"/>
  <c r="BT89" i="1" s="1"/>
  <c r="D18" i="13" s="1"/>
  <c r="J511" i="2"/>
  <c r="J514" i="2" s="1"/>
  <c r="BS112" i="1"/>
  <c r="BT112" i="1" s="1"/>
  <c r="D50" i="11" s="1"/>
  <c r="J649" i="2"/>
  <c r="J652" i="2" s="1"/>
  <c r="BS29" i="1"/>
  <c r="BT29" i="1" s="1"/>
  <c r="D40" i="11" s="1"/>
  <c r="J133" i="2"/>
  <c r="J136" i="2" s="1"/>
  <c r="BS202" i="1"/>
  <c r="BT202" i="1" s="1"/>
  <c r="D86" i="12" s="1"/>
  <c r="D1204" i="2"/>
  <c r="D1207" i="2" s="1"/>
  <c r="BS170" i="1"/>
  <c r="BT170" i="1" s="1"/>
  <c r="D69" i="12" s="1"/>
  <c r="D1000" i="2"/>
  <c r="D1003" i="2" s="1"/>
  <c r="BS154" i="1"/>
  <c r="BT154" i="1" s="1"/>
  <c r="D58" i="12" s="1"/>
  <c r="J901" i="2"/>
  <c r="J904" i="2" s="1"/>
  <c r="BS138" i="1"/>
  <c r="BT138" i="1" s="1"/>
  <c r="D27" i="13" s="1"/>
  <c r="J799" i="2"/>
  <c r="J802" i="2" s="1"/>
  <c r="BS122" i="1"/>
  <c r="BT122" i="1" s="1"/>
  <c r="D45" i="11" s="1"/>
  <c r="D712" i="2"/>
  <c r="D715" i="2" s="1"/>
  <c r="BS117" i="1"/>
  <c r="BT117" i="1" s="1"/>
  <c r="D54" i="11" s="1"/>
  <c r="J673" i="2"/>
  <c r="J676" i="2" s="1"/>
  <c r="BS100" i="1"/>
  <c r="BT100" i="1" s="1"/>
  <c r="D79" i="11" s="1"/>
  <c r="D586" i="2"/>
  <c r="D589" i="2" s="1"/>
  <c r="BS36" i="1"/>
  <c r="BT36" i="1" s="1"/>
  <c r="D53" i="11" s="1"/>
  <c r="D181" i="2"/>
  <c r="D184" i="2" s="1"/>
  <c r="BS20" i="1"/>
  <c r="BT20" i="1" s="1"/>
  <c r="D28" i="11" s="1"/>
  <c r="D82" i="2"/>
  <c r="D85" i="2" s="1"/>
  <c r="BS90" i="1"/>
  <c r="BT90" i="1" s="1"/>
  <c r="D22" i="12" s="1"/>
  <c r="D523" i="2"/>
  <c r="D526" i="2" s="1"/>
  <c r="BS74" i="1"/>
  <c r="BT74" i="1" s="1"/>
  <c r="D82" i="11" s="1"/>
  <c r="D421" i="2"/>
  <c r="D424" i="2" s="1"/>
  <c r="BS58" i="1"/>
  <c r="BT58" i="1" s="1"/>
  <c r="D8" i="12" s="1"/>
  <c r="D322" i="2"/>
  <c r="D325" i="2" s="1"/>
  <c r="BS42" i="1"/>
  <c r="BT42" i="1" s="1"/>
  <c r="D60" i="11" s="1"/>
  <c r="D220" i="2"/>
  <c r="D223" i="2" s="1"/>
  <c r="BS26" i="1"/>
  <c r="BT26" i="1" s="1"/>
  <c r="D37" i="11" s="1"/>
  <c r="D118" i="2"/>
  <c r="D121" i="2" s="1"/>
  <c r="BS10" i="1"/>
  <c r="BT10" i="1" s="1"/>
  <c r="D12" i="11" s="1"/>
  <c r="D19" i="2"/>
  <c r="D22" i="2" s="1"/>
  <c r="BS159" i="1"/>
  <c r="BT159" i="1" s="1"/>
  <c r="D61" i="12" s="1"/>
  <c r="D937" i="2"/>
  <c r="D940" i="2" s="1"/>
  <c r="BS127" i="1"/>
  <c r="BT127" i="1" s="1"/>
  <c r="D40" i="12" s="1"/>
  <c r="J736" i="2"/>
  <c r="J739" i="2" s="1"/>
  <c r="BS200" i="1"/>
  <c r="BT200" i="1" s="1"/>
  <c r="D88" i="11" s="1"/>
  <c r="D1189" i="2"/>
  <c r="D1192" i="2" s="1"/>
  <c r="BS168" i="1"/>
  <c r="BT168" i="1" s="1"/>
  <c r="D9" i="11" s="1"/>
  <c r="J988" i="2"/>
  <c r="J991" i="2" s="1"/>
  <c r="BS136" i="1"/>
  <c r="BT136" i="1" s="1"/>
  <c r="D47" i="12" s="1"/>
  <c r="J787" i="2"/>
  <c r="J790" i="2" s="1"/>
  <c r="BS87" i="1"/>
  <c r="BT87" i="1" s="1"/>
  <c r="D69" i="11" s="1"/>
  <c r="J496" i="2"/>
  <c r="J499" i="2" s="1"/>
  <c r="BS49" i="1"/>
  <c r="BT49" i="1" s="1"/>
  <c r="D70" i="11" s="1"/>
  <c r="J259" i="2"/>
  <c r="J262" i="2" s="1"/>
  <c r="BS189" i="1"/>
  <c r="BT189" i="1" s="1"/>
  <c r="D77" i="12" s="1"/>
  <c r="D1114" i="2"/>
  <c r="D1117" i="2" s="1"/>
  <c r="BS173" i="1"/>
  <c r="BT173" i="1" s="1"/>
  <c r="D31" i="13" s="1"/>
  <c r="J1015" i="2"/>
  <c r="J1018" i="2" s="1"/>
  <c r="BS105" i="1"/>
  <c r="BT105" i="1" s="1"/>
  <c r="D32" i="12" s="1"/>
  <c r="J610" i="2"/>
  <c r="J613" i="2" s="1"/>
  <c r="BS37" i="1"/>
  <c r="BT37" i="1" s="1"/>
  <c r="D55" i="11" s="1"/>
  <c r="J181" i="2"/>
  <c r="J184" i="2" s="1"/>
  <c r="BS165" i="1"/>
  <c r="BT165" i="1" s="1"/>
  <c r="D65" i="12" s="1"/>
  <c r="D976" i="2"/>
  <c r="D979" i="2" s="1"/>
  <c r="BS149" i="1"/>
  <c r="BT149" i="1" s="1"/>
  <c r="D73" i="11" s="1"/>
  <c r="D874" i="2"/>
  <c r="D877" i="2" s="1"/>
  <c r="BS133" i="1"/>
  <c r="BT133" i="1" s="1"/>
  <c r="D45" i="12" s="1"/>
  <c r="D775" i="2"/>
  <c r="D778" i="2" s="1"/>
  <c r="BS190" i="1"/>
  <c r="BT190" i="1" s="1"/>
  <c r="D78" i="12" s="1"/>
  <c r="J1114" i="2"/>
  <c r="J1117" i="2" s="1"/>
  <c r="BS71" i="1"/>
  <c r="BT71" i="1" s="1"/>
  <c r="D14" i="12" s="1"/>
  <c r="J397" i="2"/>
  <c r="J400" i="2" s="1"/>
  <c r="BS55" i="1"/>
  <c r="BT55" i="1" s="1"/>
  <c r="D65" i="11" s="1"/>
  <c r="J295" i="2"/>
  <c r="J298" i="2" s="1"/>
  <c r="BS39" i="1"/>
  <c r="BT39" i="1" s="1"/>
  <c r="D33" i="11" s="1"/>
  <c r="J196" i="2"/>
  <c r="J199" i="2" s="1"/>
  <c r="BS23" i="1"/>
  <c r="BT23" i="1" s="1"/>
  <c r="D32" i="11" s="1"/>
  <c r="J94" i="2"/>
  <c r="J97" i="2" s="1"/>
  <c r="BS88" i="1"/>
  <c r="BT88" i="1" s="1"/>
  <c r="D11" i="11" s="1"/>
  <c r="D511" i="2"/>
  <c r="D514" i="2" s="1"/>
  <c r="BS72" i="1"/>
  <c r="BT72" i="1" s="1"/>
  <c r="D15" i="12" s="1"/>
  <c r="D409" i="2"/>
  <c r="D412" i="2" s="1"/>
  <c r="BS56" i="1"/>
  <c r="BT56" i="1" s="1"/>
  <c r="D8" i="13" s="1"/>
  <c r="D307" i="2"/>
  <c r="D310" i="2" s="1"/>
  <c r="D10" i="2"/>
  <c r="BS111" i="1"/>
  <c r="BT111" i="1" s="1"/>
  <c r="D35" i="12" s="1"/>
  <c r="D649" i="2"/>
  <c r="D652" i="2" s="1"/>
  <c r="BS94" i="1"/>
  <c r="BT94" i="1" s="1"/>
  <c r="D26" i="12" s="1"/>
  <c r="D547" i="2"/>
  <c r="D550" i="2" s="1"/>
  <c r="BQ205" i="1"/>
  <c r="D1240" i="2" s="1"/>
  <c r="D1243" i="2" s="1"/>
  <c r="BS8" i="1"/>
  <c r="BP205" i="1"/>
  <c r="D37" i="13" l="1"/>
  <c r="BS176" i="1"/>
  <c r="BT176" i="1" s="1"/>
  <c r="D90" i="11" s="1"/>
  <c r="J1240" i="2"/>
  <c r="J1243" i="2" s="1"/>
  <c r="D87" i="12"/>
  <c r="BS205" i="1"/>
  <c r="BT8" i="1"/>
  <c r="BT205" i="1" l="1"/>
  <c r="D8" i="11"/>
  <c r="D96" i="11" s="1"/>
</calcChain>
</file>

<file path=xl/sharedStrings.xml><?xml version="1.0" encoding="utf-8"?>
<sst xmlns="http://schemas.openxmlformats.org/spreadsheetml/2006/main" count="4835" uniqueCount="678">
  <si>
    <t>NOMOR</t>
  </si>
  <si>
    <t>NAMA ANGGOTA</t>
  </si>
  <si>
    <t>SIMPANAN</t>
  </si>
  <si>
    <t>Pokok</t>
  </si>
  <si>
    <t>Wajib</t>
  </si>
  <si>
    <t>Jumlah</t>
  </si>
  <si>
    <t>Urut</t>
  </si>
  <si>
    <t>Angg</t>
  </si>
  <si>
    <t xml:space="preserve"> Darsono</t>
  </si>
  <si>
    <t xml:space="preserve"> Suwedi</t>
  </si>
  <si>
    <t xml:space="preserve"> Ahmad Juaeni</t>
  </si>
  <si>
    <t xml:space="preserve"> Achmad Firdaus</t>
  </si>
  <si>
    <t xml:space="preserve"> Hasan Sasmita</t>
  </si>
  <si>
    <t xml:space="preserve"> Cepi Kurniawan</t>
  </si>
  <si>
    <t xml:space="preserve"> Endang Suwardi</t>
  </si>
  <si>
    <t xml:space="preserve"> Mamat AB</t>
  </si>
  <si>
    <t xml:space="preserve"> Ade Supriyadi</t>
  </si>
  <si>
    <t xml:space="preserve"> Ali Sasmita</t>
  </si>
  <si>
    <t xml:space="preserve"> Rodiah</t>
  </si>
  <si>
    <t xml:space="preserve"> Denden</t>
  </si>
  <si>
    <t xml:space="preserve"> Hambali</t>
  </si>
  <si>
    <t xml:space="preserve"> Rohman</t>
  </si>
  <si>
    <t xml:space="preserve"> Budi</t>
  </si>
  <si>
    <t xml:space="preserve"> Ridwan</t>
  </si>
  <si>
    <t xml:space="preserve"> Jujun Junaedi</t>
  </si>
  <si>
    <t xml:space="preserve"> Ade Casmuri</t>
  </si>
  <si>
    <t xml:space="preserve"> Jajat Sudrajat</t>
  </si>
  <si>
    <t xml:space="preserve"> Maman Suratman</t>
  </si>
  <si>
    <t xml:space="preserve"> Mita Sudirja</t>
  </si>
  <si>
    <t xml:space="preserve"> Wawan Gunawan</t>
  </si>
  <si>
    <t xml:space="preserve"> Iwan Rudianto</t>
  </si>
  <si>
    <t xml:space="preserve"> Dedi Sutarman</t>
  </si>
  <si>
    <t xml:space="preserve"> Rusmana</t>
  </si>
  <si>
    <t xml:space="preserve"> Sodikin</t>
  </si>
  <si>
    <t xml:space="preserve"> Sugimin</t>
  </si>
  <si>
    <t xml:space="preserve"> Ade Ruhyat</t>
  </si>
  <si>
    <t xml:space="preserve"> Sanusi</t>
  </si>
  <si>
    <t xml:space="preserve"> Badruji</t>
  </si>
  <si>
    <t xml:space="preserve"> Dimas Rama</t>
  </si>
  <si>
    <t xml:space="preserve"> Sri Suwarni</t>
  </si>
  <si>
    <t xml:space="preserve"> Ajat Sudrajat</t>
  </si>
  <si>
    <t xml:space="preserve"> Endang Komarudin</t>
  </si>
  <si>
    <t xml:space="preserve"> Kindi</t>
  </si>
  <si>
    <t xml:space="preserve"> M.Firmansyah</t>
  </si>
  <si>
    <t xml:space="preserve"> N.Sasramdani</t>
  </si>
  <si>
    <t xml:space="preserve"> Nurjaeni</t>
  </si>
  <si>
    <t xml:space="preserve"> Dadang Suhendar</t>
  </si>
  <si>
    <t xml:space="preserve"> Djenal Aripin</t>
  </si>
  <si>
    <t xml:space="preserve"> Wawan Suryana</t>
  </si>
  <si>
    <t xml:space="preserve"> Suryadi</t>
  </si>
  <si>
    <t xml:space="preserve"> Duyeh</t>
  </si>
  <si>
    <t xml:space="preserve"> Ujang Suparman</t>
  </si>
  <si>
    <t xml:space="preserve"> Saepuloh</t>
  </si>
  <si>
    <t xml:space="preserve"> Hedi Suyono</t>
  </si>
  <si>
    <t xml:space="preserve"> Supardi</t>
  </si>
  <si>
    <t xml:space="preserve"> Supartini</t>
  </si>
  <si>
    <t xml:space="preserve"> Maman Somantri</t>
  </si>
  <si>
    <t xml:space="preserve"> Ibu Siti Aminah</t>
  </si>
  <si>
    <t xml:space="preserve"> Bpk.H.Udin Ismail</t>
  </si>
  <si>
    <t xml:space="preserve"> Bpk.H.Iskandar</t>
  </si>
  <si>
    <t xml:space="preserve"> Ridha Rasyid</t>
  </si>
  <si>
    <t xml:space="preserve"> Bahrudin</t>
  </si>
  <si>
    <t xml:space="preserve"> Bpk. Umar Suparman</t>
  </si>
  <si>
    <t xml:space="preserve"> Ibu Hj.Mariam</t>
  </si>
  <si>
    <t xml:space="preserve"> Ibu Kiki M.Junaedi</t>
  </si>
  <si>
    <t xml:space="preserve"> Ibu Emeh</t>
  </si>
  <si>
    <t xml:space="preserve"> Ibu Suniah</t>
  </si>
  <si>
    <t xml:space="preserve"> Ajat bin Ading</t>
  </si>
  <si>
    <t xml:space="preserve"> Suhendi</t>
  </si>
  <si>
    <t xml:space="preserve"> Kamil Supardi</t>
  </si>
  <si>
    <t xml:space="preserve"> Supendi</t>
  </si>
  <si>
    <t xml:space="preserve"> Ibu Sarno</t>
  </si>
  <si>
    <t xml:space="preserve"> Ibu Dudu Moong</t>
  </si>
  <si>
    <t xml:space="preserve"> Yadi Supriyadi</t>
  </si>
  <si>
    <t xml:space="preserve"> Jaenudin (udin)</t>
  </si>
  <si>
    <t xml:space="preserve"> Agus Junaedi</t>
  </si>
  <si>
    <t xml:space="preserve"> Ibu Tati Maryati</t>
  </si>
  <si>
    <t xml:space="preserve"> Igun Gunawan</t>
  </si>
  <si>
    <t xml:space="preserve"> Mahpudin</t>
  </si>
  <si>
    <t xml:space="preserve"> Hendang</t>
  </si>
  <si>
    <t xml:space="preserve"> Moh.Toha</t>
  </si>
  <si>
    <t xml:space="preserve"> Ibu Ating</t>
  </si>
  <si>
    <t xml:space="preserve"> Mochtar Lubis</t>
  </si>
  <si>
    <t xml:space="preserve"> Ibu Diyah Junaedi</t>
  </si>
  <si>
    <t xml:space="preserve"> Bp.HS.Marjadi</t>
  </si>
  <si>
    <t xml:space="preserve"> Ibu Yani Haryani</t>
  </si>
  <si>
    <t xml:space="preserve"> Ade Tito</t>
  </si>
  <si>
    <t xml:space="preserve"> Ibu Endang Suwardi</t>
  </si>
  <si>
    <t xml:space="preserve"> Ibu Dede Wawan S</t>
  </si>
  <si>
    <t xml:space="preserve"> Adi Putra Candra</t>
  </si>
  <si>
    <t xml:space="preserve"> Ganda Suganda</t>
  </si>
  <si>
    <t xml:space="preserve"> Muslih</t>
  </si>
  <si>
    <t xml:space="preserve"> Deni Sutisna</t>
  </si>
  <si>
    <t xml:space="preserve"> Jaenudin (jae)</t>
  </si>
  <si>
    <t xml:space="preserve"> Mamat Rohmat</t>
  </si>
  <si>
    <t xml:space="preserve"> Ibu Otim</t>
  </si>
  <si>
    <t xml:space="preserve"> Ibu Istianah Suripto</t>
  </si>
  <si>
    <t xml:space="preserve"> Bpk.Dadang Jatnika</t>
  </si>
  <si>
    <t xml:space="preserve"> Ibu Ida Hasan S</t>
  </si>
  <si>
    <t xml:space="preserve"> Gogoy Hasanudin</t>
  </si>
  <si>
    <t xml:space="preserve"> Ibu Rini Suyono</t>
  </si>
  <si>
    <t xml:space="preserve"> Heru Setiawan</t>
  </si>
  <si>
    <t xml:space="preserve"> Yana Rusdiana</t>
  </si>
  <si>
    <t xml:space="preserve"> Ajat S.(bejo)</t>
  </si>
  <si>
    <t xml:space="preserve"> Tatan Rustandi</t>
  </si>
  <si>
    <t xml:space="preserve"> Ibu Siti Rogayah.R</t>
  </si>
  <si>
    <t xml:space="preserve"> Ibu Masruroh Rus.</t>
  </si>
  <si>
    <t xml:space="preserve"> Gandi</t>
  </si>
  <si>
    <t xml:space="preserve"> Iwan Rahmawan</t>
  </si>
  <si>
    <t xml:space="preserve"> Ibu Sutarmi Sugimin</t>
  </si>
  <si>
    <t xml:space="preserve"> Ibu Masrianah Sudarjat</t>
  </si>
  <si>
    <t xml:space="preserve"> Ibu Nining Sontani</t>
  </si>
  <si>
    <t xml:space="preserve"> Ibu Hj. Rasman</t>
  </si>
  <si>
    <t xml:space="preserve"> Ibu Iis M.Ujang S</t>
  </si>
  <si>
    <t xml:space="preserve"> Ibu Komsiah Sanusi</t>
  </si>
  <si>
    <t xml:space="preserve"> Ibu Martini Supardi</t>
  </si>
  <si>
    <t xml:space="preserve"> Ibu Heni Budi</t>
  </si>
  <si>
    <t xml:space="preserve"> Sutisna</t>
  </si>
  <si>
    <t xml:space="preserve"> Ibu Ai Dedi Sutarman</t>
  </si>
  <si>
    <t xml:space="preserve"> Ibu Iis Saepuloh</t>
  </si>
  <si>
    <t xml:space="preserve"> Dedi Junaedi</t>
  </si>
  <si>
    <t xml:space="preserve"> Rikrik Nurjaman</t>
  </si>
  <si>
    <t xml:space="preserve"> Ramdani</t>
  </si>
  <si>
    <t xml:space="preserve"> Ajat Munajat</t>
  </si>
  <si>
    <t xml:space="preserve"> Jajam Apidin</t>
  </si>
  <si>
    <t xml:space="preserve"> Popon Jaelani</t>
  </si>
  <si>
    <t xml:space="preserve"> Wawan Ruswandi</t>
  </si>
  <si>
    <t xml:space="preserve"> Nanang Sopiyan</t>
  </si>
  <si>
    <t xml:space="preserve"> Ibu Dian Rudianto</t>
  </si>
  <si>
    <t xml:space="preserve"> Nurjaeni Rahmat</t>
  </si>
  <si>
    <t xml:space="preserve"> Asep Supriyadi</t>
  </si>
  <si>
    <t xml:space="preserve"> Bpk.Dama Mursidi</t>
  </si>
  <si>
    <t xml:space="preserve"> Bpk.Pa'at</t>
  </si>
  <si>
    <t xml:space="preserve"> Herlan Fitriyadi</t>
  </si>
  <si>
    <t xml:space="preserve"> Solihin</t>
  </si>
  <si>
    <t xml:space="preserve"> Aang Burhanudin</t>
  </si>
  <si>
    <t xml:space="preserve"> Ibu.U.Firmansyah</t>
  </si>
  <si>
    <t xml:space="preserve"> Ibu Dedeh Ajat S</t>
  </si>
  <si>
    <t xml:space="preserve"> Edi B</t>
  </si>
  <si>
    <t xml:space="preserve"> Ibu Ai Dadang S</t>
  </si>
  <si>
    <t xml:space="preserve"> Ibu Eneng Suryadi</t>
  </si>
  <si>
    <t xml:space="preserve"> Saefuloh (oyon)</t>
  </si>
  <si>
    <t xml:space="preserve"> Engkus</t>
  </si>
  <si>
    <t xml:space="preserve"> Ibu Komariah Duyeh</t>
  </si>
  <si>
    <t xml:space="preserve"> Gun-gun Gunawan</t>
  </si>
  <si>
    <t xml:space="preserve"> Dadan Setiadi</t>
  </si>
  <si>
    <t xml:space="preserve"> Ade Parsid</t>
  </si>
  <si>
    <t xml:space="preserve"> Iyus Rusmana</t>
  </si>
  <si>
    <t xml:space="preserve"> Dada Sudariya</t>
  </si>
  <si>
    <t xml:space="preserve"> Ibu Eka A Bariji</t>
  </si>
  <si>
    <t xml:space="preserve"> Afrizal Arisandi</t>
  </si>
  <si>
    <t xml:space="preserve"> Cecep Saepudin</t>
  </si>
  <si>
    <t xml:space="preserve"> Sehabudin</t>
  </si>
  <si>
    <t xml:space="preserve"> Edo Hadi Nugroho</t>
  </si>
  <si>
    <t xml:space="preserve"> J.Sudarjat</t>
  </si>
  <si>
    <t xml:space="preserve"> Lukman</t>
  </si>
  <si>
    <t xml:space="preserve"> Ardy Robby Irawan</t>
  </si>
  <si>
    <t xml:space="preserve"> Dery Hermawan</t>
  </si>
  <si>
    <t xml:space="preserve"> Mauldi Agustiana Sidik</t>
  </si>
  <si>
    <t xml:space="preserve"> Rega C.Saputra</t>
  </si>
  <si>
    <t xml:space="preserve"> Yudi S</t>
  </si>
  <si>
    <t xml:space="preserve"> Abdul Azis</t>
  </si>
  <si>
    <t xml:space="preserve"> Bp.Anda Suganda</t>
  </si>
  <si>
    <t xml:space="preserve"> Ibu Cucum</t>
  </si>
  <si>
    <t xml:space="preserve"> Agus Riyanto</t>
  </si>
  <si>
    <t xml:space="preserve"> Sapto Adi S</t>
  </si>
  <si>
    <t xml:space="preserve"> Neni Aprilianti</t>
  </si>
  <si>
    <t xml:space="preserve"> Ibu Neneng Somantri</t>
  </si>
  <si>
    <t>Jasa USP yg masuk</t>
  </si>
  <si>
    <t>REKAPITULASI</t>
  </si>
  <si>
    <t>SALDO SIMPANAN DAN PIUTANG ANGGOTA</t>
  </si>
  <si>
    <t>KOPERASI PEGAWAI ISTANA CIPANAS</t>
  </si>
  <si>
    <t xml:space="preserve"> Mulyana (mamat)</t>
  </si>
  <si>
    <t xml:space="preserve"> Bambang Suswanto</t>
  </si>
  <si>
    <t xml:space="preserve"> Bpk. Sambasi</t>
  </si>
  <si>
    <t xml:space="preserve"> Bpk. Mansyur</t>
  </si>
  <si>
    <t xml:space="preserve"> Kurniawati P. Dewi</t>
  </si>
  <si>
    <t xml:space="preserve"> Ibu Mia Gunawan</t>
  </si>
  <si>
    <t xml:space="preserve"> Suroso Kartaatmaja</t>
  </si>
  <si>
    <t xml:space="preserve"> Bayu Asmoyo</t>
  </si>
  <si>
    <t xml:space="preserve"> Dayat</t>
  </si>
  <si>
    <t xml:space="preserve"> Dimas Hariyanto</t>
  </si>
  <si>
    <t xml:space="preserve"> Eko Susanto</t>
  </si>
  <si>
    <t xml:space="preserve"> Erwin Ardiyanto</t>
  </si>
  <si>
    <t xml:space="preserve"> Risda Maliani</t>
  </si>
  <si>
    <t xml:space="preserve"> D. Kusnadi</t>
  </si>
  <si>
    <t xml:space="preserve"> Ibu Sambasi</t>
  </si>
  <si>
    <t xml:space="preserve"> Hedi Mulyadi</t>
  </si>
  <si>
    <t xml:space="preserve"> Dani Rijatnika</t>
  </si>
  <si>
    <t xml:space="preserve"> Aditia Permana</t>
  </si>
  <si>
    <t xml:space="preserve"> Tafsir</t>
  </si>
  <si>
    <t xml:space="preserve"> Rahmat Hidayat</t>
  </si>
  <si>
    <t xml:space="preserve"> Sandi Prayoga</t>
  </si>
  <si>
    <t xml:space="preserve"> Ade Enang Suparji</t>
  </si>
  <si>
    <t>PER 31 DESEMBER  2015</t>
  </si>
  <si>
    <t>Puloh Saepuloh</t>
  </si>
  <si>
    <t>Sukarela</t>
  </si>
  <si>
    <t>Hari raya</t>
  </si>
  <si>
    <t>Muhammad Patria P</t>
  </si>
  <si>
    <t>Dhea Sannia</t>
  </si>
  <si>
    <t>Eti Kusmiati</t>
  </si>
  <si>
    <t>Maman taman</t>
  </si>
  <si>
    <t>Dani Ramdani</t>
  </si>
  <si>
    <t>Setia Darma</t>
  </si>
  <si>
    <t>Fitri Agus R</t>
  </si>
  <si>
    <t>Suparman</t>
  </si>
  <si>
    <t>Johanudin Maulana</t>
  </si>
  <si>
    <t xml:space="preserve"> Wahyudin bin abas</t>
  </si>
  <si>
    <t xml:space="preserve"> Wahyudin bin iyus</t>
  </si>
  <si>
    <t>Piutang Per 31 Des 2015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</si>
  <si>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</si>
  <si>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</si>
  <si>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</si>
  <si>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</si>
  <si>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</si>
  <si>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</si>
  <si>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</si>
  <si>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</si>
  <si>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</si>
  <si>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</si>
  <si>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</si>
  <si>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Jasa Simpanan</t>
  </si>
  <si>
    <t>Desember</t>
  </si>
  <si>
    <t>SHU Simpanan</t>
  </si>
  <si>
    <t>SHU Pinjaman</t>
  </si>
  <si>
    <t>Jumlah SHU</t>
  </si>
  <si>
    <t xml:space="preserve"> Sugandi</t>
  </si>
  <si>
    <t>Jumlah SHU dan Jasa Simpanan</t>
  </si>
  <si>
    <t>No. Anggota</t>
  </si>
  <si>
    <t>Nama</t>
  </si>
  <si>
    <t>Extra SHU</t>
  </si>
  <si>
    <t>:</t>
  </si>
  <si>
    <t>Perincian SHU dan Jasa Simpanan</t>
  </si>
  <si>
    <t/>
  </si>
  <si>
    <t xml:space="preserve"> Ibu Hetti Darsono</t>
  </si>
  <si>
    <t>TAHUN BUKU 2015</t>
  </si>
  <si>
    <t>ORGANIK</t>
  </si>
  <si>
    <t>Nomor</t>
  </si>
  <si>
    <t>Nama Anggota</t>
  </si>
  <si>
    <t>Tanda Tangan</t>
  </si>
  <si>
    <t>Anggota</t>
  </si>
  <si>
    <t>Darsono</t>
  </si>
  <si>
    <t>1 ……………….</t>
  </si>
  <si>
    <t>Ibu Hetti Darsono</t>
  </si>
  <si>
    <t>2 ……………….</t>
  </si>
  <si>
    <t>Suwedi</t>
  </si>
  <si>
    <t>3 ……………….</t>
  </si>
  <si>
    <t xml:space="preserve">Ibu Supartini </t>
  </si>
  <si>
    <t>4 ……………….</t>
  </si>
  <si>
    <t>Ahmad Juaeni</t>
  </si>
  <si>
    <t>5 ……………….</t>
  </si>
  <si>
    <t>Ibu Yani Haryani</t>
  </si>
  <si>
    <t>6 ……………….</t>
  </si>
  <si>
    <t>Achmad Firdaus</t>
  </si>
  <si>
    <t>7 ……………….</t>
  </si>
  <si>
    <t>Hasan Sasmita</t>
  </si>
  <si>
    <t>8 ……………….</t>
  </si>
  <si>
    <t>Ibu Ida Hasan S.</t>
  </si>
  <si>
    <t>9 ……………….</t>
  </si>
  <si>
    <t>Cepi Kurniawan</t>
  </si>
  <si>
    <t>10 ……………….</t>
  </si>
  <si>
    <t>Endang Suwardi</t>
  </si>
  <si>
    <t>11 ……………….</t>
  </si>
  <si>
    <t>Ibu Endang Suwardi</t>
  </si>
  <si>
    <t>12 ……………….</t>
  </si>
  <si>
    <t>Mamat Akhmad  Bariji</t>
  </si>
  <si>
    <t>13 ……………….</t>
  </si>
  <si>
    <t>Ibu Eka A. Bariji</t>
  </si>
  <si>
    <t>14 ……………….</t>
  </si>
  <si>
    <t>15 ……………….</t>
  </si>
  <si>
    <t>Djenal Aripin</t>
  </si>
  <si>
    <t>16 ……………….</t>
  </si>
  <si>
    <t>Ade Supriyadi</t>
  </si>
  <si>
    <t>17 ……………….</t>
  </si>
  <si>
    <t>Ali Sasmita</t>
  </si>
  <si>
    <t>18 ……………….</t>
  </si>
  <si>
    <t>Rodiah</t>
  </si>
  <si>
    <t>19 ……………….</t>
  </si>
  <si>
    <t>Maman Suratman</t>
  </si>
  <si>
    <t>20 ……………….</t>
  </si>
  <si>
    <t>Denden</t>
  </si>
  <si>
    <t>21 ……………….</t>
  </si>
  <si>
    <t>Hambali</t>
  </si>
  <si>
    <t>22 ……………….</t>
  </si>
  <si>
    <t>Rohman</t>
  </si>
  <si>
    <t>23 ……………….</t>
  </si>
  <si>
    <t>Budi</t>
  </si>
  <si>
    <t>24 ……………….</t>
  </si>
  <si>
    <t>Ibu Heni Budi</t>
  </si>
  <si>
    <t>25 ……………….</t>
  </si>
  <si>
    <t>Ridwan</t>
  </si>
  <si>
    <t>26 ……………….</t>
  </si>
  <si>
    <t>Sri Suwarni</t>
  </si>
  <si>
    <t>27 ……………….</t>
  </si>
  <si>
    <t>Jujun Junaedi</t>
  </si>
  <si>
    <t>28 ……………….</t>
  </si>
  <si>
    <t>Ibu Diyah Junaedi</t>
  </si>
  <si>
    <t>29 ……………….</t>
  </si>
  <si>
    <t>Ade Casmuri</t>
  </si>
  <si>
    <t>30 ……………….</t>
  </si>
  <si>
    <t>Jajat Sudrajat</t>
  </si>
  <si>
    <t>31 ……………….</t>
  </si>
  <si>
    <t>Ibu Masrianah Sudrajat</t>
  </si>
  <si>
    <t>32 ……………….</t>
  </si>
  <si>
    <t>Mita Sudirja</t>
  </si>
  <si>
    <t>33 ……………….</t>
  </si>
  <si>
    <t>Wawan Gunawan</t>
  </si>
  <si>
    <t>34 ……………….</t>
  </si>
  <si>
    <t>Ibu Mia Gunawan</t>
  </si>
  <si>
    <t>35 ……………….</t>
  </si>
  <si>
    <t>Iwan Rudianto</t>
  </si>
  <si>
    <t>36 ……………….</t>
  </si>
  <si>
    <t>Ibu Dian Rudianto</t>
  </si>
  <si>
    <t>37 ……………….</t>
  </si>
  <si>
    <t>Dedi Sutarman</t>
  </si>
  <si>
    <t>38 ……………….</t>
  </si>
  <si>
    <t>Ibu Ai Dedi Sutarman</t>
  </si>
  <si>
    <t>39 ……………….</t>
  </si>
  <si>
    <t>Rusmana</t>
  </si>
  <si>
    <t>40 ……………….</t>
  </si>
  <si>
    <t>Ibu Masruroh Rusmana</t>
  </si>
  <si>
    <t>41 ……………….</t>
  </si>
  <si>
    <t>Sodikin</t>
  </si>
  <si>
    <t>42 ……………….</t>
  </si>
  <si>
    <t>Sugimin</t>
  </si>
  <si>
    <t>43 ……………….</t>
  </si>
  <si>
    <t>Ibu Sutarmi Sugimin</t>
  </si>
  <si>
    <t>44 ……………….</t>
  </si>
  <si>
    <t>Ade Ruhyat</t>
  </si>
  <si>
    <t>45 ……………….</t>
  </si>
  <si>
    <t>Ibu Siti Rogayah R.</t>
  </si>
  <si>
    <t>46 ……………….</t>
  </si>
  <si>
    <t>Sanusi</t>
  </si>
  <si>
    <t>47 ……………….</t>
  </si>
  <si>
    <t>Ibu Komsiah Sanusi</t>
  </si>
  <si>
    <t>48 ……………….</t>
  </si>
  <si>
    <t>Badruji</t>
  </si>
  <si>
    <t>49 ……………….</t>
  </si>
  <si>
    <t>Dimas Rama</t>
  </si>
  <si>
    <t>50 ……………….</t>
  </si>
  <si>
    <t>Ajat Sudrajat</t>
  </si>
  <si>
    <t>51 ……………….</t>
  </si>
  <si>
    <t>Ibu Dedeh Ajat S.</t>
  </si>
  <si>
    <t>52 ……………….</t>
  </si>
  <si>
    <t>Endang Komarudin</t>
  </si>
  <si>
    <t>53 ……………….</t>
  </si>
  <si>
    <t>Kindi</t>
  </si>
  <si>
    <t>54 ……………….</t>
  </si>
  <si>
    <t>M. Firmansyah</t>
  </si>
  <si>
    <t>55 ……………….</t>
  </si>
  <si>
    <t>Ibu U. Firmansyah</t>
  </si>
  <si>
    <t>56 ……………….</t>
  </si>
  <si>
    <t>N. Sasramdani</t>
  </si>
  <si>
    <t>57 ……………….</t>
  </si>
  <si>
    <t>Nurjaeni</t>
  </si>
  <si>
    <t>58 ……………….</t>
  </si>
  <si>
    <t>Ibu Siti Aminah</t>
  </si>
  <si>
    <t>59 ……………….</t>
  </si>
  <si>
    <t>Dadang Suhendar</t>
  </si>
  <si>
    <t>60 ……………….</t>
  </si>
  <si>
    <t>Ibu Ai Dadang S.</t>
  </si>
  <si>
    <t>61 ……………….</t>
  </si>
  <si>
    <t>Wawan Suryana</t>
  </si>
  <si>
    <t>62 ……………….</t>
  </si>
  <si>
    <t>Ibu Dede Wawan S</t>
  </si>
  <si>
    <t>63 ……………….</t>
  </si>
  <si>
    <t>Suryadi</t>
  </si>
  <si>
    <t>64 ……………….</t>
  </si>
  <si>
    <t>Ibu Eneng Suryadi</t>
  </si>
  <si>
    <t>65 ……………….</t>
  </si>
  <si>
    <t>Duyeh</t>
  </si>
  <si>
    <t>66 ……………….</t>
  </si>
  <si>
    <t>Ibu Komariah Duyeh</t>
  </si>
  <si>
    <t>67 ……………….</t>
  </si>
  <si>
    <t>Ujang Suparman</t>
  </si>
  <si>
    <t>68 ……………….</t>
  </si>
  <si>
    <t>Ibu Iis M. Ujang S</t>
  </si>
  <si>
    <t>69 ……………….</t>
  </si>
  <si>
    <t>Saepuloh</t>
  </si>
  <si>
    <t>70 ……………….</t>
  </si>
  <si>
    <t>Ibu Iis Saepuloh</t>
  </si>
  <si>
    <t>71 ……………….</t>
  </si>
  <si>
    <t>Hedi Suyono</t>
  </si>
  <si>
    <t>72 ……………….</t>
  </si>
  <si>
    <t>Ibu Rini Suyono</t>
  </si>
  <si>
    <t>73 ……………….</t>
  </si>
  <si>
    <t>Supardi</t>
  </si>
  <si>
    <t>74 ……………….</t>
  </si>
  <si>
    <t>Ibu Martini Supardi</t>
  </si>
  <si>
    <t>75 ……………….</t>
  </si>
  <si>
    <t>Kurniawati P.Dewi</t>
  </si>
  <si>
    <t>76 ……………….</t>
  </si>
  <si>
    <t>Ade Enang Suparji</t>
  </si>
  <si>
    <t>77 ……………….</t>
  </si>
  <si>
    <t>Maman Somantri</t>
  </si>
  <si>
    <t>78 ……………….</t>
  </si>
  <si>
    <t>Ibu Neneng Somantri</t>
  </si>
  <si>
    <t>79 ……………….</t>
  </si>
  <si>
    <t>Edo Hadi Nugroho</t>
  </si>
  <si>
    <t>80 ……………….</t>
  </si>
  <si>
    <t>Agus Riyanto</t>
  </si>
  <si>
    <t>81 ……………….</t>
  </si>
  <si>
    <t>Sapto Adi Sayogo</t>
  </si>
  <si>
    <t>82 ……………….</t>
  </si>
  <si>
    <t>Neni Aprilianti</t>
  </si>
  <si>
    <t>83 ……………….</t>
  </si>
  <si>
    <t>Sandi Prayoga</t>
  </si>
  <si>
    <t>84 ……………….</t>
  </si>
  <si>
    <t>Suroso Kartaatmaja</t>
  </si>
  <si>
    <t>85 ……………….</t>
  </si>
  <si>
    <t>86 ……………….</t>
  </si>
  <si>
    <t>87 ……………….</t>
  </si>
  <si>
    <t>J U M L A H</t>
  </si>
  <si>
    <t>TANDA TERIMA SHU DAN JASA SIMPANAN</t>
  </si>
  <si>
    <t>JUMLAH</t>
  </si>
  <si>
    <t>REKANAN</t>
  </si>
  <si>
    <t>Ridha Rasyid</t>
  </si>
  <si>
    <t>Bahrudin</t>
  </si>
  <si>
    <t>Jajat Sudrajat (Ading)</t>
  </si>
  <si>
    <t>Suhendi</t>
  </si>
  <si>
    <t>Kamil Supardi</t>
  </si>
  <si>
    <t>Supendi</t>
  </si>
  <si>
    <t>Yadi Supriyadi</t>
  </si>
  <si>
    <t>Jaenudin (Udin)</t>
  </si>
  <si>
    <t>Agus Junaedi</t>
  </si>
  <si>
    <t>Igun Gunawan</t>
  </si>
  <si>
    <t>Mahpudin</t>
  </si>
  <si>
    <t>Hendang</t>
  </si>
  <si>
    <t>Moh. Toha</t>
  </si>
  <si>
    <t>Ade Tito</t>
  </si>
  <si>
    <t>Ganda Suganda</t>
  </si>
  <si>
    <t>Muslih</t>
  </si>
  <si>
    <t>Deni Sutisna</t>
  </si>
  <si>
    <t>Jaenudin (Jae)</t>
  </si>
  <si>
    <t>Rohmat</t>
  </si>
  <si>
    <t>Bpk. Dadang Jatnika</t>
  </si>
  <si>
    <t>Gogoy Hasanudin</t>
  </si>
  <si>
    <t>Heru Setiawan</t>
  </si>
  <si>
    <t>Yana Rusdiana</t>
  </si>
  <si>
    <t>Ajat S. (Bejo)</t>
  </si>
  <si>
    <t>Tatan Rustandi</t>
  </si>
  <si>
    <t>Wahyudin bin Iyus</t>
  </si>
  <si>
    <t>Gandi</t>
  </si>
  <si>
    <t>Iwan Rahmawan</t>
  </si>
  <si>
    <t>Sutisna</t>
  </si>
  <si>
    <t>Wahyudin bin Abas</t>
  </si>
  <si>
    <t>Dedi Junaedi</t>
  </si>
  <si>
    <t>Rikrik Nurjaman</t>
  </si>
  <si>
    <t>Ramdani</t>
  </si>
  <si>
    <t>Ajat Munajat</t>
  </si>
  <si>
    <t>Jajam Apidin</t>
  </si>
  <si>
    <t>Popon Jaelani</t>
  </si>
  <si>
    <t>Wawan Ruswandi</t>
  </si>
  <si>
    <t>Nanang Sopiyan</t>
  </si>
  <si>
    <t>Nurjaeni Rahmat</t>
  </si>
  <si>
    <t>Asep Supriyadi</t>
  </si>
  <si>
    <t>Helan Fitriyadi</t>
  </si>
  <si>
    <t>Solihin</t>
  </si>
  <si>
    <t>Aang Burhanudin</t>
  </si>
  <si>
    <t>Edi B.</t>
  </si>
  <si>
    <t>Engkus</t>
  </si>
  <si>
    <t>Gun-gun Gunawan</t>
  </si>
  <si>
    <t>Dadan Setiadi</t>
  </si>
  <si>
    <t>Ade Parsid</t>
  </si>
  <si>
    <t>Iyus Rusmana</t>
  </si>
  <si>
    <t>Dada Sudariya</t>
  </si>
  <si>
    <t>Bambang Suswanto</t>
  </si>
  <si>
    <t>Afrizal Arisandi</t>
  </si>
  <si>
    <t>Sehabudin</t>
  </si>
  <si>
    <t>Lukman</t>
  </si>
  <si>
    <t>Ardy Robby Irawan</t>
  </si>
  <si>
    <t>Dery Hermawan</t>
  </si>
  <si>
    <t>Mauldi A. Sidik</t>
  </si>
  <si>
    <t>Mulyana (Mamat)</t>
  </si>
  <si>
    <t>Rega C. Saputra</t>
  </si>
  <si>
    <t>Yudi S.</t>
  </si>
  <si>
    <t>Abdul Azis</t>
  </si>
  <si>
    <t>Bayu Asmoyo</t>
  </si>
  <si>
    <t>Dayat Hidayat</t>
  </si>
  <si>
    <t>Dimas Haryanto</t>
  </si>
  <si>
    <t>Eko Susanto</t>
  </si>
  <si>
    <t>Erwin Ardianto</t>
  </si>
  <si>
    <t>Risda Maliani</t>
  </si>
  <si>
    <t>Hedi Mulyadi</t>
  </si>
  <si>
    <t>Dani Rijatnika</t>
  </si>
  <si>
    <t>Aditia Permana</t>
  </si>
  <si>
    <t>Tafsir</t>
  </si>
  <si>
    <t>Rahmat Hidayat</t>
  </si>
  <si>
    <t>PENSIUNAN</t>
  </si>
  <si>
    <t>Bpk. H. Udin Ismail</t>
  </si>
  <si>
    <t>Bpk. H. Iskandar</t>
  </si>
  <si>
    <t>Bpk. Umar Suparman</t>
  </si>
  <si>
    <t>Ibu Hj. Mariam</t>
  </si>
  <si>
    <t>Ibu Kiki M. Junaedi</t>
  </si>
  <si>
    <t>Ibu Emeh</t>
  </si>
  <si>
    <t>Ibu Suniah</t>
  </si>
  <si>
    <t>Ibu Sarno</t>
  </si>
  <si>
    <t>Ibu Dudu Moong</t>
  </si>
  <si>
    <t>Ibu Tati Maryati</t>
  </si>
  <si>
    <t>Adi Putra Candra</t>
  </si>
  <si>
    <t>Ibu Ating</t>
  </si>
  <si>
    <t>Mochtar Lubis</t>
  </si>
  <si>
    <t>Bpk. H.S. Marjadi</t>
  </si>
  <si>
    <t>Ibu Otim</t>
  </si>
  <si>
    <t>Ibu Istinganah Suripto</t>
  </si>
  <si>
    <t>Ibu Nining Sontani</t>
  </si>
  <si>
    <t>Ibu Hj. Rasman</t>
  </si>
  <si>
    <t>Bpk. Dama Mursidi</t>
  </si>
  <si>
    <t>Bpk. Pa'at</t>
  </si>
  <si>
    <t>Bpk. H. Cecep Saepudin</t>
  </si>
  <si>
    <t>Bpk. J. Sudarjat</t>
  </si>
  <si>
    <t>Bpk. Anda Suganda</t>
  </si>
  <si>
    <t>Ibu Cucum</t>
  </si>
  <si>
    <t>Bpk. Mansyur</t>
  </si>
  <si>
    <t>Bpk. D.Kusnadi</t>
  </si>
  <si>
    <t>Bpk. Sambasi</t>
  </si>
  <si>
    <t>Ibu Sumiyati Sambasi</t>
  </si>
  <si>
    <t>Saifullah Oyon</t>
  </si>
  <si>
    <t>Eti Kusmiati M</t>
  </si>
  <si>
    <t>Ibu Fitri Agus Riyanto</t>
  </si>
  <si>
    <t>88 ……………….</t>
  </si>
  <si>
    <t>TANDA TERIMA UANG DUDUK</t>
  </si>
  <si>
    <t>TANDA TERIMA SOUVENIR RAT</t>
  </si>
  <si>
    <t>ABSENSI RAPAT ANGGOTA TAHUNAN</t>
  </si>
  <si>
    <t>89 ……………….</t>
  </si>
  <si>
    <t>90 ……………….</t>
  </si>
  <si>
    <t>91 ……………….</t>
  </si>
  <si>
    <t>92 ……………….</t>
  </si>
  <si>
    <t>93 ……………….</t>
  </si>
  <si>
    <t>94 ……………….</t>
  </si>
  <si>
    <t>95 ……………….</t>
  </si>
  <si>
    <t>96 ……………….</t>
  </si>
  <si>
    <t>97 ……………….</t>
  </si>
  <si>
    <t>98 ……………….</t>
  </si>
  <si>
    <t>99 ……………….</t>
  </si>
  <si>
    <t>100 ……………….</t>
  </si>
  <si>
    <t>101 ……………….</t>
  </si>
  <si>
    <t>102 ……………….</t>
  </si>
  <si>
    <t>103 ……………….</t>
  </si>
  <si>
    <t>104 ……………….</t>
  </si>
  <si>
    <t>105 ……………….</t>
  </si>
  <si>
    <t>106 ……………….</t>
  </si>
  <si>
    <t>107 ……………….</t>
  </si>
  <si>
    <t>108 ……………….</t>
  </si>
  <si>
    <t>109 ……………….</t>
  </si>
  <si>
    <t>110 ……………….</t>
  </si>
  <si>
    <t>111 ……………….</t>
  </si>
  <si>
    <t>112 ……………….</t>
  </si>
  <si>
    <t>113 ……………….</t>
  </si>
  <si>
    <t>114 ……………….</t>
  </si>
  <si>
    <t>115 ……………….</t>
  </si>
  <si>
    <t>116 ……………….</t>
  </si>
  <si>
    <t>117 ……………….</t>
  </si>
  <si>
    <t>118 ……………….</t>
  </si>
  <si>
    <t>119 ……………….</t>
  </si>
  <si>
    <t>120 ……………….</t>
  </si>
  <si>
    <t>121 ……………….</t>
  </si>
  <si>
    <t>122 ……………….</t>
  </si>
  <si>
    <t>123 ……………….</t>
  </si>
  <si>
    <t>124 ……………….</t>
  </si>
  <si>
    <t>125 ……………….</t>
  </si>
  <si>
    <t>126 ……………….</t>
  </si>
  <si>
    <t>127 ……………….</t>
  </si>
  <si>
    <t>128 ……………….</t>
  </si>
  <si>
    <t>129 ……………….</t>
  </si>
  <si>
    <t>130 ……………….</t>
  </si>
  <si>
    <t>131 ……………….</t>
  </si>
  <si>
    <t>132 ……………….</t>
  </si>
  <si>
    <t>133 ……………….</t>
  </si>
  <si>
    <t>134 ……………….</t>
  </si>
  <si>
    <t>135 ……………….</t>
  </si>
  <si>
    <t>136 ……………….</t>
  </si>
  <si>
    <t>137 ……………….</t>
  </si>
  <si>
    <t>138 ……………….</t>
  </si>
  <si>
    <t>139 ……………….</t>
  </si>
  <si>
    <t>140 ……………….</t>
  </si>
  <si>
    <t>141 ……………….</t>
  </si>
  <si>
    <t>142 ……………….</t>
  </si>
  <si>
    <t>143 ……………….</t>
  </si>
  <si>
    <t>144 ……………….</t>
  </si>
  <si>
    <t>145 ……………….</t>
  </si>
  <si>
    <t>146 ……………….</t>
  </si>
  <si>
    <t>147 ……………….</t>
  </si>
  <si>
    <t>148 ……………….</t>
  </si>
  <si>
    <t>149 ……………….</t>
  </si>
  <si>
    <t>150 ……………….</t>
  </si>
  <si>
    <t>151 ……………….</t>
  </si>
  <si>
    <t>152 ……………….</t>
  </si>
  <si>
    <t>153 ……………….</t>
  </si>
  <si>
    <t>154 ……………….</t>
  </si>
  <si>
    <t>155 ……………….</t>
  </si>
  <si>
    <t>156 ……………….</t>
  </si>
  <si>
    <t>157 ……………….</t>
  </si>
  <si>
    <t>158 ……………….</t>
  </si>
  <si>
    <t>159 ……………….</t>
  </si>
  <si>
    <t>160 ……………….</t>
  </si>
  <si>
    <t>161 ……………….</t>
  </si>
  <si>
    <t>162 ……………….</t>
  </si>
  <si>
    <t>163 ……………….</t>
  </si>
  <si>
    <t>164 ……………….</t>
  </si>
  <si>
    <t>165 ……………….</t>
  </si>
  <si>
    <t>166 ……………….</t>
  </si>
  <si>
    <t>167 ……………….</t>
  </si>
  <si>
    <t>168 ……………….</t>
  </si>
  <si>
    <t>169 ……………….</t>
  </si>
  <si>
    <t>170 ……………….</t>
  </si>
  <si>
    <t>171 ……………….</t>
  </si>
  <si>
    <t>172 ……………….</t>
  </si>
  <si>
    <t>173 ……………….</t>
  </si>
  <si>
    <t>174 ……………….</t>
  </si>
  <si>
    <t>175 ……………….</t>
  </si>
  <si>
    <t>176 ……………….</t>
  </si>
  <si>
    <t>177 ……………….</t>
  </si>
  <si>
    <t>178 ……………….</t>
  </si>
  <si>
    <t>179 ……………….</t>
  </si>
  <si>
    <t>180 ……………….</t>
  </si>
  <si>
    <t>181 ……………….</t>
  </si>
  <si>
    <t>182 ……………….</t>
  </si>
  <si>
    <t>183 ……………….</t>
  </si>
  <si>
    <t>184 ……………….</t>
  </si>
  <si>
    <t>185 ……………….</t>
  </si>
  <si>
    <t>186 ……………….</t>
  </si>
  <si>
    <t>187 ……………….</t>
  </si>
  <si>
    <t>188 ……………….</t>
  </si>
  <si>
    <t>189 ……………….</t>
  </si>
  <si>
    <t>190 ……………….</t>
  </si>
  <si>
    <t>191 ……………….</t>
  </si>
  <si>
    <t>192 ……………….</t>
  </si>
  <si>
    <t>193 ……………….</t>
  </si>
  <si>
    <t>194 ……………….</t>
  </si>
  <si>
    <t>195 ……………….</t>
  </si>
  <si>
    <t>196 ……………….</t>
  </si>
  <si>
    <t>197 ……………….</t>
  </si>
  <si>
    <t>198 ……………….</t>
  </si>
  <si>
    <t>199 ……………….</t>
  </si>
  <si>
    <t>200 ……………….</t>
  </si>
  <si>
    <t>jml - 100000</t>
  </si>
  <si>
    <t>AG-066</t>
  </si>
  <si>
    <t>kakang bahrudin</t>
  </si>
  <si>
    <t>data yang tidak ada di excel</t>
  </si>
  <si>
    <t>AG-071</t>
  </si>
  <si>
    <t>ade saripadil</t>
  </si>
  <si>
    <t>AG-083</t>
  </si>
  <si>
    <t>Nining Yuningsih</t>
  </si>
  <si>
    <t>AG-086</t>
  </si>
  <si>
    <t>Iis Rohayati</t>
  </si>
  <si>
    <t>AG-087</t>
  </si>
  <si>
    <r>
      <rPr>
        <b/>
        <sz val="10"/>
        <rFont val="Arial"/>
        <family val="2"/>
      </rPr>
      <t>Wahyudin</t>
    </r>
    <r>
      <rPr>
        <sz val="10"/>
        <rFont val="Arial"/>
        <family val="2"/>
      </rPr>
      <t xml:space="preserve"> yang mana ? Ada 2 anggota yang namanya sama</t>
    </r>
  </si>
  <si>
    <t>AG-099</t>
  </si>
  <si>
    <t>Unasih</t>
  </si>
  <si>
    <t>AG-125</t>
  </si>
  <si>
    <t>Sumiati</t>
  </si>
  <si>
    <t>AG-137</t>
  </si>
  <si>
    <t>Titin Sulastri</t>
  </si>
  <si>
    <t>AG-138</t>
  </si>
  <si>
    <t>Hoerudin</t>
  </si>
  <si>
    <t>AG-139</t>
  </si>
  <si>
    <t>Iis Rohita</t>
  </si>
  <si>
    <t>AG-140</t>
  </si>
  <si>
    <t>Reko Pribadi</t>
  </si>
  <si>
    <t>AG-141</t>
  </si>
  <si>
    <t>Lena Yuliani</t>
  </si>
  <si>
    <t>AG-142</t>
  </si>
  <si>
    <t>Priantono</t>
  </si>
  <si>
    <t>AG-060</t>
  </si>
  <si>
    <t>Apakah anggota yang sama ?</t>
  </si>
  <si>
    <t>AG-053</t>
  </si>
  <si>
    <t>#Done</t>
  </si>
  <si>
    <t>Rahmat itu (di web) apakah Mamat Rohmat yg di excel</t>
  </si>
  <si>
    <t>KODE ANG di WEB</t>
  </si>
  <si>
    <t xml:space="preserve">Otjah </t>
  </si>
  <si>
    <t>di isi Kindi</t>
  </si>
  <si>
    <t>di isi Ibu Diyah Junaedi</t>
  </si>
  <si>
    <t>di isi Ibu Emeh</t>
  </si>
  <si>
    <t>di isi Wawan Suryana</t>
  </si>
  <si>
    <t>di isi Supardi</t>
  </si>
  <si>
    <t>Sudah</t>
  </si>
  <si>
    <t xml:space="preserve">CATATAN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</si>
</sst>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22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sz val="8"/>
      <name val="Arial"/>
      <family val="2"/>
    </font>
    <font>
      <b/>
      <sz val="20"/>
      <name val="Bernard MT Condensed"/>
      <family val="1"/>
    </font>
    <font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name val="Lucida Calligraphy"/>
      <family val="4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b/>
      <sz val="10"/>
      <color theme="5" tint="-0.249977111117893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9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5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41" fontId="0" fillId="0" borderId="0" xfId="0" applyNumberFormat="1"/>
    <xf numFmtId="41" fontId="0" fillId="0" borderId="0" xfId="0" applyNumberFormat="1" applyBorder="1"/>
    <xf numFmtId="41" fontId="8" fillId="0" borderId="1" xfId="0" applyNumberFormat="1" applyFont="1" applyBorder="1"/>
    <xf numFmtId="3" fontId="0" fillId="0" borderId="0" xfId="0" applyNumberFormat="1" applyBorder="1"/>
    <xf numFmtId="0" fontId="8" fillId="0" borderId="0" xfId="0" applyFont="1" applyBorder="1"/>
    <xf numFmtId="4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1" fontId="8" fillId="0" borderId="2" xfId="0" applyNumberFormat="1" applyFont="1" applyBorder="1"/>
    <xf numFmtId="0" fontId="10" fillId="0" borderId="0" xfId="0" applyFont="1" applyBorder="1"/>
    <xf numFmtId="41" fontId="10" fillId="0" borderId="0" xfId="0" applyNumberFormat="1" applyFont="1" applyBorder="1"/>
    <xf numFmtId="3" fontId="10" fillId="0" borderId="0" xfId="0" applyNumberFormat="1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8" fillId="0" borderId="1" xfId="0" applyNumberFormat="1" applyFont="1" applyBorder="1" applyProtection="1">
      <protection locked="0"/>
    </xf>
    <xf numFmtId="39" fontId="8" fillId="0" borderId="1" xfId="0" applyNumberFormat="1" applyFont="1" applyBorder="1" applyProtection="1"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41" fontId="8" fillId="2" borderId="1" xfId="0" applyNumberFormat="1" applyFont="1" applyFill="1" applyBorder="1"/>
    <xf numFmtId="41" fontId="8" fillId="2" borderId="2" xfId="0" applyNumberFormat="1" applyFont="1" applyFill="1" applyBorder="1"/>
    <xf numFmtId="39" fontId="8" fillId="2" borderId="1" xfId="0" applyNumberFormat="1" applyFont="1" applyFill="1" applyBorder="1" applyProtection="1">
      <protection locked="0"/>
    </xf>
    <xf numFmtId="41" fontId="8" fillId="2" borderId="1" xfId="0" applyNumberFormat="1" applyFont="1" applyFill="1" applyBorder="1" applyProtection="1">
      <protection locked="0"/>
    </xf>
    <xf numFmtId="41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/>
    <xf numFmtId="0" fontId="0" fillId="0" borderId="10" xfId="0" applyBorder="1"/>
    <xf numFmtId="0" fontId="0" fillId="0" borderId="9" xfId="0" applyBorder="1"/>
    <xf numFmtId="3" fontId="0" fillId="0" borderId="0" xfId="0" applyNumberFormat="1" applyBorder="1" applyAlignment="1">
      <alignment horizontal="left"/>
    </xf>
    <xf numFmtId="164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6" xfId="0" quotePrefix="1" applyBorder="1"/>
    <xf numFmtId="0" fontId="2" fillId="0" borderId="0" xfId="1"/>
    <xf numFmtId="0" fontId="1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/>
    </xf>
    <xf numFmtId="0" fontId="2" fillId="0" borderId="3" xfId="1" applyBorder="1"/>
    <xf numFmtId="0" fontId="2" fillId="0" borderId="13" xfId="1" applyBorder="1" applyAlignment="1">
      <alignment horizontal="center"/>
    </xf>
    <xf numFmtId="0" fontId="2" fillId="0" borderId="13" xfId="1" applyBorder="1"/>
    <xf numFmtId="0" fontId="2" fillId="0" borderId="4" xfId="1" applyBorder="1" applyAlignment="1">
      <alignment horizontal="center"/>
    </xf>
    <xf numFmtId="0" fontId="2" fillId="0" borderId="4" xfId="1" applyBorder="1"/>
    <xf numFmtId="0" fontId="15" fillId="0" borderId="0" xfId="1" applyFont="1"/>
    <xf numFmtId="0" fontId="12" fillId="0" borderId="0" xfId="1" applyFont="1"/>
    <xf numFmtId="164" fontId="12" fillId="0" borderId="0" xfId="1" applyNumberFormat="1" applyFont="1"/>
    <xf numFmtId="164" fontId="15" fillId="0" borderId="0" xfId="1" applyNumberFormat="1" applyFont="1"/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4" fontId="2" fillId="0" borderId="3" xfId="1" applyNumberFormat="1" applyBorder="1"/>
    <xf numFmtId="164" fontId="2" fillId="0" borderId="13" xfId="1" applyNumberFormat="1" applyBorder="1"/>
    <xf numFmtId="164" fontId="8" fillId="0" borderId="13" xfId="0" applyNumberFormat="1" applyFont="1" applyBorder="1"/>
    <xf numFmtId="164" fontId="8" fillId="0" borderId="4" xfId="0" applyNumberFormat="1" applyFont="1" applyBorder="1"/>
    <xf numFmtId="164" fontId="2" fillId="0" borderId="1" xfId="1" applyNumberFormat="1" applyBorder="1" applyAlignment="1">
      <alignment horizontal="center" vertical="center"/>
    </xf>
    <xf numFmtId="0" fontId="2" fillId="0" borderId="12" xfId="1" applyBorder="1" applyAlignment="1">
      <alignment horizontal="center"/>
    </xf>
    <xf numFmtId="0" fontId="1" fillId="0" borderId="13" xfId="1" applyFont="1" applyBorder="1"/>
    <xf numFmtId="0" fontId="1" fillId="0" borderId="4" xfId="1" applyFont="1" applyBorder="1"/>
    <xf numFmtId="0" fontId="15" fillId="0" borderId="13" xfId="1" applyFont="1" applyBorder="1" applyAlignment="1">
      <alignment horizontal="center"/>
    </xf>
    <xf numFmtId="0" fontId="15" fillId="0" borderId="13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/>
    <xf numFmtId="0" fontId="15" fillId="0" borderId="13" xfId="1" applyFont="1" applyBorder="1" applyAlignment="1">
      <alignment horizontal="center" vertical="center"/>
    </xf>
    <xf numFmtId="0" fontId="15" fillId="0" borderId="13" xfId="1" applyFont="1" applyBorder="1" applyAlignment="1">
      <alignment vertical="center"/>
    </xf>
    <xf numFmtId="164" fontId="15" fillId="0" borderId="1" xfId="1" applyNumberFormat="1" applyFont="1" applyFill="1" applyBorder="1"/>
    <xf numFmtId="164" fontId="15" fillId="0" borderId="13" xfId="1" applyNumberFormat="1" applyFont="1" applyBorder="1"/>
    <xf numFmtId="164" fontId="15" fillId="0" borderId="13" xfId="1" applyNumberFormat="1" applyFont="1" applyBorder="1" applyAlignment="1">
      <alignment vertical="center"/>
    </xf>
    <xf numFmtId="164" fontId="15" fillId="0" borderId="4" xfId="1" applyNumberFormat="1" applyFont="1" applyBorder="1"/>
    <xf numFmtId="164" fontId="2" fillId="0" borderId="0" xfId="1" applyNumberFormat="1"/>
    <xf numFmtId="164" fontId="2" fillId="0" borderId="4" xfId="1" applyNumberFormat="1" applyBorder="1"/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15" fillId="0" borderId="14" xfId="1" applyFont="1" applyBorder="1" applyAlignment="1">
      <alignment horizontal="center" vertical="center"/>
    </xf>
    <xf numFmtId="0" fontId="15" fillId="0" borderId="16" xfId="1" applyFont="1" applyBorder="1" applyAlignment="1">
      <alignment vertical="center"/>
    </xf>
    <xf numFmtId="0" fontId="2" fillId="0" borderId="16" xfId="1" applyBorder="1" applyAlignment="1">
      <alignment vertical="center"/>
    </xf>
    <xf numFmtId="0" fontId="2" fillId="0" borderId="0" xfId="1" applyAlignment="1">
      <alignment vertical="center"/>
    </xf>
    <xf numFmtId="0" fontId="8" fillId="0" borderId="16" xfId="0" applyFont="1" applyBorder="1" applyAlignment="1">
      <alignment vertical="center"/>
    </xf>
    <xf numFmtId="0" fontId="2" fillId="0" borderId="0" xfId="1" applyAlignment="1">
      <alignment horizontal="center" vertical="center"/>
    </xf>
    <xf numFmtId="0" fontId="2" fillId="0" borderId="17" xfId="1" applyBorder="1" applyAlignment="1">
      <alignment horizontal="center"/>
    </xf>
    <xf numFmtId="0" fontId="2" fillId="0" borderId="17" xfId="1" applyBorder="1"/>
    <xf numFmtId="0" fontId="2" fillId="0" borderId="18" xfId="1" applyBorder="1" applyAlignment="1">
      <alignment horizontal="center"/>
    </xf>
    <xf numFmtId="0" fontId="2" fillId="0" borderId="18" xfId="1" applyBorder="1"/>
    <xf numFmtId="0" fontId="15" fillId="0" borderId="18" xfId="1" applyFont="1" applyBorder="1" applyAlignment="1">
      <alignment horizontal="center"/>
    </xf>
    <xf numFmtId="0" fontId="15" fillId="0" borderId="18" xfId="1" applyFont="1" applyBorder="1"/>
    <xf numFmtId="0" fontId="15" fillId="0" borderId="18" xfId="1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15" fillId="0" borderId="19" xfId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0" borderId="19" xfId="1" applyFont="1" applyBorder="1"/>
    <xf numFmtId="0" fontId="15" fillId="0" borderId="20" xfId="1" applyFont="1" applyBorder="1" applyAlignment="1">
      <alignment horizontal="center"/>
    </xf>
    <xf numFmtId="0" fontId="15" fillId="0" borderId="20" xfId="1" applyFont="1" applyBorder="1"/>
    <xf numFmtId="0" fontId="8" fillId="0" borderId="20" xfId="0" applyFont="1" applyBorder="1" applyAlignment="1">
      <alignment horizontal="center"/>
    </xf>
    <xf numFmtId="0" fontId="0" fillId="2" borderId="0" xfId="0" applyFill="1"/>
    <xf numFmtId="41" fontId="0" fillId="2" borderId="0" xfId="0" applyNumberFormat="1" applyFill="1"/>
    <xf numFmtId="0" fontId="17" fillId="2" borderId="0" xfId="0" applyFont="1" applyFill="1"/>
    <xf numFmtId="0" fontId="18" fillId="2" borderId="0" xfId="0" applyFont="1" applyFill="1"/>
    <xf numFmtId="0" fontId="8" fillId="0" borderId="0" xfId="0" applyFont="1"/>
    <xf numFmtId="0" fontId="8" fillId="2" borderId="0" xfId="0" applyFont="1" applyFill="1"/>
    <xf numFmtId="0" fontId="19" fillId="2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1" fontId="8" fillId="0" borderId="1" xfId="0" applyNumberFormat="1" applyFont="1" applyFill="1" applyBorder="1"/>
    <xf numFmtId="41" fontId="8" fillId="0" borderId="2" xfId="0" applyNumberFormat="1" applyFont="1" applyFill="1" applyBorder="1"/>
    <xf numFmtId="39" fontId="8" fillId="0" borderId="1" xfId="0" applyNumberFormat="1" applyFont="1" applyFill="1" applyBorder="1" applyProtection="1">
      <protection locked="0"/>
    </xf>
    <xf numFmtId="41" fontId="8" fillId="0" borderId="1" xfId="0" applyNumberFormat="1" applyFont="1" applyFill="1" applyBorder="1" applyProtection="1">
      <protection locked="0"/>
    </xf>
    <xf numFmtId="41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/>
    <xf numFmtId="41" fontId="20" fillId="0" borderId="1" xfId="0" applyNumberFormat="1" applyFont="1" applyFill="1" applyBorder="1"/>
    <xf numFmtId="41" fontId="20" fillId="0" borderId="2" xfId="0" applyNumberFormat="1" applyFont="1" applyFill="1" applyBorder="1"/>
    <xf numFmtId="39" fontId="20" fillId="0" borderId="1" xfId="0" applyNumberFormat="1" applyFont="1" applyFill="1" applyBorder="1" applyProtection="1">
      <protection locked="0"/>
    </xf>
    <xf numFmtId="41" fontId="20" fillId="0" borderId="1" xfId="0" applyNumberFormat="1" applyFont="1" applyFill="1" applyBorder="1" applyProtection="1">
      <protection locked="0"/>
    </xf>
    <xf numFmtId="41" fontId="20" fillId="0" borderId="0" xfId="0" applyNumberFormat="1" applyFont="1" applyFill="1"/>
    <xf numFmtId="0" fontId="20" fillId="0" borderId="0" xfId="0" applyFont="1" applyFill="1"/>
    <xf numFmtId="0" fontId="21" fillId="2" borderId="0" xfId="0" applyFont="1" applyFill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6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39"/>
  <sheetViews>
    <sheetView tabSelected="1" topLeftCell="B80" zoomScaleNormal="100" workbookViewId="0">
      <selection activeCell="CD97" sqref="CD97"/>
    </sheetView>
  </sheetViews>
  <sheetFormatPr defaultRowHeight="12.75" x14ac:dyDescent="0.2"/>
  <cols>
    <col min="1" max="1" width="5.28515625" customWidth="1"/>
    <col min="2" max="2" width="5" customWidth="1"/>
    <col min="3" max="3" width="16" customWidth="1"/>
    <col min="4" max="4" width="0.42578125" customWidth="1"/>
    <col min="5" max="21" width="12.28515625" hidden="1" customWidth="1"/>
    <col min="22" max="22" width="2.7109375" hidden="1" customWidth="1"/>
    <col min="23" max="25" width="11.28515625" hidden="1" customWidth="1"/>
    <col min="26" max="40" width="12.28515625" hidden="1" customWidth="1"/>
    <col min="41" max="41" width="12.28515625" customWidth="1"/>
    <col min="42" max="53" width="10.28515625" hidden="1" customWidth="1"/>
    <col min="54" max="54" width="0.7109375" customWidth="1"/>
    <col min="55" max="55" width="12" hidden="1" customWidth="1"/>
    <col min="56" max="56" width="11.140625" hidden="1" customWidth="1"/>
    <col min="57" max="68" width="10.28515625" hidden="1" customWidth="1"/>
    <col min="69" max="69" width="11.28515625" hidden="1" customWidth="1"/>
    <col min="70" max="70" width="18.85546875" hidden="1" customWidth="1"/>
    <col min="71" max="71" width="17" hidden="1" customWidth="1"/>
    <col min="72" max="72" width="0.42578125" customWidth="1"/>
    <col min="73" max="73" width="11.28515625" bestFit="1" customWidth="1"/>
    <col min="74" max="74" width="4" bestFit="1" customWidth="1"/>
    <col min="75" max="75" width="8.85546875" customWidth="1"/>
    <col min="76" max="76" width="10" customWidth="1"/>
    <col min="77" max="77" width="23" customWidth="1"/>
    <col min="78" max="78" width="4.7109375" customWidth="1"/>
  </cols>
  <sheetData>
    <row r="1" spans="1:76" x14ac:dyDescent="0.2">
      <c r="A1" s="138" t="s">
        <v>169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</row>
    <row r="2" spans="1:76" x14ac:dyDescent="0.2">
      <c r="A2" s="138" t="s">
        <v>170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</row>
    <row r="3" spans="1:76" x14ac:dyDescent="0.2">
      <c r="A3" s="138" t="s">
        <v>171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</row>
    <row r="4" spans="1:76" x14ac:dyDescent="0.2">
      <c r="A4" s="139" t="s">
        <v>194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</row>
    <row r="5" spans="1:76" ht="25.5" x14ac:dyDescent="0.35">
      <c r="A5" s="4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BQ5" s="7"/>
      <c r="BS5" s="143"/>
      <c r="BT5" s="143"/>
    </row>
    <row r="6" spans="1:76" ht="19.5" customHeight="1" x14ac:dyDescent="0.2">
      <c r="A6" s="144" t="s">
        <v>0</v>
      </c>
      <c r="B6" s="144"/>
      <c r="C6" s="144" t="s">
        <v>1</v>
      </c>
      <c r="D6" s="144" t="s">
        <v>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141" t="s">
        <v>168</v>
      </c>
      <c r="BC6" s="140" t="s">
        <v>209</v>
      </c>
      <c r="BD6" s="140" t="s">
        <v>221</v>
      </c>
      <c r="BE6" s="30">
        <f>5202436*25%</f>
        <v>1300609</v>
      </c>
      <c r="BF6" s="30">
        <f>5069136*25%</f>
        <v>1267284</v>
      </c>
      <c r="BG6" s="30">
        <f>16753872*25%</f>
        <v>4188468</v>
      </c>
      <c r="BH6" s="30">
        <f>27683442*25%</f>
        <v>6920860.5</v>
      </c>
      <c r="BI6" s="30">
        <f>22177844*25%</f>
        <v>5544461</v>
      </c>
      <c r="BJ6" s="30">
        <f>15908715*25%</f>
        <v>3977178.75</v>
      </c>
      <c r="BK6" s="30">
        <f>11516101*25%</f>
        <v>2879025.25</v>
      </c>
      <c r="BL6" s="30">
        <f>21370662*25%</f>
        <v>5342665.5</v>
      </c>
      <c r="BM6" s="30">
        <f>22903272*25%</f>
        <v>5725818</v>
      </c>
      <c r="BN6" s="30">
        <f>20434544*25%</f>
        <v>5108636</v>
      </c>
      <c r="BO6" s="30">
        <f>16624393*25%</f>
        <v>4156098.25</v>
      </c>
      <c r="BP6" s="30">
        <f>15454875*25%</f>
        <v>3863718.75</v>
      </c>
      <c r="BQ6" s="140" t="s">
        <v>223</v>
      </c>
      <c r="BR6" s="140" t="s">
        <v>224</v>
      </c>
      <c r="BS6" s="140" t="s">
        <v>225</v>
      </c>
      <c r="BT6" s="140" t="s">
        <v>227</v>
      </c>
    </row>
    <row r="7" spans="1:76" ht="21.75" customHeight="1" x14ac:dyDescent="0.2">
      <c r="A7" s="21" t="s">
        <v>6</v>
      </c>
      <c r="B7" s="21" t="s">
        <v>7</v>
      </c>
      <c r="C7" s="145"/>
      <c r="D7" s="21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 t="s">
        <v>4</v>
      </c>
      <c r="Q7" s="21" t="s">
        <v>210</v>
      </c>
      <c r="R7" s="21" t="s">
        <v>211</v>
      </c>
      <c r="S7" s="21" t="s">
        <v>212</v>
      </c>
      <c r="T7" s="21" t="s">
        <v>213</v>
      </c>
      <c r="U7" s="21" t="s">
        <v>214</v>
      </c>
      <c r="V7" s="21" t="s">
        <v>215</v>
      </c>
      <c r="W7" s="21" t="s">
        <v>216</v>
      </c>
      <c r="X7" s="21" t="s">
        <v>217</v>
      </c>
      <c r="Y7" s="21" t="s">
        <v>218</v>
      </c>
      <c r="Z7" s="21" t="s">
        <v>219</v>
      </c>
      <c r="AA7" s="21" t="s">
        <v>220</v>
      </c>
      <c r="AB7" s="21" t="s">
        <v>197</v>
      </c>
      <c r="AC7" s="21" t="s">
        <v>210</v>
      </c>
      <c r="AD7" s="21" t="s">
        <v>211</v>
      </c>
      <c r="AE7" s="21" t="s">
        <v>212</v>
      </c>
      <c r="AF7" s="21" t="s">
        <v>213</v>
      </c>
      <c r="AG7" s="21" t="s">
        <v>214</v>
      </c>
      <c r="AH7" s="21" t="s">
        <v>215</v>
      </c>
      <c r="AI7" s="21" t="s">
        <v>216</v>
      </c>
      <c r="AJ7" s="21" t="s">
        <v>217</v>
      </c>
      <c r="AK7" s="21" t="s">
        <v>218</v>
      </c>
      <c r="AL7" s="21" t="s">
        <v>219</v>
      </c>
      <c r="AM7" s="21" t="s">
        <v>220</v>
      </c>
      <c r="AN7" s="21" t="s">
        <v>196</v>
      </c>
      <c r="AO7" s="21" t="s">
        <v>5</v>
      </c>
      <c r="AP7" s="21" t="s">
        <v>210</v>
      </c>
      <c r="AQ7" s="21" t="s">
        <v>211</v>
      </c>
      <c r="AR7" s="21" t="s">
        <v>212</v>
      </c>
      <c r="AS7" s="21" t="s">
        <v>213</v>
      </c>
      <c r="AT7" s="21" t="s">
        <v>214</v>
      </c>
      <c r="AU7" s="21" t="s">
        <v>215</v>
      </c>
      <c r="AV7" s="21" t="s">
        <v>216</v>
      </c>
      <c r="AW7" s="21" t="s">
        <v>217</v>
      </c>
      <c r="AX7" s="21" t="s">
        <v>218</v>
      </c>
      <c r="AY7" s="21" t="s">
        <v>219</v>
      </c>
      <c r="AZ7" s="21" t="s">
        <v>220</v>
      </c>
      <c r="BA7" s="21" t="s">
        <v>222</v>
      </c>
      <c r="BB7" s="142"/>
      <c r="BC7" s="140"/>
      <c r="BD7" s="140"/>
      <c r="BE7" s="21" t="s">
        <v>210</v>
      </c>
      <c r="BF7" s="21" t="s">
        <v>211</v>
      </c>
      <c r="BG7" s="21" t="s">
        <v>212</v>
      </c>
      <c r="BH7" s="21" t="s">
        <v>213</v>
      </c>
      <c r="BI7" s="21" t="s">
        <v>214</v>
      </c>
      <c r="BJ7" s="21" t="s">
        <v>215</v>
      </c>
      <c r="BK7" s="21" t="s">
        <v>216</v>
      </c>
      <c r="BL7" s="21" t="s">
        <v>217</v>
      </c>
      <c r="BM7" s="21" t="s">
        <v>218</v>
      </c>
      <c r="BN7" s="21" t="s">
        <v>219</v>
      </c>
      <c r="BO7" s="21" t="s">
        <v>220</v>
      </c>
      <c r="BP7" s="21" t="s">
        <v>222</v>
      </c>
      <c r="BQ7" s="140"/>
      <c r="BR7" s="140"/>
      <c r="BS7" s="140"/>
      <c r="BT7" s="140"/>
      <c r="BU7" t="s">
        <v>636</v>
      </c>
    </row>
    <row r="8" spans="1:76" s="110" customFormat="1" ht="13.5" customHeight="1" x14ac:dyDescent="0.2">
      <c r="A8" s="24">
        <v>1</v>
      </c>
      <c r="B8" s="24">
        <v>2</v>
      </c>
      <c r="C8" s="25" t="s">
        <v>8</v>
      </c>
      <c r="D8" s="26">
        <v>100000</v>
      </c>
      <c r="E8" s="26">
        <f t="shared" ref="E8:F8" si="0">+F8-25000</f>
        <v>2078000</v>
      </c>
      <c r="F8" s="26">
        <f t="shared" si="0"/>
        <v>2103000</v>
      </c>
      <c r="G8" s="26">
        <f>+H8-25000</f>
        <v>2128000</v>
      </c>
      <c r="H8" s="26">
        <f t="shared" ref="H8:N8" si="1">+I8-50000</f>
        <v>2153000</v>
      </c>
      <c r="I8" s="26">
        <f t="shared" si="1"/>
        <v>2203000</v>
      </c>
      <c r="J8" s="26">
        <f t="shared" si="1"/>
        <v>2253000</v>
      </c>
      <c r="K8" s="26">
        <f t="shared" si="1"/>
        <v>2303000</v>
      </c>
      <c r="L8" s="26">
        <f t="shared" si="1"/>
        <v>2353000</v>
      </c>
      <c r="M8" s="26">
        <f t="shared" si="1"/>
        <v>2403000</v>
      </c>
      <c r="N8" s="26">
        <f t="shared" si="1"/>
        <v>2453000</v>
      </c>
      <c r="O8" s="26">
        <f>+P8-50000</f>
        <v>2503000</v>
      </c>
      <c r="P8" s="26">
        <v>2553000</v>
      </c>
      <c r="Q8" s="26">
        <v>2000000</v>
      </c>
      <c r="R8" s="26">
        <v>2500000</v>
      </c>
      <c r="S8" s="26">
        <v>3000000</v>
      </c>
      <c r="T8" s="26">
        <v>3500000</v>
      </c>
      <c r="U8" s="26">
        <v>4000000</v>
      </c>
      <c r="V8" s="26">
        <v>0</v>
      </c>
      <c r="W8" s="26">
        <v>1000000</v>
      </c>
      <c r="X8" s="26">
        <v>2000000</v>
      </c>
      <c r="Y8" s="26">
        <v>3000000</v>
      </c>
      <c r="Z8" s="26">
        <v>4000000</v>
      </c>
      <c r="AA8" s="26">
        <v>4000000</v>
      </c>
      <c r="AB8" s="26">
        <v>4000000</v>
      </c>
      <c r="AC8" s="26">
        <v>1006000</v>
      </c>
      <c r="AD8" s="26">
        <v>1031000</v>
      </c>
      <c r="AE8" s="26">
        <v>1056000</v>
      </c>
      <c r="AF8" s="26">
        <v>1081000</v>
      </c>
      <c r="AG8" s="26">
        <f>+AF8+25000</f>
        <v>1106000</v>
      </c>
      <c r="AH8" s="26">
        <f t="shared" ref="AH8:AM8" si="2">+AG8+25000</f>
        <v>1131000</v>
      </c>
      <c r="AI8" s="26">
        <f t="shared" si="2"/>
        <v>1156000</v>
      </c>
      <c r="AJ8" s="26">
        <f t="shared" si="2"/>
        <v>1181000</v>
      </c>
      <c r="AK8" s="26">
        <f t="shared" si="2"/>
        <v>1206000</v>
      </c>
      <c r="AL8" s="26">
        <f t="shared" si="2"/>
        <v>1231000</v>
      </c>
      <c r="AM8" s="26">
        <f t="shared" si="2"/>
        <v>1256000</v>
      </c>
      <c r="AN8" s="26">
        <v>1281000</v>
      </c>
      <c r="AO8" s="26">
        <f>+AN8+AB8+P8+D8</f>
        <v>7934000</v>
      </c>
      <c r="AP8" s="27">
        <f>0.5%*(Q8+AC8)</f>
        <v>15030</v>
      </c>
      <c r="AQ8" s="27">
        <f t="shared" ref="AQ8:BA8" si="3">0.5%*(R8+AD8)</f>
        <v>17655</v>
      </c>
      <c r="AR8" s="27">
        <f t="shared" si="3"/>
        <v>20280</v>
      </c>
      <c r="AS8" s="27">
        <f t="shared" si="3"/>
        <v>22905</v>
      </c>
      <c r="AT8" s="27">
        <f t="shared" si="3"/>
        <v>25530</v>
      </c>
      <c r="AU8" s="27">
        <f t="shared" si="3"/>
        <v>5655</v>
      </c>
      <c r="AV8" s="27">
        <f t="shared" si="3"/>
        <v>10780</v>
      </c>
      <c r="AW8" s="27">
        <f t="shared" si="3"/>
        <v>15905</v>
      </c>
      <c r="AX8" s="27">
        <f t="shared" si="3"/>
        <v>21030</v>
      </c>
      <c r="AY8" s="27">
        <f t="shared" si="3"/>
        <v>26155</v>
      </c>
      <c r="AZ8" s="27">
        <f t="shared" si="3"/>
        <v>26280</v>
      </c>
      <c r="BA8" s="27">
        <f t="shared" si="3"/>
        <v>26405</v>
      </c>
      <c r="BB8" s="27">
        <v>0</v>
      </c>
      <c r="BC8" s="29">
        <v>0</v>
      </c>
      <c r="BD8" s="27">
        <f>SUM(AP8:BA8)</f>
        <v>233610</v>
      </c>
      <c r="BE8" s="28">
        <f t="shared" ref="BE8:BE39" si="4">(BE$6/($D$205+E$205+Q$205+AC$205))*($D8+E8+Q8+AC8)</f>
        <v>9188.0471232678847</v>
      </c>
      <c r="BF8" s="28">
        <f t="shared" ref="BF8:BF39" si="5">(BF$6/($D$205+F$205+R$205+AD$205))*($D8+F8+R8+AD8)</f>
        <v>9229.5722522811066</v>
      </c>
      <c r="BG8" s="28">
        <f t="shared" ref="BG8:BG39" si="6">(BG$6/($D$205+G$205+S$205+AE$205))*($D8+G8+S8+AE8)</f>
        <v>31582.013422754688</v>
      </c>
      <c r="BH8" s="28">
        <f t="shared" ref="BH8:BH39" si="7">(BH$6/($D$205+H$205+T$205+AF$205))*($D8+H8+T8+AF8)</f>
        <v>54712.144835540246</v>
      </c>
      <c r="BI8" s="28">
        <f t="shared" ref="BI8:BI39" si="8">(BI$6/($D$205+I$205+U$205+AG$205))*($D8+I8+U8+AG8)</f>
        <v>45154.398900306041</v>
      </c>
      <c r="BJ8" s="28">
        <f t="shared" ref="BJ8:BJ39" si="9">(BJ$6/($D$205+J$205+V$205+AH$205))*($D8+J8+V8+AH8)</f>
        <v>21765.276217042716</v>
      </c>
      <c r="BK8" s="28">
        <f t="shared" ref="BK8:BK39" si="10">(BK$6/($D$205+K$205+W$205+AI$205))*($D8+K8+W8+AI8)</f>
        <v>19731.745569797138</v>
      </c>
      <c r="BL8" s="28">
        <f t="shared" ref="BL8:BL39" si="11">(BL$6/($D$205+L$205+X$205+AJ$205))*($D8+L8+X8+AJ8)</f>
        <v>42803.689872636336</v>
      </c>
      <c r="BM8" s="28">
        <f t="shared" ref="BM8:BM39" si="12">(BM$6/($D$205+M$205+Y$205+AK$205))*($D8+M8+Y8+AK8)</f>
        <v>51776.333278612678</v>
      </c>
      <c r="BN8" s="28">
        <f t="shared" ref="BN8:BN39" si="13">(BN$6/($D$205+N$205+Z$205+AL$205))*($D8+N8+Z8+AL8)</f>
        <v>50218.003179004292</v>
      </c>
      <c r="BO8" s="28">
        <f t="shared" ref="BO8:BO39" si="14">(BO$6/($D$205+O$205+AA$205+AM$205))*($D8+O8+AA8+AM8)</f>
        <v>36649.719841194354</v>
      </c>
      <c r="BP8" s="28">
        <f t="shared" ref="BP8:BP39" si="15">(BP$6/($D$205+P$205+AB$205+AN$205))*($D8+P8+AB8+AN8)</f>
        <v>32365.644544724943</v>
      </c>
      <c r="BQ8" s="29">
        <f>SUM(BE8:BP8)</f>
        <v>405176.58903716243</v>
      </c>
      <c r="BR8" s="26">
        <f t="shared" ref="BR8:BR39" si="16">+BB8/$BB$205*40219858</f>
        <v>0</v>
      </c>
      <c r="BS8" s="26">
        <f>+BQ8+BR8</f>
        <v>405176.58903716243</v>
      </c>
      <c r="BT8" s="26">
        <f t="shared" ref="BT8:BT39" si="17">+BS8+BD8</f>
        <v>638786.58903716248</v>
      </c>
      <c r="BU8" s="111">
        <f>AO8-100000</f>
        <v>7834000</v>
      </c>
      <c r="BV8" s="110">
        <v>34</v>
      </c>
      <c r="BW8" s="115" t="s">
        <v>667</v>
      </c>
      <c r="BX8" s="110" t="s">
        <v>676</v>
      </c>
    </row>
    <row r="9" spans="1:76" s="110" customFormat="1" ht="13.5" customHeight="1" x14ac:dyDescent="0.2">
      <c r="A9" s="24">
        <v>2</v>
      </c>
      <c r="B9" s="24">
        <v>4</v>
      </c>
      <c r="C9" s="25" t="s">
        <v>9</v>
      </c>
      <c r="D9" s="26">
        <v>100000</v>
      </c>
      <c r="E9" s="26">
        <f t="shared" ref="E9:G9" si="18">+F9-25000</f>
        <v>2071000</v>
      </c>
      <c r="F9" s="26">
        <f t="shared" si="18"/>
        <v>2096000</v>
      </c>
      <c r="G9" s="26">
        <f t="shared" si="18"/>
        <v>2121000</v>
      </c>
      <c r="H9" s="26">
        <f t="shared" ref="H9:O9" si="19">+I9-50000</f>
        <v>2146000</v>
      </c>
      <c r="I9" s="26">
        <f t="shared" si="19"/>
        <v>2196000</v>
      </c>
      <c r="J9" s="26">
        <f t="shared" si="19"/>
        <v>2246000</v>
      </c>
      <c r="K9" s="26">
        <f t="shared" si="19"/>
        <v>2296000</v>
      </c>
      <c r="L9" s="26">
        <f t="shared" si="19"/>
        <v>2346000</v>
      </c>
      <c r="M9" s="26">
        <f t="shared" si="19"/>
        <v>2396000</v>
      </c>
      <c r="N9" s="26">
        <f t="shared" si="19"/>
        <v>2446000</v>
      </c>
      <c r="O9" s="26">
        <f t="shared" si="19"/>
        <v>2496000</v>
      </c>
      <c r="P9" s="26">
        <v>2546000</v>
      </c>
      <c r="Q9" s="26">
        <v>2400000</v>
      </c>
      <c r="R9" s="26">
        <f>+Q9+400000</f>
        <v>2800000</v>
      </c>
      <c r="S9" s="26">
        <f t="shared" ref="S9:U9" si="20">+R9+400000</f>
        <v>3200000</v>
      </c>
      <c r="T9" s="26">
        <f t="shared" si="20"/>
        <v>3600000</v>
      </c>
      <c r="U9" s="26">
        <f t="shared" si="20"/>
        <v>4000000</v>
      </c>
      <c r="V9" s="26">
        <v>0</v>
      </c>
      <c r="W9" s="26">
        <f>+V9+500000</f>
        <v>500000</v>
      </c>
      <c r="X9" s="26">
        <f t="shared" ref="X9:AA9" si="21">+W9+500000</f>
        <v>1000000</v>
      </c>
      <c r="Y9" s="26">
        <f t="shared" si="21"/>
        <v>1500000</v>
      </c>
      <c r="Z9" s="26">
        <f t="shared" si="21"/>
        <v>2000000</v>
      </c>
      <c r="AA9" s="26">
        <f t="shared" si="21"/>
        <v>2500000</v>
      </c>
      <c r="AB9" s="26">
        <v>3000000</v>
      </c>
      <c r="AC9" s="26">
        <v>3200000</v>
      </c>
      <c r="AD9" s="26">
        <f>+AC9+250000</f>
        <v>3450000</v>
      </c>
      <c r="AE9" s="26">
        <f>+AD9+300000</f>
        <v>3750000</v>
      </c>
      <c r="AF9" s="26">
        <f t="shared" ref="AF9:AI9" si="22">+AE9+300000</f>
        <v>4050000</v>
      </c>
      <c r="AG9" s="26">
        <f t="shared" si="22"/>
        <v>4350000</v>
      </c>
      <c r="AH9" s="26">
        <v>4050000</v>
      </c>
      <c r="AI9" s="26">
        <f t="shared" si="22"/>
        <v>4350000</v>
      </c>
      <c r="AJ9" s="26">
        <f>+AI9+300000-1500000</f>
        <v>3150000</v>
      </c>
      <c r="AK9" s="26">
        <f>+AJ9+300000-2000000</f>
        <v>1450000</v>
      </c>
      <c r="AL9" s="26">
        <f>+AK9+300000+10000000</f>
        <v>11750000</v>
      </c>
      <c r="AM9" s="26">
        <f>+AL9+300000</f>
        <v>12050000</v>
      </c>
      <c r="AN9" s="26">
        <v>21050000</v>
      </c>
      <c r="AO9" s="26">
        <f t="shared" ref="AO9:AO72" si="23">+AN9+AB9+P9+D9</f>
        <v>26696000</v>
      </c>
      <c r="AP9" s="27">
        <f t="shared" ref="AP9:AP72" si="24">0.5%*(Q9+AC9)</f>
        <v>28000</v>
      </c>
      <c r="AQ9" s="27">
        <f t="shared" ref="AQ9:AQ72" si="25">0.5%*(R9+AD9)</f>
        <v>31250</v>
      </c>
      <c r="AR9" s="27">
        <f t="shared" ref="AR9:AR72" si="26">0.5%*(S9+AE9)</f>
        <v>34750</v>
      </c>
      <c r="AS9" s="27">
        <f t="shared" ref="AS9:AS72" si="27">0.5%*(T9+AF9)</f>
        <v>38250</v>
      </c>
      <c r="AT9" s="27">
        <f t="shared" ref="AT9:AT72" si="28">0.5%*(U9+AG9)</f>
        <v>41750</v>
      </c>
      <c r="AU9" s="27">
        <f t="shared" ref="AU9:AU72" si="29">0.5%*(V9+AH9)</f>
        <v>20250</v>
      </c>
      <c r="AV9" s="27">
        <f t="shared" ref="AV9:AV72" si="30">0.5%*(W9+AI9)</f>
        <v>24250</v>
      </c>
      <c r="AW9" s="27">
        <f t="shared" ref="AW9:AW72" si="31">0.5%*(X9+AJ9)</f>
        <v>20750</v>
      </c>
      <c r="AX9" s="27">
        <f t="shared" ref="AX9:AX72" si="32">0.5%*(Y9+AK9)</f>
        <v>14750</v>
      </c>
      <c r="AY9" s="27">
        <f t="shared" ref="AY9:AY72" si="33">0.5%*(Z9+AL9)</f>
        <v>68750</v>
      </c>
      <c r="AZ9" s="27">
        <f t="shared" ref="AZ9:AZ72" si="34">0.5%*(AA9+AM9)</f>
        <v>72750</v>
      </c>
      <c r="BA9" s="27">
        <f t="shared" ref="BA9:BA72" si="35">0.5%*(AB9+AN9)</f>
        <v>120250</v>
      </c>
      <c r="BB9" s="27">
        <v>0</v>
      </c>
      <c r="BC9" s="26">
        <v>0</v>
      </c>
      <c r="BD9" s="27">
        <f t="shared" ref="BD9:BD17" si="36">SUM(AP9:BA9)</f>
        <v>515750</v>
      </c>
      <c r="BE9" s="28">
        <f t="shared" si="4"/>
        <v>13773.208756735095</v>
      </c>
      <c r="BF9" s="28">
        <f t="shared" si="5"/>
        <v>13594.866976415457</v>
      </c>
      <c r="BG9" s="28">
        <f t="shared" si="6"/>
        <v>46091.445751127183</v>
      </c>
      <c r="BH9" s="28">
        <f t="shared" si="7"/>
        <v>79226.131883597642</v>
      </c>
      <c r="BI9" s="28">
        <f t="shared" si="8"/>
        <v>64882.403926664614</v>
      </c>
      <c r="BJ9" s="28">
        <f t="shared" si="9"/>
        <v>39957.148876063489</v>
      </c>
      <c r="BK9" s="28">
        <f t="shared" si="10"/>
        <v>31361.313533395496</v>
      </c>
      <c r="BL9" s="28">
        <f t="shared" si="11"/>
        <v>50112.378132749254</v>
      </c>
      <c r="BM9" s="28">
        <f t="shared" si="12"/>
        <v>42029.201227504047</v>
      </c>
      <c r="BN9" s="28">
        <f t="shared" si="13"/>
        <v>105132.65413733992</v>
      </c>
      <c r="BO9" s="28">
        <f t="shared" si="14"/>
        <v>79958.785646662218</v>
      </c>
      <c r="BP9" s="28">
        <f t="shared" si="15"/>
        <v>108902.6023148446</v>
      </c>
      <c r="BQ9" s="29">
        <f t="shared" ref="BQ9:BQ72" si="37">SUM(BE9:BP9)</f>
        <v>675022.14116309898</v>
      </c>
      <c r="BR9" s="26">
        <f t="shared" si="16"/>
        <v>0</v>
      </c>
      <c r="BS9" s="26">
        <f t="shared" ref="BS9:BS72" si="38">+BQ9+BR9</f>
        <v>675022.14116309898</v>
      </c>
      <c r="BT9" s="26">
        <f t="shared" si="17"/>
        <v>1190772.1411630991</v>
      </c>
      <c r="BU9" s="111">
        <f>AO9-100000</f>
        <v>26596000</v>
      </c>
      <c r="BV9" s="110">
        <v>2</v>
      </c>
      <c r="BW9" s="115" t="s">
        <v>667</v>
      </c>
      <c r="BX9" s="110" t="s">
        <v>676</v>
      </c>
    </row>
    <row r="10" spans="1:76" s="110" customFormat="1" ht="13.5" customHeight="1" x14ac:dyDescent="0.2">
      <c r="A10" s="24">
        <v>3</v>
      </c>
      <c r="B10" s="24">
        <v>5</v>
      </c>
      <c r="C10" s="25" t="s">
        <v>10</v>
      </c>
      <c r="D10" s="26">
        <v>100000</v>
      </c>
      <c r="E10" s="26">
        <f t="shared" ref="E10:G10" si="39">+F10-25000</f>
        <v>2078000</v>
      </c>
      <c r="F10" s="26">
        <f t="shared" si="39"/>
        <v>2103000</v>
      </c>
      <c r="G10" s="26">
        <f t="shared" si="39"/>
        <v>2128000</v>
      </c>
      <c r="H10" s="26">
        <f t="shared" ref="H10:O10" si="40">+I10-50000</f>
        <v>2153000</v>
      </c>
      <c r="I10" s="26">
        <f t="shared" si="40"/>
        <v>2203000</v>
      </c>
      <c r="J10" s="26">
        <f t="shared" si="40"/>
        <v>2253000</v>
      </c>
      <c r="K10" s="26">
        <f t="shared" si="40"/>
        <v>2303000</v>
      </c>
      <c r="L10" s="26">
        <f t="shared" si="40"/>
        <v>2353000</v>
      </c>
      <c r="M10" s="26">
        <f t="shared" si="40"/>
        <v>2403000</v>
      </c>
      <c r="N10" s="26">
        <f t="shared" si="40"/>
        <v>2453000</v>
      </c>
      <c r="O10" s="26">
        <f t="shared" si="40"/>
        <v>2503000</v>
      </c>
      <c r="P10" s="26">
        <v>2553000</v>
      </c>
      <c r="Q10" s="26">
        <v>350000</v>
      </c>
      <c r="R10" s="26">
        <f>+Q10+50000</f>
        <v>400000</v>
      </c>
      <c r="S10" s="26">
        <f t="shared" ref="S10:U10" si="41">+R10+50000</f>
        <v>450000</v>
      </c>
      <c r="T10" s="26">
        <f t="shared" si="41"/>
        <v>500000</v>
      </c>
      <c r="U10" s="26">
        <f t="shared" si="41"/>
        <v>550000</v>
      </c>
      <c r="V10" s="26">
        <v>0</v>
      </c>
      <c r="W10" s="26">
        <v>100000</v>
      </c>
      <c r="X10" s="26">
        <f>+W10+100000</f>
        <v>200000</v>
      </c>
      <c r="Y10" s="26">
        <f t="shared" ref="Y10:AA10" si="42">+X10+100000</f>
        <v>300000</v>
      </c>
      <c r="Z10" s="26">
        <f t="shared" si="42"/>
        <v>400000</v>
      </c>
      <c r="AA10" s="26">
        <f t="shared" si="42"/>
        <v>500000</v>
      </c>
      <c r="AB10" s="26">
        <v>600000</v>
      </c>
      <c r="AC10" s="26">
        <v>36000</v>
      </c>
      <c r="AD10" s="26">
        <f>+AC10+50000</f>
        <v>86000</v>
      </c>
      <c r="AE10" s="26">
        <f>+AD10+50000-100000</f>
        <v>36000</v>
      </c>
      <c r="AF10" s="26">
        <f t="shared" ref="AF10:AM10" si="43">+AE10+50000</f>
        <v>86000</v>
      </c>
      <c r="AG10" s="26">
        <f>+AF10+50000-100000</f>
        <v>36000</v>
      </c>
      <c r="AH10" s="26">
        <f t="shared" si="43"/>
        <v>86000</v>
      </c>
      <c r="AI10" s="26">
        <f t="shared" si="43"/>
        <v>136000</v>
      </c>
      <c r="AJ10" s="26">
        <f t="shared" si="43"/>
        <v>186000</v>
      </c>
      <c r="AK10" s="26">
        <f t="shared" si="43"/>
        <v>236000</v>
      </c>
      <c r="AL10" s="26">
        <f>+AK10+50000-200000</f>
        <v>86000</v>
      </c>
      <c r="AM10" s="26">
        <f t="shared" si="43"/>
        <v>136000</v>
      </c>
      <c r="AN10" s="26">
        <v>86000</v>
      </c>
      <c r="AO10" s="26">
        <f t="shared" si="23"/>
        <v>3339000</v>
      </c>
      <c r="AP10" s="27">
        <f t="shared" si="24"/>
        <v>1930</v>
      </c>
      <c r="AQ10" s="27">
        <f t="shared" si="25"/>
        <v>2430</v>
      </c>
      <c r="AR10" s="27">
        <f t="shared" si="26"/>
        <v>2430</v>
      </c>
      <c r="AS10" s="27">
        <f t="shared" si="27"/>
        <v>2930</v>
      </c>
      <c r="AT10" s="27">
        <f t="shared" si="28"/>
        <v>2930</v>
      </c>
      <c r="AU10" s="27">
        <f t="shared" si="29"/>
        <v>430</v>
      </c>
      <c r="AV10" s="27">
        <f t="shared" si="30"/>
        <v>1180</v>
      </c>
      <c r="AW10" s="27">
        <f t="shared" si="31"/>
        <v>1930</v>
      </c>
      <c r="AX10" s="27">
        <f t="shared" si="32"/>
        <v>2680</v>
      </c>
      <c r="AY10" s="27">
        <f t="shared" si="33"/>
        <v>2430</v>
      </c>
      <c r="AZ10" s="27">
        <f t="shared" si="34"/>
        <v>3180</v>
      </c>
      <c r="BA10" s="27">
        <f t="shared" si="35"/>
        <v>3430</v>
      </c>
      <c r="BB10" s="27">
        <v>3375000</v>
      </c>
      <c r="BC10" s="26">
        <v>4997000</v>
      </c>
      <c r="BD10" s="27">
        <f t="shared" si="36"/>
        <v>27910</v>
      </c>
      <c r="BE10" s="28">
        <f t="shared" si="4"/>
        <v>4544.3967639002431</v>
      </c>
      <c r="BF10" s="28">
        <f t="shared" si="5"/>
        <v>4328.273419320526</v>
      </c>
      <c r="BG10" s="28">
        <f t="shared" si="6"/>
        <v>13639.97206068686</v>
      </c>
      <c r="BH10" s="28">
        <f t="shared" si="7"/>
        <v>22728.677083420949</v>
      </c>
      <c r="BI10" s="28">
        <f t="shared" si="8"/>
        <v>17607.107359020672</v>
      </c>
      <c r="BJ10" s="28">
        <f t="shared" si="9"/>
        <v>15236.942793733404</v>
      </c>
      <c r="BK10" s="28">
        <f t="shared" si="10"/>
        <v>11421.81981984967</v>
      </c>
      <c r="BL10" s="28">
        <f t="shared" si="11"/>
        <v>21568.98749528125</v>
      </c>
      <c r="BM10" s="28">
        <f t="shared" si="12"/>
        <v>23453.312987584428</v>
      </c>
      <c r="BN10" s="28">
        <f t="shared" si="13"/>
        <v>19605.923903005401</v>
      </c>
      <c r="BO10" s="28">
        <f t="shared" si="14"/>
        <v>15104.777015603577</v>
      </c>
      <c r="BP10" s="28">
        <f t="shared" si="15"/>
        <v>13620.98400993655</v>
      </c>
      <c r="BQ10" s="29">
        <f t="shared" si="37"/>
        <v>182861.17471134351</v>
      </c>
      <c r="BR10" s="26">
        <f t="shared" si="16"/>
        <v>737059.41210966138</v>
      </c>
      <c r="BS10" s="26">
        <f t="shared" si="38"/>
        <v>919920.58682100486</v>
      </c>
      <c r="BT10" s="26">
        <f t="shared" si="17"/>
        <v>947830.58682100486</v>
      </c>
      <c r="BU10" s="111">
        <f t="shared" ref="BU10:BU23" si="44">AO10-100000</f>
        <v>3239000</v>
      </c>
      <c r="BV10" s="110">
        <v>3</v>
      </c>
      <c r="BW10" s="115" t="s">
        <v>667</v>
      </c>
      <c r="BX10" s="110" t="s">
        <v>676</v>
      </c>
    </row>
    <row r="11" spans="1:76" s="110" customFormat="1" ht="13.5" customHeight="1" x14ac:dyDescent="0.2">
      <c r="A11" s="24">
        <v>4</v>
      </c>
      <c r="B11" s="24">
        <v>7</v>
      </c>
      <c r="C11" s="25" t="s">
        <v>11</v>
      </c>
      <c r="D11" s="26">
        <v>100000</v>
      </c>
      <c r="E11" s="26">
        <f t="shared" ref="E11:G11" si="45">+F11-25000</f>
        <v>2078000</v>
      </c>
      <c r="F11" s="26">
        <f t="shared" si="45"/>
        <v>2103000</v>
      </c>
      <c r="G11" s="26">
        <f t="shared" si="45"/>
        <v>2128000</v>
      </c>
      <c r="H11" s="26">
        <f t="shared" ref="H11:O11" si="46">+I11-50000</f>
        <v>2153000</v>
      </c>
      <c r="I11" s="26">
        <f t="shared" si="46"/>
        <v>2203000</v>
      </c>
      <c r="J11" s="26">
        <f t="shared" si="46"/>
        <v>2253000</v>
      </c>
      <c r="K11" s="26">
        <f t="shared" si="46"/>
        <v>2303000</v>
      </c>
      <c r="L11" s="26">
        <f t="shared" si="46"/>
        <v>2353000</v>
      </c>
      <c r="M11" s="26">
        <f t="shared" si="46"/>
        <v>2403000</v>
      </c>
      <c r="N11" s="26">
        <f t="shared" si="46"/>
        <v>2453000</v>
      </c>
      <c r="O11" s="26">
        <f t="shared" si="46"/>
        <v>2503000</v>
      </c>
      <c r="P11" s="26">
        <v>2553000</v>
      </c>
      <c r="Q11" s="26">
        <v>1200000</v>
      </c>
      <c r="R11" s="26">
        <f>+Q11+200000</f>
        <v>1400000</v>
      </c>
      <c r="S11" s="26">
        <f t="shared" ref="S11:U11" si="47">+R11+200000</f>
        <v>1600000</v>
      </c>
      <c r="T11" s="26">
        <f t="shared" si="47"/>
        <v>1800000</v>
      </c>
      <c r="U11" s="26">
        <f t="shared" si="47"/>
        <v>2000000</v>
      </c>
      <c r="V11" s="26">
        <v>0</v>
      </c>
      <c r="W11" s="26">
        <v>250000</v>
      </c>
      <c r="X11" s="26">
        <f>+W11+250000</f>
        <v>500000</v>
      </c>
      <c r="Y11" s="26">
        <f t="shared" ref="Y11:AA11" si="48">+X11+250000</f>
        <v>750000</v>
      </c>
      <c r="Z11" s="26">
        <f t="shared" si="48"/>
        <v>1000000</v>
      </c>
      <c r="AA11" s="26">
        <f t="shared" si="48"/>
        <v>1250000</v>
      </c>
      <c r="AB11" s="26">
        <v>1500000</v>
      </c>
      <c r="AC11" s="26">
        <v>65000</v>
      </c>
      <c r="AD11" s="26">
        <f>+AC11+25000</f>
        <v>90000</v>
      </c>
      <c r="AE11" s="26">
        <f t="shared" ref="AE11:AM11" si="49">+AD11+25000</f>
        <v>115000</v>
      </c>
      <c r="AF11" s="26">
        <f t="shared" si="49"/>
        <v>140000</v>
      </c>
      <c r="AG11" s="26">
        <f t="shared" si="49"/>
        <v>165000</v>
      </c>
      <c r="AH11" s="26">
        <f>+AG11+25000-150000</f>
        <v>40000</v>
      </c>
      <c r="AI11" s="26">
        <f t="shared" si="49"/>
        <v>65000</v>
      </c>
      <c r="AJ11" s="26">
        <f t="shared" si="49"/>
        <v>90000</v>
      </c>
      <c r="AK11" s="26">
        <f>+AJ11+25000-100000</f>
        <v>15000</v>
      </c>
      <c r="AL11" s="26">
        <f t="shared" si="49"/>
        <v>40000</v>
      </c>
      <c r="AM11" s="26">
        <f t="shared" si="49"/>
        <v>65000</v>
      </c>
      <c r="AN11" s="26">
        <v>90000</v>
      </c>
      <c r="AO11" s="26">
        <f t="shared" si="23"/>
        <v>4243000</v>
      </c>
      <c r="AP11" s="27">
        <f t="shared" si="24"/>
        <v>6325</v>
      </c>
      <c r="AQ11" s="27">
        <f t="shared" si="25"/>
        <v>7450</v>
      </c>
      <c r="AR11" s="27">
        <f t="shared" si="26"/>
        <v>8575</v>
      </c>
      <c r="AS11" s="27">
        <f t="shared" si="27"/>
        <v>9700</v>
      </c>
      <c r="AT11" s="27">
        <f t="shared" si="28"/>
        <v>10825</v>
      </c>
      <c r="AU11" s="27">
        <f t="shared" si="29"/>
        <v>200</v>
      </c>
      <c r="AV11" s="27">
        <f t="shared" si="30"/>
        <v>1575</v>
      </c>
      <c r="AW11" s="27">
        <f t="shared" si="31"/>
        <v>2950</v>
      </c>
      <c r="AX11" s="27">
        <f t="shared" si="32"/>
        <v>3825</v>
      </c>
      <c r="AY11" s="27">
        <f t="shared" si="33"/>
        <v>5200</v>
      </c>
      <c r="AZ11" s="27">
        <f t="shared" si="34"/>
        <v>6575</v>
      </c>
      <c r="BA11" s="27">
        <f t="shared" si="35"/>
        <v>7950</v>
      </c>
      <c r="BB11" s="27">
        <v>3375000</v>
      </c>
      <c r="BC11" s="26">
        <v>12494000</v>
      </c>
      <c r="BD11" s="27">
        <f t="shared" si="36"/>
        <v>71150</v>
      </c>
      <c r="BE11" s="28">
        <f t="shared" si="4"/>
        <v>6102.3237356117534</v>
      </c>
      <c r="BF11" s="28">
        <f t="shared" si="5"/>
        <v>5944.3338555413548</v>
      </c>
      <c r="BG11" s="28">
        <f t="shared" si="6"/>
        <v>19816.658008580798</v>
      </c>
      <c r="BH11" s="28">
        <f t="shared" si="7"/>
        <v>33568.630859733719</v>
      </c>
      <c r="BI11" s="28">
        <f t="shared" si="8"/>
        <v>27230.375797890054</v>
      </c>
      <c r="BJ11" s="28">
        <f t="shared" si="9"/>
        <v>14949.571178927445</v>
      </c>
      <c r="BK11" s="28">
        <f t="shared" si="10"/>
        <v>11763.738639769384</v>
      </c>
      <c r="BL11" s="28">
        <f t="shared" si="11"/>
        <v>23118.854860211639</v>
      </c>
      <c r="BM11" s="28">
        <f t="shared" si="12"/>
        <v>25220.607714190821</v>
      </c>
      <c r="BN11" s="28">
        <f t="shared" si="13"/>
        <v>23180.021251562492</v>
      </c>
      <c r="BO11" s="28">
        <f t="shared" si="14"/>
        <v>18271.230733910099</v>
      </c>
      <c r="BP11" s="28">
        <f t="shared" si="15"/>
        <v>17308.725712536921</v>
      </c>
      <c r="BQ11" s="29">
        <f t="shared" si="37"/>
        <v>226475.07234846649</v>
      </c>
      <c r="BR11" s="26">
        <f t="shared" si="16"/>
        <v>737059.41210966138</v>
      </c>
      <c r="BS11" s="26">
        <f t="shared" si="38"/>
        <v>963534.48445812787</v>
      </c>
      <c r="BT11" s="26">
        <f t="shared" si="17"/>
        <v>1034684.4844581279</v>
      </c>
      <c r="BU11" s="111">
        <f t="shared" si="44"/>
        <v>4143000</v>
      </c>
      <c r="BV11" s="110">
        <v>4</v>
      </c>
      <c r="BW11" s="115" t="s">
        <v>667</v>
      </c>
      <c r="BX11" s="110" t="s">
        <v>676</v>
      </c>
    </row>
    <row r="12" spans="1:76" s="110" customFormat="1" ht="13.5" customHeight="1" x14ac:dyDescent="0.2">
      <c r="A12" s="24">
        <v>5</v>
      </c>
      <c r="B12" s="24">
        <v>10</v>
      </c>
      <c r="C12" s="25" t="s">
        <v>12</v>
      </c>
      <c r="D12" s="26">
        <v>100000</v>
      </c>
      <c r="E12" s="26">
        <f t="shared" ref="E12:G12" si="50">+F12-25000</f>
        <v>2078000</v>
      </c>
      <c r="F12" s="26">
        <f t="shared" si="50"/>
        <v>2103000</v>
      </c>
      <c r="G12" s="26">
        <f t="shared" si="50"/>
        <v>2128000</v>
      </c>
      <c r="H12" s="26">
        <f t="shared" ref="H12:O12" si="51">+I12-50000</f>
        <v>2153000</v>
      </c>
      <c r="I12" s="26">
        <f t="shared" si="51"/>
        <v>2203000</v>
      </c>
      <c r="J12" s="26">
        <f t="shared" si="51"/>
        <v>2253000</v>
      </c>
      <c r="K12" s="26">
        <f t="shared" si="51"/>
        <v>2303000</v>
      </c>
      <c r="L12" s="26">
        <f t="shared" si="51"/>
        <v>2353000</v>
      </c>
      <c r="M12" s="26">
        <f t="shared" si="51"/>
        <v>2403000</v>
      </c>
      <c r="N12" s="26">
        <f t="shared" si="51"/>
        <v>2453000</v>
      </c>
      <c r="O12" s="26">
        <f t="shared" si="51"/>
        <v>2503000</v>
      </c>
      <c r="P12" s="26">
        <v>2553000</v>
      </c>
      <c r="Q12" s="26">
        <v>1500000</v>
      </c>
      <c r="R12" s="26">
        <f>+Q12+250000</f>
        <v>1750000</v>
      </c>
      <c r="S12" s="26">
        <f t="shared" ref="S12:AA12" si="52">+R12+250000</f>
        <v>2000000</v>
      </c>
      <c r="T12" s="26">
        <f t="shared" si="52"/>
        <v>2250000</v>
      </c>
      <c r="U12" s="26">
        <f t="shared" si="52"/>
        <v>2500000</v>
      </c>
      <c r="V12" s="26">
        <v>0</v>
      </c>
      <c r="W12" s="26">
        <f t="shared" si="52"/>
        <v>250000</v>
      </c>
      <c r="X12" s="26">
        <f t="shared" si="52"/>
        <v>500000</v>
      </c>
      <c r="Y12" s="26">
        <f t="shared" si="52"/>
        <v>750000</v>
      </c>
      <c r="Z12" s="26">
        <f t="shared" si="52"/>
        <v>1000000</v>
      </c>
      <c r="AA12" s="26">
        <f t="shared" si="52"/>
        <v>1250000</v>
      </c>
      <c r="AB12" s="26">
        <v>1500000</v>
      </c>
      <c r="AC12" s="26">
        <v>110000</v>
      </c>
      <c r="AD12" s="26">
        <f>+AC12+100000</f>
        <v>210000</v>
      </c>
      <c r="AE12" s="26">
        <f t="shared" ref="AE12:AK12" si="53">+AD12+100000</f>
        <v>310000</v>
      </c>
      <c r="AF12" s="26">
        <f>+AE12+100000-300000</f>
        <v>110000</v>
      </c>
      <c r="AG12" s="26">
        <f t="shared" si="53"/>
        <v>210000</v>
      </c>
      <c r="AH12" s="26">
        <f t="shared" si="53"/>
        <v>310000</v>
      </c>
      <c r="AI12" s="26">
        <f t="shared" si="53"/>
        <v>410000</v>
      </c>
      <c r="AJ12" s="26">
        <f t="shared" si="53"/>
        <v>510000</v>
      </c>
      <c r="AK12" s="26">
        <f t="shared" si="53"/>
        <v>610000</v>
      </c>
      <c r="AL12" s="26">
        <f>+AK12+100000-500000</f>
        <v>210000</v>
      </c>
      <c r="AM12" s="26">
        <f>+AL12+100000-200000</f>
        <v>110000</v>
      </c>
      <c r="AN12" s="26">
        <v>210000</v>
      </c>
      <c r="AO12" s="26">
        <f t="shared" si="23"/>
        <v>4363000</v>
      </c>
      <c r="AP12" s="27">
        <f t="shared" si="24"/>
        <v>8050</v>
      </c>
      <c r="AQ12" s="27">
        <f t="shared" si="25"/>
        <v>9800</v>
      </c>
      <c r="AR12" s="27">
        <f t="shared" si="26"/>
        <v>11550</v>
      </c>
      <c r="AS12" s="27">
        <f t="shared" si="27"/>
        <v>11800</v>
      </c>
      <c r="AT12" s="27">
        <f t="shared" si="28"/>
        <v>13550</v>
      </c>
      <c r="AU12" s="27">
        <f t="shared" si="29"/>
        <v>1550</v>
      </c>
      <c r="AV12" s="27">
        <f t="shared" si="30"/>
        <v>3300</v>
      </c>
      <c r="AW12" s="27">
        <f t="shared" si="31"/>
        <v>5050</v>
      </c>
      <c r="AX12" s="27">
        <f t="shared" si="32"/>
        <v>6800</v>
      </c>
      <c r="AY12" s="27">
        <f t="shared" si="33"/>
        <v>6050</v>
      </c>
      <c r="AZ12" s="27">
        <f t="shared" si="34"/>
        <v>6800</v>
      </c>
      <c r="BA12" s="27">
        <f t="shared" si="35"/>
        <v>8550</v>
      </c>
      <c r="BB12" s="27">
        <v>2250000</v>
      </c>
      <c r="BC12" s="26">
        <v>20000000</v>
      </c>
      <c r="BD12" s="27">
        <f t="shared" si="36"/>
        <v>92850</v>
      </c>
      <c r="BE12" s="28">
        <f t="shared" si="4"/>
        <v>6713.796779116271</v>
      </c>
      <c r="BF12" s="28">
        <f t="shared" si="5"/>
        <v>6700.8561713021008</v>
      </c>
      <c r="BG12" s="28">
        <f t="shared" si="6"/>
        <v>22806.998235592102</v>
      </c>
      <c r="BH12" s="28">
        <f t="shared" si="7"/>
        <v>36931.098057703712</v>
      </c>
      <c r="BI12" s="28">
        <f t="shared" si="8"/>
        <v>30551.896570014065</v>
      </c>
      <c r="BJ12" s="28">
        <f t="shared" si="9"/>
        <v>16636.317613658081</v>
      </c>
      <c r="BK12" s="28">
        <f t="shared" si="10"/>
        <v>13256.92842296307</v>
      </c>
      <c r="BL12" s="28">
        <f t="shared" si="11"/>
        <v>26309.758258597736</v>
      </c>
      <c r="BM12" s="28">
        <f t="shared" si="12"/>
        <v>29812.487025679053</v>
      </c>
      <c r="BN12" s="28">
        <f t="shared" si="13"/>
        <v>24276.765925307445</v>
      </c>
      <c r="BO12" s="28">
        <f t="shared" si="14"/>
        <v>18481.084073120401</v>
      </c>
      <c r="BP12" s="28">
        <f t="shared" si="15"/>
        <v>17798.248947395379</v>
      </c>
      <c r="BQ12" s="29">
        <f t="shared" si="37"/>
        <v>250276.23608044942</v>
      </c>
      <c r="BR12" s="26">
        <f t="shared" si="16"/>
        <v>491372.94140644086</v>
      </c>
      <c r="BS12" s="26">
        <f t="shared" si="38"/>
        <v>741649.17748689023</v>
      </c>
      <c r="BT12" s="26">
        <f t="shared" si="17"/>
        <v>834499.17748689023</v>
      </c>
      <c r="BU12" s="111">
        <f t="shared" si="44"/>
        <v>4263000</v>
      </c>
      <c r="BV12" s="110">
        <v>5</v>
      </c>
      <c r="BW12" s="115" t="s">
        <v>667</v>
      </c>
      <c r="BX12" s="110" t="s">
        <v>676</v>
      </c>
    </row>
    <row r="13" spans="1:76" s="110" customFormat="1" ht="13.5" customHeight="1" x14ac:dyDescent="0.2">
      <c r="A13" s="24">
        <v>6</v>
      </c>
      <c r="B13" s="24">
        <v>11</v>
      </c>
      <c r="C13" s="25" t="s">
        <v>13</v>
      </c>
      <c r="D13" s="26">
        <v>100000</v>
      </c>
      <c r="E13" s="26">
        <f t="shared" ref="E13:G13" si="54">+F13-25000</f>
        <v>2078000</v>
      </c>
      <c r="F13" s="26">
        <f t="shared" si="54"/>
        <v>2103000</v>
      </c>
      <c r="G13" s="26">
        <f t="shared" si="54"/>
        <v>2128000</v>
      </c>
      <c r="H13" s="26">
        <f t="shared" ref="H13:O13" si="55">+I13-50000</f>
        <v>2153000</v>
      </c>
      <c r="I13" s="26">
        <f t="shared" si="55"/>
        <v>2203000</v>
      </c>
      <c r="J13" s="26">
        <f t="shared" si="55"/>
        <v>2253000</v>
      </c>
      <c r="K13" s="26">
        <f t="shared" si="55"/>
        <v>2303000</v>
      </c>
      <c r="L13" s="26">
        <f t="shared" si="55"/>
        <v>2353000</v>
      </c>
      <c r="M13" s="26">
        <f t="shared" si="55"/>
        <v>2403000</v>
      </c>
      <c r="N13" s="26">
        <f t="shared" si="55"/>
        <v>2453000</v>
      </c>
      <c r="O13" s="26">
        <f t="shared" si="55"/>
        <v>2503000</v>
      </c>
      <c r="P13" s="26">
        <v>2553000</v>
      </c>
      <c r="Q13" s="26">
        <v>3000000</v>
      </c>
      <c r="R13" s="26">
        <f>+Q13+500000</f>
        <v>3500000</v>
      </c>
      <c r="S13" s="26">
        <f t="shared" ref="S13:AA13" si="56">+R13+500000</f>
        <v>4000000</v>
      </c>
      <c r="T13" s="26">
        <f t="shared" si="56"/>
        <v>4500000</v>
      </c>
      <c r="U13" s="26">
        <f t="shared" si="56"/>
        <v>5000000</v>
      </c>
      <c r="V13" s="26">
        <v>0</v>
      </c>
      <c r="W13" s="26">
        <f t="shared" si="56"/>
        <v>500000</v>
      </c>
      <c r="X13" s="26">
        <f t="shared" si="56"/>
        <v>1000000</v>
      </c>
      <c r="Y13" s="26">
        <f t="shared" si="56"/>
        <v>1500000</v>
      </c>
      <c r="Z13" s="26">
        <f t="shared" si="56"/>
        <v>2000000</v>
      </c>
      <c r="AA13" s="26">
        <f t="shared" si="56"/>
        <v>2500000</v>
      </c>
      <c r="AB13" s="26">
        <v>3000000</v>
      </c>
      <c r="AC13" s="26">
        <v>200000</v>
      </c>
      <c r="AD13" s="26">
        <f>+AC13+10000</f>
        <v>210000</v>
      </c>
      <c r="AE13" s="26">
        <f t="shared" ref="AE13:AM13" si="57">+AD13+10000</f>
        <v>220000</v>
      </c>
      <c r="AF13" s="26">
        <f t="shared" si="57"/>
        <v>230000</v>
      </c>
      <c r="AG13" s="26">
        <f t="shared" si="57"/>
        <v>240000</v>
      </c>
      <c r="AH13" s="26">
        <f t="shared" si="57"/>
        <v>250000</v>
      </c>
      <c r="AI13" s="26">
        <f t="shared" si="57"/>
        <v>260000</v>
      </c>
      <c r="AJ13" s="26">
        <f>+AI13+10000-200000</f>
        <v>70000</v>
      </c>
      <c r="AK13" s="26">
        <f t="shared" si="57"/>
        <v>80000</v>
      </c>
      <c r="AL13" s="26">
        <f t="shared" si="57"/>
        <v>90000</v>
      </c>
      <c r="AM13" s="26">
        <f t="shared" si="57"/>
        <v>100000</v>
      </c>
      <c r="AN13" s="26">
        <v>110000</v>
      </c>
      <c r="AO13" s="26">
        <f t="shared" si="23"/>
        <v>5763000</v>
      </c>
      <c r="AP13" s="27">
        <f t="shared" si="24"/>
        <v>16000</v>
      </c>
      <c r="AQ13" s="27">
        <f t="shared" si="25"/>
        <v>18550</v>
      </c>
      <c r="AR13" s="27">
        <f t="shared" si="26"/>
        <v>21100</v>
      </c>
      <c r="AS13" s="27">
        <f t="shared" si="27"/>
        <v>23650</v>
      </c>
      <c r="AT13" s="27">
        <f t="shared" si="28"/>
        <v>26200</v>
      </c>
      <c r="AU13" s="27">
        <f t="shared" si="29"/>
        <v>1250</v>
      </c>
      <c r="AV13" s="27">
        <f t="shared" si="30"/>
        <v>3800</v>
      </c>
      <c r="AW13" s="27">
        <f t="shared" si="31"/>
        <v>5350</v>
      </c>
      <c r="AX13" s="27">
        <f t="shared" si="32"/>
        <v>7900</v>
      </c>
      <c r="AY13" s="27">
        <f t="shared" si="33"/>
        <v>10450</v>
      </c>
      <c r="AZ13" s="27">
        <f t="shared" si="34"/>
        <v>13000</v>
      </c>
      <c r="BA13" s="27">
        <f t="shared" si="35"/>
        <v>15550</v>
      </c>
      <c r="BB13" s="27">
        <v>2425000</v>
      </c>
      <c r="BC13" s="26">
        <v>15830000</v>
      </c>
      <c r="BD13" s="27">
        <f t="shared" si="36"/>
        <v>162800</v>
      </c>
      <c r="BE13" s="28">
        <f t="shared" si="4"/>
        <v>9531.8899361370932</v>
      </c>
      <c r="BF13" s="28">
        <f t="shared" si="5"/>
        <v>9517.6945810495617</v>
      </c>
      <c r="BG13" s="28">
        <f t="shared" si="6"/>
        <v>32406.241653393099</v>
      </c>
      <c r="BH13" s="28">
        <f t="shared" si="7"/>
        <v>55905.020103391507</v>
      </c>
      <c r="BI13" s="28">
        <f t="shared" si="8"/>
        <v>45971.066392901674</v>
      </c>
      <c r="BJ13" s="28">
        <f t="shared" si="9"/>
        <v>16261.485072606827</v>
      </c>
      <c r="BK13" s="28">
        <f t="shared" si="10"/>
        <v>13689.737055772834</v>
      </c>
      <c r="BL13" s="28">
        <f t="shared" si="11"/>
        <v>26765.60160122432</v>
      </c>
      <c r="BM13" s="28">
        <f t="shared" si="12"/>
        <v>31510.324754296551</v>
      </c>
      <c r="BN13" s="28">
        <f t="shared" si="13"/>
        <v>29954.032471751918</v>
      </c>
      <c r="BO13" s="28">
        <f t="shared" si="14"/>
        <v>24263.709420248659</v>
      </c>
      <c r="BP13" s="28">
        <f t="shared" si="15"/>
        <v>23509.353354077368</v>
      </c>
      <c r="BQ13" s="29">
        <f t="shared" si="37"/>
        <v>319286.15639685141</v>
      </c>
      <c r="BR13" s="26">
        <f t="shared" si="16"/>
        <v>529590.8368491641</v>
      </c>
      <c r="BS13" s="26">
        <f t="shared" si="38"/>
        <v>848876.99324601551</v>
      </c>
      <c r="BT13" s="26">
        <f t="shared" si="17"/>
        <v>1011676.9932460155</v>
      </c>
      <c r="BU13" s="111">
        <f t="shared" si="44"/>
        <v>5663000</v>
      </c>
      <c r="BV13" s="110">
        <v>6</v>
      </c>
      <c r="BW13" s="115" t="s">
        <v>667</v>
      </c>
      <c r="BX13" s="110" t="s">
        <v>676</v>
      </c>
    </row>
    <row r="14" spans="1:76" s="110" customFormat="1" ht="13.5" customHeight="1" x14ac:dyDescent="0.2">
      <c r="A14" s="24">
        <v>7</v>
      </c>
      <c r="B14" s="24">
        <v>18</v>
      </c>
      <c r="C14" s="25" t="s">
        <v>14</v>
      </c>
      <c r="D14" s="26">
        <v>100000</v>
      </c>
      <c r="E14" s="26">
        <f t="shared" ref="E14:G14" si="58">+F14-25000</f>
        <v>2078000</v>
      </c>
      <c r="F14" s="26">
        <f t="shared" si="58"/>
        <v>2103000</v>
      </c>
      <c r="G14" s="26">
        <f t="shared" si="58"/>
        <v>2128000</v>
      </c>
      <c r="H14" s="26">
        <f t="shared" ref="H14:O14" si="59">+I14-50000</f>
        <v>2153000</v>
      </c>
      <c r="I14" s="26">
        <f t="shared" si="59"/>
        <v>2203000</v>
      </c>
      <c r="J14" s="26">
        <f t="shared" si="59"/>
        <v>2253000</v>
      </c>
      <c r="K14" s="26">
        <f t="shared" si="59"/>
        <v>2303000</v>
      </c>
      <c r="L14" s="26">
        <f t="shared" si="59"/>
        <v>2353000</v>
      </c>
      <c r="M14" s="26">
        <f t="shared" si="59"/>
        <v>2403000</v>
      </c>
      <c r="N14" s="26">
        <f t="shared" si="59"/>
        <v>2453000</v>
      </c>
      <c r="O14" s="26">
        <f t="shared" si="59"/>
        <v>2503000</v>
      </c>
      <c r="P14" s="26">
        <v>2553000</v>
      </c>
      <c r="Q14" s="26">
        <v>1800000</v>
      </c>
      <c r="R14" s="26">
        <f>+Q14+300000</f>
        <v>2100000</v>
      </c>
      <c r="S14" s="26">
        <f t="shared" ref="S14:AA14" si="60">+R14+300000</f>
        <v>2400000</v>
      </c>
      <c r="T14" s="26">
        <f t="shared" si="60"/>
        <v>2700000</v>
      </c>
      <c r="U14" s="26">
        <f t="shared" si="60"/>
        <v>3000000</v>
      </c>
      <c r="V14" s="26">
        <v>0</v>
      </c>
      <c r="W14" s="26">
        <f t="shared" si="60"/>
        <v>300000</v>
      </c>
      <c r="X14" s="26">
        <f t="shared" si="60"/>
        <v>600000</v>
      </c>
      <c r="Y14" s="26">
        <f t="shared" si="60"/>
        <v>900000</v>
      </c>
      <c r="Z14" s="26">
        <f t="shared" si="60"/>
        <v>1200000</v>
      </c>
      <c r="AA14" s="26">
        <f t="shared" si="60"/>
        <v>1500000</v>
      </c>
      <c r="AB14" s="26">
        <v>1800000</v>
      </c>
      <c r="AC14" s="26">
        <v>961000</v>
      </c>
      <c r="AD14" s="26">
        <f>+AC14+20000+9900000</f>
        <v>10881000</v>
      </c>
      <c r="AE14" s="26">
        <f>+AD14+20000+2000000</f>
        <v>12901000</v>
      </c>
      <c r="AF14" s="26">
        <f>+AE14+20000-1000000</f>
        <v>11921000</v>
      </c>
      <c r="AG14" s="26">
        <f>+AF14+20000-11000000</f>
        <v>941000</v>
      </c>
      <c r="AH14" s="26">
        <f t="shared" ref="AH14:AM14" si="61">+AG14+20000</f>
        <v>961000</v>
      </c>
      <c r="AI14" s="26">
        <f t="shared" si="61"/>
        <v>981000</v>
      </c>
      <c r="AJ14" s="26">
        <f t="shared" si="61"/>
        <v>1001000</v>
      </c>
      <c r="AK14" s="26">
        <f t="shared" si="61"/>
        <v>1021000</v>
      </c>
      <c r="AL14" s="26">
        <f t="shared" si="61"/>
        <v>1041000</v>
      </c>
      <c r="AM14" s="26">
        <f t="shared" si="61"/>
        <v>1061000</v>
      </c>
      <c r="AN14" s="26">
        <v>1081000</v>
      </c>
      <c r="AO14" s="26">
        <f t="shared" si="23"/>
        <v>5534000</v>
      </c>
      <c r="AP14" s="27">
        <f t="shared" si="24"/>
        <v>13805</v>
      </c>
      <c r="AQ14" s="27">
        <f t="shared" si="25"/>
        <v>64905</v>
      </c>
      <c r="AR14" s="27">
        <f t="shared" si="26"/>
        <v>76505</v>
      </c>
      <c r="AS14" s="27">
        <f t="shared" si="27"/>
        <v>73105</v>
      </c>
      <c r="AT14" s="27">
        <f t="shared" si="28"/>
        <v>19705</v>
      </c>
      <c r="AU14" s="27">
        <f t="shared" si="29"/>
        <v>4805</v>
      </c>
      <c r="AV14" s="27">
        <f t="shared" si="30"/>
        <v>6405</v>
      </c>
      <c r="AW14" s="27">
        <f t="shared" si="31"/>
        <v>8005</v>
      </c>
      <c r="AX14" s="27">
        <f t="shared" si="32"/>
        <v>9605</v>
      </c>
      <c r="AY14" s="27">
        <f t="shared" si="33"/>
        <v>11205</v>
      </c>
      <c r="AZ14" s="27">
        <f t="shared" si="34"/>
        <v>12805</v>
      </c>
      <c r="BA14" s="27">
        <f t="shared" si="35"/>
        <v>14405</v>
      </c>
      <c r="BB14" s="27">
        <v>2100000</v>
      </c>
      <c r="BC14" s="26">
        <v>18000000</v>
      </c>
      <c r="BD14" s="27">
        <f t="shared" si="36"/>
        <v>315260</v>
      </c>
      <c r="BE14" s="28">
        <f t="shared" si="4"/>
        <v>8753.8126430980101</v>
      </c>
      <c r="BF14" s="28">
        <f t="shared" si="5"/>
        <v>24440.499664917392</v>
      </c>
      <c r="BG14" s="28">
        <f t="shared" si="6"/>
        <v>88096.930822321287</v>
      </c>
      <c r="BH14" s="28">
        <f t="shared" si="7"/>
        <v>135091.12261558475</v>
      </c>
      <c r="BI14" s="28">
        <f t="shared" si="8"/>
        <v>38054.267341545543</v>
      </c>
      <c r="BJ14" s="28">
        <f t="shared" si="9"/>
        <v>20703.250684064165</v>
      </c>
      <c r="BK14" s="28">
        <f t="shared" si="10"/>
        <v>15944.670032711703</v>
      </c>
      <c r="BL14" s="28">
        <f t="shared" si="11"/>
        <v>30799.815183469596</v>
      </c>
      <c r="BM14" s="28">
        <f t="shared" si="12"/>
        <v>34141.973233653669</v>
      </c>
      <c r="BN14" s="28">
        <f t="shared" si="13"/>
        <v>30928.199799607733</v>
      </c>
      <c r="BO14" s="28">
        <f t="shared" si="14"/>
        <v>24081.836526266401</v>
      </c>
      <c r="BP14" s="28">
        <f t="shared" si="15"/>
        <v>22575.179847555813</v>
      </c>
      <c r="BQ14" s="29">
        <f t="shared" si="37"/>
        <v>473611.5583947961</v>
      </c>
      <c r="BR14" s="26">
        <f t="shared" si="16"/>
        <v>458614.74531267816</v>
      </c>
      <c r="BS14" s="26">
        <f t="shared" si="38"/>
        <v>932226.30370747426</v>
      </c>
      <c r="BT14" s="26">
        <f t="shared" si="17"/>
        <v>1247486.3037074744</v>
      </c>
      <c r="BU14" s="111">
        <f t="shared" si="44"/>
        <v>5434000</v>
      </c>
      <c r="BV14" s="110">
        <v>7</v>
      </c>
      <c r="BW14" s="115" t="s">
        <v>667</v>
      </c>
      <c r="BX14" s="110" t="s">
        <v>676</v>
      </c>
    </row>
    <row r="15" spans="1:76" s="110" customFormat="1" ht="13.5" customHeight="1" x14ac:dyDescent="0.2">
      <c r="A15" s="24">
        <v>8</v>
      </c>
      <c r="B15" s="24">
        <v>19</v>
      </c>
      <c r="C15" s="25" t="s">
        <v>15</v>
      </c>
      <c r="D15" s="26">
        <v>100000</v>
      </c>
      <c r="E15" s="26">
        <f t="shared" ref="E15:G15" si="62">+F15-25000</f>
        <v>2078000</v>
      </c>
      <c r="F15" s="26">
        <f t="shared" si="62"/>
        <v>2103000</v>
      </c>
      <c r="G15" s="26">
        <f t="shared" si="62"/>
        <v>2128000</v>
      </c>
      <c r="H15" s="26">
        <f t="shared" ref="H15:O15" si="63">+I15-50000</f>
        <v>2153000</v>
      </c>
      <c r="I15" s="26">
        <f t="shared" si="63"/>
        <v>2203000</v>
      </c>
      <c r="J15" s="26">
        <f t="shared" si="63"/>
        <v>2253000</v>
      </c>
      <c r="K15" s="26">
        <f t="shared" si="63"/>
        <v>2303000</v>
      </c>
      <c r="L15" s="26">
        <f t="shared" si="63"/>
        <v>2353000</v>
      </c>
      <c r="M15" s="26">
        <f t="shared" si="63"/>
        <v>2403000</v>
      </c>
      <c r="N15" s="26">
        <f t="shared" si="63"/>
        <v>2453000</v>
      </c>
      <c r="O15" s="26">
        <f t="shared" si="63"/>
        <v>2503000</v>
      </c>
      <c r="P15" s="26">
        <v>2553000</v>
      </c>
      <c r="Q15" s="26">
        <v>300000</v>
      </c>
      <c r="R15" s="26">
        <f>+Q15+50000</f>
        <v>350000</v>
      </c>
      <c r="S15" s="26">
        <f t="shared" ref="S15:AA15" si="64">+R15+50000</f>
        <v>400000</v>
      </c>
      <c r="T15" s="26">
        <f t="shared" si="64"/>
        <v>450000</v>
      </c>
      <c r="U15" s="26">
        <f t="shared" si="64"/>
        <v>500000</v>
      </c>
      <c r="V15" s="26">
        <v>0</v>
      </c>
      <c r="W15" s="26">
        <f t="shared" si="64"/>
        <v>50000</v>
      </c>
      <c r="X15" s="26">
        <f t="shared" si="64"/>
        <v>100000</v>
      </c>
      <c r="Y15" s="26">
        <f t="shared" si="64"/>
        <v>150000</v>
      </c>
      <c r="Z15" s="26">
        <f t="shared" si="64"/>
        <v>200000</v>
      </c>
      <c r="AA15" s="26">
        <f t="shared" si="64"/>
        <v>250000</v>
      </c>
      <c r="AB15" s="26">
        <v>300000</v>
      </c>
      <c r="AC15" s="26">
        <v>478000</v>
      </c>
      <c r="AD15" s="26">
        <f>+AC15+3000</f>
        <v>481000</v>
      </c>
      <c r="AE15" s="26">
        <f t="shared" ref="AE15:AM15" si="65">+AD15+3000</f>
        <v>484000</v>
      </c>
      <c r="AF15" s="26">
        <f t="shared" si="65"/>
        <v>487000</v>
      </c>
      <c r="AG15" s="26">
        <f t="shared" si="65"/>
        <v>490000</v>
      </c>
      <c r="AH15" s="26">
        <f t="shared" si="65"/>
        <v>493000</v>
      </c>
      <c r="AI15" s="26">
        <f t="shared" si="65"/>
        <v>496000</v>
      </c>
      <c r="AJ15" s="26">
        <f t="shared" si="65"/>
        <v>499000</v>
      </c>
      <c r="AK15" s="26">
        <f t="shared" si="65"/>
        <v>502000</v>
      </c>
      <c r="AL15" s="26">
        <f t="shared" si="65"/>
        <v>505000</v>
      </c>
      <c r="AM15" s="26">
        <f t="shared" si="65"/>
        <v>508000</v>
      </c>
      <c r="AN15" s="26">
        <v>511000</v>
      </c>
      <c r="AO15" s="26">
        <f t="shared" si="23"/>
        <v>3464000</v>
      </c>
      <c r="AP15" s="27">
        <f t="shared" si="24"/>
        <v>3890</v>
      </c>
      <c r="AQ15" s="27">
        <f t="shared" si="25"/>
        <v>4155</v>
      </c>
      <c r="AR15" s="27">
        <f t="shared" si="26"/>
        <v>4420</v>
      </c>
      <c r="AS15" s="27">
        <f t="shared" si="27"/>
        <v>4685</v>
      </c>
      <c r="AT15" s="27">
        <f t="shared" si="28"/>
        <v>4950</v>
      </c>
      <c r="AU15" s="27">
        <f t="shared" si="29"/>
        <v>2465</v>
      </c>
      <c r="AV15" s="27">
        <f t="shared" si="30"/>
        <v>2730</v>
      </c>
      <c r="AW15" s="27">
        <f t="shared" si="31"/>
        <v>2995</v>
      </c>
      <c r="AX15" s="27">
        <f t="shared" si="32"/>
        <v>3260</v>
      </c>
      <c r="AY15" s="27">
        <f t="shared" si="33"/>
        <v>3525</v>
      </c>
      <c r="AZ15" s="27">
        <f t="shared" si="34"/>
        <v>3790</v>
      </c>
      <c r="BA15" s="27">
        <f t="shared" si="35"/>
        <v>4055</v>
      </c>
      <c r="BB15" s="27">
        <v>450000</v>
      </c>
      <c r="BC15" s="26">
        <v>0</v>
      </c>
      <c r="BD15" s="27">
        <f t="shared" si="36"/>
        <v>44920</v>
      </c>
      <c r="BE15" s="28">
        <f t="shared" si="4"/>
        <v>5239.1719321720429</v>
      </c>
      <c r="BF15" s="28">
        <f t="shared" si="5"/>
        <v>4883.5929915278821</v>
      </c>
      <c r="BG15" s="28">
        <f t="shared" si="6"/>
        <v>15640.233254553244</v>
      </c>
      <c r="BH15" s="28">
        <f t="shared" si="7"/>
        <v>25538.738956010155</v>
      </c>
      <c r="BI15" s="28">
        <f t="shared" si="8"/>
        <v>20069.298903861225</v>
      </c>
      <c r="BJ15" s="28">
        <f t="shared" si="9"/>
        <v>17779.5568638644</v>
      </c>
      <c r="BK15" s="28">
        <f t="shared" si="10"/>
        <v>12763.526581559938</v>
      </c>
      <c r="BL15" s="28">
        <f t="shared" si="11"/>
        <v>23187.231361605627</v>
      </c>
      <c r="BM15" s="28">
        <f t="shared" si="12"/>
        <v>24348.536517219109</v>
      </c>
      <c r="BN15" s="28">
        <f t="shared" si="13"/>
        <v>21018.789100359198</v>
      </c>
      <c r="BO15" s="28">
        <f t="shared" si="14"/>
        <v>15673.71273524039</v>
      </c>
      <c r="BP15" s="28">
        <f t="shared" si="15"/>
        <v>14130.904046247442</v>
      </c>
      <c r="BQ15" s="29">
        <f t="shared" si="37"/>
        <v>200273.29324422067</v>
      </c>
      <c r="BR15" s="26">
        <f t="shared" si="16"/>
        <v>98274.588281288175</v>
      </c>
      <c r="BS15" s="26">
        <f t="shared" si="38"/>
        <v>298547.88152550883</v>
      </c>
      <c r="BT15" s="26">
        <f t="shared" si="17"/>
        <v>343467.88152550883</v>
      </c>
      <c r="BU15" s="111">
        <f t="shared" si="44"/>
        <v>3364000</v>
      </c>
      <c r="BV15" s="110">
        <v>8</v>
      </c>
      <c r="BW15" s="115" t="s">
        <v>667</v>
      </c>
      <c r="BX15" s="110" t="s">
        <v>676</v>
      </c>
    </row>
    <row r="16" spans="1:76" s="110" customFormat="1" ht="13.5" customHeight="1" x14ac:dyDescent="0.2">
      <c r="A16" s="24">
        <v>9</v>
      </c>
      <c r="B16" s="24">
        <v>21</v>
      </c>
      <c r="C16" s="25" t="s">
        <v>16</v>
      </c>
      <c r="D16" s="26">
        <v>100000</v>
      </c>
      <c r="E16" s="26">
        <f t="shared" ref="E16:G16" si="66">+F16-25000</f>
        <v>2078000</v>
      </c>
      <c r="F16" s="26">
        <f t="shared" si="66"/>
        <v>2103000</v>
      </c>
      <c r="G16" s="26">
        <f t="shared" si="66"/>
        <v>2128000</v>
      </c>
      <c r="H16" s="26">
        <f t="shared" ref="H16:O16" si="67">+I16-50000</f>
        <v>2153000</v>
      </c>
      <c r="I16" s="26">
        <f t="shared" si="67"/>
        <v>2203000</v>
      </c>
      <c r="J16" s="26">
        <f t="shared" si="67"/>
        <v>2253000</v>
      </c>
      <c r="K16" s="26">
        <f t="shared" si="67"/>
        <v>2303000</v>
      </c>
      <c r="L16" s="26">
        <f t="shared" si="67"/>
        <v>2353000</v>
      </c>
      <c r="M16" s="26">
        <f t="shared" si="67"/>
        <v>2403000</v>
      </c>
      <c r="N16" s="26">
        <f t="shared" si="67"/>
        <v>2453000</v>
      </c>
      <c r="O16" s="26">
        <f t="shared" si="67"/>
        <v>2503000</v>
      </c>
      <c r="P16" s="26">
        <v>2553000</v>
      </c>
      <c r="Q16" s="26">
        <v>2700000</v>
      </c>
      <c r="R16" s="26">
        <f>+Q16+400000</f>
        <v>3100000</v>
      </c>
      <c r="S16" s="26">
        <f t="shared" ref="S16:AA16" si="68">+R16+400000</f>
        <v>3500000</v>
      </c>
      <c r="T16" s="26">
        <f t="shared" si="68"/>
        <v>3900000</v>
      </c>
      <c r="U16" s="26">
        <f t="shared" si="68"/>
        <v>4300000</v>
      </c>
      <c r="V16" s="26">
        <v>0</v>
      </c>
      <c r="W16" s="26">
        <f t="shared" si="68"/>
        <v>400000</v>
      </c>
      <c r="X16" s="26">
        <f t="shared" si="68"/>
        <v>800000</v>
      </c>
      <c r="Y16" s="26">
        <f t="shared" si="68"/>
        <v>1200000</v>
      </c>
      <c r="Z16" s="26">
        <f t="shared" si="68"/>
        <v>1600000</v>
      </c>
      <c r="AA16" s="26">
        <f t="shared" si="68"/>
        <v>2000000</v>
      </c>
      <c r="AB16" s="26">
        <v>3000000</v>
      </c>
      <c r="AC16" s="26">
        <v>265000</v>
      </c>
      <c r="AD16" s="26">
        <f>+AC16+75000-200000</f>
        <v>140000</v>
      </c>
      <c r="AE16" s="26">
        <f t="shared" ref="AE16:AM16" si="69">+AD16+75000</f>
        <v>215000</v>
      </c>
      <c r="AF16" s="26">
        <f>+AE16+75000-200000</f>
        <v>90000</v>
      </c>
      <c r="AG16" s="26">
        <f t="shared" si="69"/>
        <v>165000</v>
      </c>
      <c r="AH16" s="26">
        <f>+AG16+75000-200000</f>
        <v>40000</v>
      </c>
      <c r="AI16" s="26">
        <f t="shared" si="69"/>
        <v>115000</v>
      </c>
      <c r="AJ16" s="26">
        <f t="shared" si="69"/>
        <v>190000</v>
      </c>
      <c r="AK16" s="26">
        <f>+AJ16+75000-150000</f>
        <v>115000</v>
      </c>
      <c r="AL16" s="26">
        <f t="shared" si="69"/>
        <v>190000</v>
      </c>
      <c r="AM16" s="26">
        <f t="shared" si="69"/>
        <v>265000</v>
      </c>
      <c r="AN16" s="26">
        <v>40000</v>
      </c>
      <c r="AO16" s="26">
        <f t="shared" si="23"/>
        <v>5693000</v>
      </c>
      <c r="AP16" s="27">
        <f t="shared" si="24"/>
        <v>14825</v>
      </c>
      <c r="AQ16" s="27">
        <f t="shared" si="25"/>
        <v>16200</v>
      </c>
      <c r="AR16" s="27">
        <f t="shared" si="26"/>
        <v>18575</v>
      </c>
      <c r="AS16" s="27">
        <f t="shared" si="27"/>
        <v>19950</v>
      </c>
      <c r="AT16" s="27">
        <f t="shared" si="28"/>
        <v>22325</v>
      </c>
      <c r="AU16" s="27">
        <f t="shared" si="29"/>
        <v>200</v>
      </c>
      <c r="AV16" s="27">
        <f t="shared" si="30"/>
        <v>2575</v>
      </c>
      <c r="AW16" s="27">
        <f t="shared" si="31"/>
        <v>4950</v>
      </c>
      <c r="AX16" s="27">
        <f t="shared" si="32"/>
        <v>6575</v>
      </c>
      <c r="AY16" s="27">
        <f t="shared" si="33"/>
        <v>8950</v>
      </c>
      <c r="AZ16" s="27">
        <f t="shared" si="34"/>
        <v>11325</v>
      </c>
      <c r="BA16" s="27">
        <f t="shared" si="35"/>
        <v>15200</v>
      </c>
      <c r="BB16" s="27">
        <v>3015000</v>
      </c>
      <c r="BC16" s="26">
        <f>4158000+900000</f>
        <v>5058000</v>
      </c>
      <c r="BD16" s="27">
        <f t="shared" si="36"/>
        <v>141650</v>
      </c>
      <c r="BE16" s="28">
        <f t="shared" si="4"/>
        <v>9115.3793123006817</v>
      </c>
      <c r="BF16" s="28">
        <f t="shared" si="5"/>
        <v>8761.1722652888147</v>
      </c>
      <c r="BG16" s="28">
        <f t="shared" si="6"/>
        <v>29868.22179685409</v>
      </c>
      <c r="BH16" s="28">
        <f t="shared" si="7"/>
        <v>49980.673135539619</v>
      </c>
      <c r="BI16" s="28">
        <f t="shared" si="8"/>
        <v>41247.802909606064</v>
      </c>
      <c r="BJ16" s="28">
        <f t="shared" si="9"/>
        <v>14949.571178927445</v>
      </c>
      <c r="BK16" s="28">
        <f t="shared" si="10"/>
        <v>12629.355905388911</v>
      </c>
      <c r="BL16" s="28">
        <f t="shared" si="11"/>
        <v>26157.810477722207</v>
      </c>
      <c r="BM16" s="28">
        <f t="shared" si="12"/>
        <v>29465.202035734565</v>
      </c>
      <c r="BN16" s="28">
        <f t="shared" si="13"/>
        <v>28018.600694554938</v>
      </c>
      <c r="BO16" s="28">
        <f t="shared" si="14"/>
        <v>22701.467895016427</v>
      </c>
      <c r="BP16" s="28">
        <f t="shared" si="15"/>
        <v>23223.798133743268</v>
      </c>
      <c r="BQ16" s="29">
        <f t="shared" si="37"/>
        <v>296119.05574067705</v>
      </c>
      <c r="BR16" s="26">
        <f t="shared" si="16"/>
        <v>658439.74148463074</v>
      </c>
      <c r="BS16" s="26">
        <f t="shared" si="38"/>
        <v>954558.79722530779</v>
      </c>
      <c r="BT16" s="26">
        <f t="shared" si="17"/>
        <v>1096208.7972253077</v>
      </c>
      <c r="BU16" s="111">
        <f t="shared" si="44"/>
        <v>5593000</v>
      </c>
      <c r="BV16" s="110">
        <v>9</v>
      </c>
      <c r="BW16" s="115" t="s">
        <v>667</v>
      </c>
      <c r="BX16" s="110" t="s">
        <v>676</v>
      </c>
    </row>
    <row r="17" spans="1:76" s="110" customFormat="1" ht="13.5" customHeight="1" x14ac:dyDescent="0.2">
      <c r="A17" s="24">
        <v>10</v>
      </c>
      <c r="B17" s="24">
        <v>22</v>
      </c>
      <c r="C17" s="25" t="s">
        <v>17</v>
      </c>
      <c r="D17" s="26">
        <v>100000</v>
      </c>
      <c r="E17" s="26">
        <f t="shared" ref="E17:G17" si="70">+F17-25000</f>
        <v>2078000</v>
      </c>
      <c r="F17" s="26">
        <f t="shared" si="70"/>
        <v>2103000</v>
      </c>
      <c r="G17" s="26">
        <f t="shared" si="70"/>
        <v>2128000</v>
      </c>
      <c r="H17" s="26">
        <f t="shared" ref="H17:O17" si="71">+I17-50000</f>
        <v>2153000</v>
      </c>
      <c r="I17" s="26">
        <f t="shared" si="71"/>
        <v>2203000</v>
      </c>
      <c r="J17" s="26">
        <f t="shared" si="71"/>
        <v>2253000</v>
      </c>
      <c r="K17" s="26">
        <f t="shared" si="71"/>
        <v>2303000</v>
      </c>
      <c r="L17" s="26">
        <f t="shared" si="71"/>
        <v>2353000</v>
      </c>
      <c r="M17" s="26">
        <f t="shared" si="71"/>
        <v>2403000</v>
      </c>
      <c r="N17" s="26">
        <f t="shared" si="71"/>
        <v>2453000</v>
      </c>
      <c r="O17" s="26">
        <f t="shared" si="71"/>
        <v>2503000</v>
      </c>
      <c r="P17" s="26">
        <v>2553000</v>
      </c>
      <c r="Q17" s="26">
        <v>1500000</v>
      </c>
      <c r="R17" s="26">
        <f>+Q17+250000</f>
        <v>1750000</v>
      </c>
      <c r="S17" s="26">
        <f t="shared" ref="S17:AA17" si="72">+R17+250000</f>
        <v>2000000</v>
      </c>
      <c r="T17" s="26">
        <f t="shared" si="72"/>
        <v>2250000</v>
      </c>
      <c r="U17" s="26">
        <f t="shared" si="72"/>
        <v>2500000</v>
      </c>
      <c r="V17" s="26">
        <v>0</v>
      </c>
      <c r="W17" s="26">
        <f t="shared" si="72"/>
        <v>250000</v>
      </c>
      <c r="X17" s="26">
        <f t="shared" si="72"/>
        <v>500000</v>
      </c>
      <c r="Y17" s="26">
        <f t="shared" si="72"/>
        <v>750000</v>
      </c>
      <c r="Z17" s="26">
        <f>+Y17+250000+100000</f>
        <v>1100000</v>
      </c>
      <c r="AA17" s="26">
        <f t="shared" si="72"/>
        <v>1350000</v>
      </c>
      <c r="AB17" s="26">
        <v>1500000</v>
      </c>
      <c r="AC17" s="26">
        <v>51000</v>
      </c>
      <c r="AD17" s="26">
        <f>+AC17+30000</f>
        <v>81000</v>
      </c>
      <c r="AE17" s="26">
        <f t="shared" ref="AE17:AM17" si="73">+AD17+30000</f>
        <v>111000</v>
      </c>
      <c r="AF17" s="26">
        <f>+AE17+30000-100000</f>
        <v>41000</v>
      </c>
      <c r="AG17" s="26">
        <f t="shared" si="73"/>
        <v>71000</v>
      </c>
      <c r="AH17" s="26">
        <f t="shared" si="73"/>
        <v>101000</v>
      </c>
      <c r="AI17" s="26">
        <f t="shared" si="73"/>
        <v>131000</v>
      </c>
      <c r="AJ17" s="26">
        <f t="shared" si="73"/>
        <v>161000</v>
      </c>
      <c r="AK17" s="26">
        <f t="shared" si="73"/>
        <v>191000</v>
      </c>
      <c r="AL17" s="26">
        <f>+AK17+30000-200000</f>
        <v>21000</v>
      </c>
      <c r="AM17" s="26">
        <f t="shared" si="73"/>
        <v>51000</v>
      </c>
      <c r="AN17" s="26">
        <v>81000</v>
      </c>
      <c r="AO17" s="26">
        <f t="shared" si="23"/>
        <v>4234000</v>
      </c>
      <c r="AP17" s="27">
        <f t="shared" si="24"/>
        <v>7755</v>
      </c>
      <c r="AQ17" s="27">
        <f t="shared" si="25"/>
        <v>9155</v>
      </c>
      <c r="AR17" s="27">
        <f t="shared" si="26"/>
        <v>10555</v>
      </c>
      <c r="AS17" s="27">
        <f t="shared" si="27"/>
        <v>11455</v>
      </c>
      <c r="AT17" s="27">
        <f t="shared" si="28"/>
        <v>12855</v>
      </c>
      <c r="AU17" s="27">
        <f t="shared" si="29"/>
        <v>505</v>
      </c>
      <c r="AV17" s="27">
        <f t="shared" si="30"/>
        <v>1905</v>
      </c>
      <c r="AW17" s="27">
        <f t="shared" si="31"/>
        <v>3305</v>
      </c>
      <c r="AX17" s="27">
        <f t="shared" si="32"/>
        <v>4705</v>
      </c>
      <c r="AY17" s="27">
        <f t="shared" si="33"/>
        <v>5605</v>
      </c>
      <c r="AZ17" s="27">
        <f t="shared" si="34"/>
        <v>7005</v>
      </c>
      <c r="BA17" s="27">
        <f t="shared" si="35"/>
        <v>7905</v>
      </c>
      <c r="BB17" s="27">
        <v>3150000</v>
      </c>
      <c r="BC17" s="26">
        <v>12494000</v>
      </c>
      <c r="BD17" s="27">
        <f t="shared" si="36"/>
        <v>82710</v>
      </c>
      <c r="BE17" s="28">
        <f t="shared" si="4"/>
        <v>6609.2260267488318</v>
      </c>
      <c r="BF17" s="28">
        <f t="shared" si="5"/>
        <v>6493.2149399550026</v>
      </c>
      <c r="BG17" s="28">
        <f t="shared" si="6"/>
        <v>21806.86763865891</v>
      </c>
      <c r="BH17" s="28">
        <f t="shared" si="7"/>
        <v>36378.692732322925</v>
      </c>
      <c r="BI17" s="28">
        <f t="shared" si="8"/>
        <v>29704.75640978427</v>
      </c>
      <c r="BJ17" s="28">
        <f t="shared" si="9"/>
        <v>15330.650928996218</v>
      </c>
      <c r="BK17" s="28">
        <f t="shared" si="10"/>
        <v>12049.392337423827</v>
      </c>
      <c r="BL17" s="28">
        <f t="shared" si="11"/>
        <v>23658.269482319763</v>
      </c>
      <c r="BM17" s="28">
        <f t="shared" si="12"/>
        <v>26578.877897084818</v>
      </c>
      <c r="BN17" s="28">
        <f t="shared" si="13"/>
        <v>23702.587831405675</v>
      </c>
      <c r="BO17" s="28">
        <f t="shared" si="14"/>
        <v>18672.283782178671</v>
      </c>
      <c r="BP17" s="28">
        <f t="shared" si="15"/>
        <v>17272.011469922538</v>
      </c>
      <c r="BQ17" s="29">
        <f t="shared" si="37"/>
        <v>238256.83147680142</v>
      </c>
      <c r="BR17" s="26">
        <f t="shared" si="16"/>
        <v>687922.11796901724</v>
      </c>
      <c r="BS17" s="26">
        <f t="shared" si="38"/>
        <v>926178.94944581867</v>
      </c>
      <c r="BT17" s="26">
        <f t="shared" si="17"/>
        <v>1008888.9494458187</v>
      </c>
      <c r="BU17" s="111">
        <f t="shared" si="44"/>
        <v>4134000</v>
      </c>
      <c r="BV17" s="110">
        <v>10</v>
      </c>
      <c r="BW17" s="115" t="s">
        <v>667</v>
      </c>
      <c r="BX17" s="110" t="s">
        <v>676</v>
      </c>
    </row>
    <row r="18" spans="1:76" s="124" customFormat="1" ht="13.5" customHeight="1" x14ac:dyDescent="0.2">
      <c r="A18" s="128">
        <v>11</v>
      </c>
      <c r="B18" s="128">
        <v>23</v>
      </c>
      <c r="C18" s="129" t="s">
        <v>18</v>
      </c>
      <c r="D18" s="130">
        <v>100000</v>
      </c>
      <c r="E18" s="130">
        <f t="shared" ref="E18:G18" si="74">+F18-25000</f>
        <v>2078000</v>
      </c>
      <c r="F18" s="130">
        <f t="shared" si="74"/>
        <v>2103000</v>
      </c>
      <c r="G18" s="130">
        <f t="shared" si="74"/>
        <v>2128000</v>
      </c>
      <c r="H18" s="130">
        <f t="shared" ref="H18:O18" si="75">+I18-50000</f>
        <v>2153000</v>
      </c>
      <c r="I18" s="130">
        <f t="shared" si="75"/>
        <v>2203000</v>
      </c>
      <c r="J18" s="130">
        <f t="shared" si="75"/>
        <v>2253000</v>
      </c>
      <c r="K18" s="130">
        <f t="shared" si="75"/>
        <v>2303000</v>
      </c>
      <c r="L18" s="130">
        <f t="shared" si="75"/>
        <v>2353000</v>
      </c>
      <c r="M18" s="130">
        <f t="shared" si="75"/>
        <v>2403000</v>
      </c>
      <c r="N18" s="130">
        <f t="shared" si="75"/>
        <v>2453000</v>
      </c>
      <c r="O18" s="130">
        <f t="shared" si="75"/>
        <v>2503000</v>
      </c>
      <c r="P18" s="130">
        <v>2553000</v>
      </c>
      <c r="Q18" s="130">
        <v>1100000</v>
      </c>
      <c r="R18" s="130">
        <f>+Q18+200000-420000</f>
        <v>880000</v>
      </c>
      <c r="S18" s="130">
        <f>+R18+200000-10000</f>
        <v>1070000</v>
      </c>
      <c r="T18" s="130">
        <f t="shared" ref="T18" si="76">+S18+200000</f>
        <v>1270000</v>
      </c>
      <c r="U18" s="130">
        <f>+T18+200000+430000</f>
        <v>1900000</v>
      </c>
      <c r="V18" s="130">
        <v>0</v>
      </c>
      <c r="W18" s="130">
        <f>+V18+500000+30000</f>
        <v>530000</v>
      </c>
      <c r="X18" s="130">
        <f>+W18+500000-50000</f>
        <v>980000</v>
      </c>
      <c r="Y18" s="130">
        <f>+X18+500000+150000</f>
        <v>1630000</v>
      </c>
      <c r="Z18" s="130">
        <f>+Y18+500000-100000+50000</f>
        <v>2080000</v>
      </c>
      <c r="AA18" s="130">
        <f>+Z18+500000+50000</f>
        <v>2630000</v>
      </c>
      <c r="AB18" s="130">
        <v>3000000</v>
      </c>
      <c r="AC18" s="130">
        <f>1383500+12809500</f>
        <v>14193000</v>
      </c>
      <c r="AD18" s="130">
        <f>+AC18+325000-1200000+50000</f>
        <v>13368000</v>
      </c>
      <c r="AE18" s="130">
        <f>+AD18+325000-150000-50000</f>
        <v>13493000</v>
      </c>
      <c r="AF18" s="130">
        <f>+AE18+200000-500000+18000</f>
        <v>13211000</v>
      </c>
      <c r="AG18" s="130">
        <f>+AF18+200000-700000-7500</f>
        <v>12703500</v>
      </c>
      <c r="AH18" s="130">
        <f>+AG18+200000-115500</f>
        <v>12788000</v>
      </c>
      <c r="AI18" s="130">
        <f>+AH18+200000-12234500</f>
        <v>753500</v>
      </c>
      <c r="AJ18" s="130">
        <f t="shared" ref="AJ18:AM18" si="77">+AI18+200000</f>
        <v>953500</v>
      </c>
      <c r="AK18" s="130">
        <f t="shared" si="77"/>
        <v>1153500</v>
      </c>
      <c r="AL18" s="130">
        <f t="shared" si="77"/>
        <v>1353500</v>
      </c>
      <c r="AM18" s="130">
        <f t="shared" si="77"/>
        <v>1553500</v>
      </c>
      <c r="AN18" s="130">
        <f>1323500-50000</f>
        <v>1273500</v>
      </c>
      <c r="AO18" s="130">
        <f t="shared" si="23"/>
        <v>6926500</v>
      </c>
      <c r="AP18" s="131">
        <f t="shared" si="24"/>
        <v>76465</v>
      </c>
      <c r="AQ18" s="131">
        <f t="shared" si="25"/>
        <v>71240</v>
      </c>
      <c r="AR18" s="131">
        <f t="shared" si="26"/>
        <v>72815</v>
      </c>
      <c r="AS18" s="131">
        <f t="shared" si="27"/>
        <v>72405</v>
      </c>
      <c r="AT18" s="131">
        <f t="shared" si="28"/>
        <v>73017.5</v>
      </c>
      <c r="AU18" s="131">
        <f t="shared" si="29"/>
        <v>63940</v>
      </c>
      <c r="AV18" s="131">
        <f t="shared" si="30"/>
        <v>6417.5</v>
      </c>
      <c r="AW18" s="131">
        <f t="shared" si="31"/>
        <v>9667.5</v>
      </c>
      <c r="AX18" s="131">
        <f t="shared" si="32"/>
        <v>13917.5</v>
      </c>
      <c r="AY18" s="131">
        <f t="shared" si="33"/>
        <v>17167.5</v>
      </c>
      <c r="AZ18" s="131">
        <f t="shared" si="34"/>
        <v>20917.5</v>
      </c>
      <c r="BA18" s="131">
        <f t="shared" si="35"/>
        <v>21367.5</v>
      </c>
      <c r="BB18" s="131">
        <v>1950000</v>
      </c>
      <c r="BC18" s="130">
        <v>13750000</v>
      </c>
      <c r="BD18" s="131">
        <f>SUM(AP18:BA18)+300</f>
        <v>519637.5</v>
      </c>
      <c r="BE18" s="132">
        <f t="shared" si="4"/>
        <v>30965.349400195453</v>
      </c>
      <c r="BF18" s="132">
        <f t="shared" si="5"/>
        <v>26479.890673574555</v>
      </c>
      <c r="BG18" s="132">
        <f t="shared" si="6"/>
        <v>84387.903784448441</v>
      </c>
      <c r="BH18" s="132">
        <f t="shared" si="7"/>
        <v>133970.30021626141</v>
      </c>
      <c r="BI18" s="132">
        <f t="shared" si="8"/>
        <v>103037.2310714029</v>
      </c>
      <c r="BJ18" s="132">
        <f t="shared" si="9"/>
        <v>94588.991734283511</v>
      </c>
      <c r="BK18" s="132">
        <f t="shared" si="10"/>
        <v>15955.490248531947</v>
      </c>
      <c r="BL18" s="132">
        <f t="shared" si="11"/>
        <v>33325.947040525258</v>
      </c>
      <c r="BM18" s="132">
        <f t="shared" si="12"/>
        <v>40798.268874256362</v>
      </c>
      <c r="BN18" s="132">
        <f t="shared" si="13"/>
        <v>38621.541113965723</v>
      </c>
      <c r="BO18" s="132">
        <f t="shared" si="14"/>
        <v>31648.215256682208</v>
      </c>
      <c r="BP18" s="132">
        <f t="shared" si="15"/>
        <v>28255.689052059151</v>
      </c>
      <c r="BQ18" s="133">
        <f t="shared" si="37"/>
        <v>662034.81846618699</v>
      </c>
      <c r="BR18" s="130">
        <f t="shared" si="16"/>
        <v>425856.54921891546</v>
      </c>
      <c r="BS18" s="130">
        <f t="shared" si="38"/>
        <v>1087891.3676851024</v>
      </c>
      <c r="BT18" s="130">
        <f t="shared" si="17"/>
        <v>1607528.8676851024</v>
      </c>
      <c r="BU18" s="134">
        <f t="shared" si="44"/>
        <v>6826500</v>
      </c>
      <c r="BV18" s="135">
        <v>11</v>
      </c>
      <c r="BW18" s="135" t="s">
        <v>667</v>
      </c>
      <c r="BX18" s="135"/>
    </row>
    <row r="19" spans="1:76" s="110" customFormat="1" ht="13.5" customHeight="1" x14ac:dyDescent="0.2">
      <c r="A19" s="24">
        <v>12</v>
      </c>
      <c r="B19" s="24">
        <v>24</v>
      </c>
      <c r="C19" s="25" t="s">
        <v>19</v>
      </c>
      <c r="D19" s="26">
        <v>100000</v>
      </c>
      <c r="E19" s="26">
        <f t="shared" ref="E19:G19" si="78">+F19-25000</f>
        <v>2078000</v>
      </c>
      <c r="F19" s="26">
        <f t="shared" si="78"/>
        <v>2103000</v>
      </c>
      <c r="G19" s="26">
        <f t="shared" si="78"/>
        <v>2128000</v>
      </c>
      <c r="H19" s="26">
        <f t="shared" ref="H19:O19" si="79">+I19-50000</f>
        <v>2153000</v>
      </c>
      <c r="I19" s="26">
        <f t="shared" si="79"/>
        <v>2203000</v>
      </c>
      <c r="J19" s="26">
        <f t="shared" si="79"/>
        <v>2253000</v>
      </c>
      <c r="K19" s="26">
        <f t="shared" si="79"/>
        <v>2303000</v>
      </c>
      <c r="L19" s="26">
        <f t="shared" si="79"/>
        <v>2353000</v>
      </c>
      <c r="M19" s="26">
        <f t="shared" si="79"/>
        <v>2403000</v>
      </c>
      <c r="N19" s="26">
        <f t="shared" si="79"/>
        <v>2453000</v>
      </c>
      <c r="O19" s="26">
        <f t="shared" si="79"/>
        <v>2503000</v>
      </c>
      <c r="P19" s="26">
        <v>2553000</v>
      </c>
      <c r="Q19" s="26">
        <v>1800000</v>
      </c>
      <c r="R19" s="26">
        <f>+Q19+300000</f>
        <v>2100000</v>
      </c>
      <c r="S19" s="26">
        <f t="shared" ref="S19:AA19" si="80">+R19+300000</f>
        <v>2400000</v>
      </c>
      <c r="T19" s="26">
        <f t="shared" si="80"/>
        <v>2700000</v>
      </c>
      <c r="U19" s="26">
        <f t="shared" si="80"/>
        <v>3000000</v>
      </c>
      <c r="V19" s="26">
        <v>0</v>
      </c>
      <c r="W19" s="26">
        <f t="shared" si="80"/>
        <v>300000</v>
      </c>
      <c r="X19" s="26">
        <f t="shared" si="80"/>
        <v>600000</v>
      </c>
      <c r="Y19" s="26">
        <f t="shared" si="80"/>
        <v>900000</v>
      </c>
      <c r="Z19" s="26">
        <f t="shared" si="80"/>
        <v>1200000</v>
      </c>
      <c r="AA19" s="26">
        <f t="shared" si="80"/>
        <v>1500000</v>
      </c>
      <c r="AB19" s="26">
        <v>1800000</v>
      </c>
      <c r="AC19" s="26">
        <v>508000</v>
      </c>
      <c r="AD19" s="26">
        <f>+AC19+23000</f>
        <v>531000</v>
      </c>
      <c r="AE19" s="26">
        <f t="shared" ref="AE19:AM19" si="81">+AD19+23000</f>
        <v>554000</v>
      </c>
      <c r="AF19" s="26">
        <f t="shared" si="81"/>
        <v>577000</v>
      </c>
      <c r="AG19" s="26">
        <f t="shared" si="81"/>
        <v>600000</v>
      </c>
      <c r="AH19" s="26">
        <f t="shared" si="81"/>
        <v>623000</v>
      </c>
      <c r="AI19" s="26">
        <f t="shared" si="81"/>
        <v>646000</v>
      </c>
      <c r="AJ19" s="26">
        <f t="shared" si="81"/>
        <v>669000</v>
      </c>
      <c r="AK19" s="26">
        <f t="shared" si="81"/>
        <v>692000</v>
      </c>
      <c r="AL19" s="26">
        <f t="shared" si="81"/>
        <v>715000</v>
      </c>
      <c r="AM19" s="26">
        <f t="shared" si="81"/>
        <v>738000</v>
      </c>
      <c r="AN19" s="26">
        <v>761000</v>
      </c>
      <c r="AO19" s="26">
        <f t="shared" si="23"/>
        <v>5214000</v>
      </c>
      <c r="AP19" s="27">
        <f t="shared" si="24"/>
        <v>11540</v>
      </c>
      <c r="AQ19" s="27">
        <f t="shared" si="25"/>
        <v>13155</v>
      </c>
      <c r="AR19" s="27">
        <f t="shared" si="26"/>
        <v>14770</v>
      </c>
      <c r="AS19" s="27">
        <f t="shared" si="27"/>
        <v>16385</v>
      </c>
      <c r="AT19" s="27">
        <f t="shared" si="28"/>
        <v>18000</v>
      </c>
      <c r="AU19" s="27">
        <f t="shared" si="29"/>
        <v>3115</v>
      </c>
      <c r="AV19" s="27">
        <f t="shared" si="30"/>
        <v>4730</v>
      </c>
      <c r="AW19" s="27">
        <f t="shared" si="31"/>
        <v>6345</v>
      </c>
      <c r="AX19" s="27">
        <f t="shared" si="32"/>
        <v>7960</v>
      </c>
      <c r="AY19" s="27">
        <f t="shared" si="33"/>
        <v>9575</v>
      </c>
      <c r="AZ19" s="27">
        <f t="shared" si="34"/>
        <v>11190</v>
      </c>
      <c r="BA19" s="27">
        <f t="shared" si="35"/>
        <v>12805</v>
      </c>
      <c r="BB19" s="27">
        <v>2025000</v>
      </c>
      <c r="BC19" s="26">
        <v>5500000</v>
      </c>
      <c r="BD19" s="27">
        <f t="shared" ref="BD19:BD50" si="82">SUM(AP19:BA19)</f>
        <v>129570</v>
      </c>
      <c r="BE19" s="28">
        <f t="shared" si="4"/>
        <v>7950.9219511920783</v>
      </c>
      <c r="BF19" s="28">
        <f t="shared" si="5"/>
        <v>7780.912498696699</v>
      </c>
      <c r="BG19" s="28">
        <f t="shared" si="6"/>
        <v>26043.601775416104</v>
      </c>
      <c r="BH19" s="28">
        <f t="shared" si="7"/>
        <v>44272.484773271521</v>
      </c>
      <c r="BI19" s="28">
        <f t="shared" si="8"/>
        <v>35976.031408895476</v>
      </c>
      <c r="BJ19" s="28">
        <f t="shared" si="9"/>
        <v>18591.694036142111</v>
      </c>
      <c r="BK19" s="28">
        <f t="shared" si="10"/>
        <v>14494.761112798995</v>
      </c>
      <c r="BL19" s="28">
        <f t="shared" si="11"/>
        <v>28277.482020935826</v>
      </c>
      <c r="BM19" s="28">
        <f t="shared" si="12"/>
        <v>31602.934084948414</v>
      </c>
      <c r="BN19" s="28">
        <f t="shared" si="13"/>
        <v>28825.030601720347</v>
      </c>
      <c r="BO19" s="28">
        <f t="shared" si="14"/>
        <v>22575.555891490247</v>
      </c>
      <c r="BP19" s="28">
        <f t="shared" si="15"/>
        <v>21269.78455459993</v>
      </c>
      <c r="BQ19" s="29">
        <f t="shared" si="37"/>
        <v>287661.19471010775</v>
      </c>
      <c r="BR19" s="26">
        <f t="shared" si="16"/>
        <v>442235.64726579678</v>
      </c>
      <c r="BS19" s="26">
        <f t="shared" si="38"/>
        <v>729896.84197590454</v>
      </c>
      <c r="BT19" s="26">
        <f t="shared" si="17"/>
        <v>859466.84197590454</v>
      </c>
      <c r="BU19" s="111">
        <f t="shared" si="44"/>
        <v>5114000</v>
      </c>
      <c r="BV19" s="110">
        <v>12</v>
      </c>
      <c r="BW19" s="115" t="s">
        <v>667</v>
      </c>
      <c r="BX19" s="125"/>
    </row>
    <row r="20" spans="1:76" s="110" customFormat="1" ht="13.5" customHeight="1" x14ac:dyDescent="0.2">
      <c r="A20" s="24">
        <v>13</v>
      </c>
      <c r="B20" s="24">
        <v>25</v>
      </c>
      <c r="C20" s="25" t="s">
        <v>20</v>
      </c>
      <c r="D20" s="26">
        <v>100000</v>
      </c>
      <c r="E20" s="26">
        <f t="shared" ref="E20:G20" si="83">+F20-25000</f>
        <v>2078000</v>
      </c>
      <c r="F20" s="26">
        <f t="shared" si="83"/>
        <v>2103000</v>
      </c>
      <c r="G20" s="26">
        <f t="shared" si="83"/>
        <v>2128000</v>
      </c>
      <c r="H20" s="26">
        <f t="shared" ref="H20:O20" si="84">+I20-50000</f>
        <v>2153000</v>
      </c>
      <c r="I20" s="26">
        <f t="shared" si="84"/>
        <v>2203000</v>
      </c>
      <c r="J20" s="26">
        <f t="shared" si="84"/>
        <v>2253000</v>
      </c>
      <c r="K20" s="26">
        <f t="shared" si="84"/>
        <v>2303000</v>
      </c>
      <c r="L20" s="26">
        <f t="shared" si="84"/>
        <v>2353000</v>
      </c>
      <c r="M20" s="26">
        <f t="shared" si="84"/>
        <v>2403000</v>
      </c>
      <c r="N20" s="26">
        <f t="shared" si="84"/>
        <v>2453000</v>
      </c>
      <c r="O20" s="26">
        <f t="shared" si="84"/>
        <v>2503000</v>
      </c>
      <c r="P20" s="26">
        <v>2553000</v>
      </c>
      <c r="Q20" s="26">
        <v>6000000</v>
      </c>
      <c r="R20" s="26">
        <f>+Q20+1000000</f>
        <v>7000000</v>
      </c>
      <c r="S20" s="26">
        <f t="shared" ref="S20:AB20" si="85">+R20+1000000</f>
        <v>8000000</v>
      </c>
      <c r="T20" s="26">
        <f t="shared" si="85"/>
        <v>9000000</v>
      </c>
      <c r="U20" s="26">
        <f t="shared" si="85"/>
        <v>10000000</v>
      </c>
      <c r="V20" s="26">
        <v>0</v>
      </c>
      <c r="W20" s="26">
        <f t="shared" si="85"/>
        <v>1000000</v>
      </c>
      <c r="X20" s="26">
        <f t="shared" si="85"/>
        <v>2000000</v>
      </c>
      <c r="Y20" s="26">
        <f t="shared" si="85"/>
        <v>3000000</v>
      </c>
      <c r="Z20" s="26">
        <f t="shared" si="85"/>
        <v>4000000</v>
      </c>
      <c r="AA20" s="26">
        <f t="shared" si="85"/>
        <v>5000000</v>
      </c>
      <c r="AB20" s="26">
        <f t="shared" si="85"/>
        <v>6000000</v>
      </c>
      <c r="AC20" s="26">
        <v>1540000</v>
      </c>
      <c r="AD20" s="26">
        <f>+AC20+25000</f>
        <v>1565000</v>
      </c>
      <c r="AE20" s="26">
        <f t="shared" ref="AE20:AM20" si="86">+AD20+25000</f>
        <v>1590000</v>
      </c>
      <c r="AF20" s="26">
        <f t="shared" si="86"/>
        <v>1615000</v>
      </c>
      <c r="AG20" s="26">
        <f t="shared" si="86"/>
        <v>1640000</v>
      </c>
      <c r="AH20" s="26">
        <f t="shared" si="86"/>
        <v>1665000</v>
      </c>
      <c r="AI20" s="26">
        <f t="shared" si="86"/>
        <v>1690000</v>
      </c>
      <c r="AJ20" s="26">
        <f t="shared" si="86"/>
        <v>1715000</v>
      </c>
      <c r="AK20" s="26">
        <f t="shared" si="86"/>
        <v>1740000</v>
      </c>
      <c r="AL20" s="26">
        <f t="shared" si="86"/>
        <v>1765000</v>
      </c>
      <c r="AM20" s="26">
        <f t="shared" si="86"/>
        <v>1790000</v>
      </c>
      <c r="AN20" s="26">
        <v>1815000</v>
      </c>
      <c r="AO20" s="26">
        <f t="shared" si="23"/>
        <v>10468000</v>
      </c>
      <c r="AP20" s="27">
        <f t="shared" si="24"/>
        <v>37700</v>
      </c>
      <c r="AQ20" s="27">
        <f t="shared" si="25"/>
        <v>42825</v>
      </c>
      <c r="AR20" s="27">
        <f t="shared" si="26"/>
        <v>47950</v>
      </c>
      <c r="AS20" s="27">
        <f t="shared" si="27"/>
        <v>53075</v>
      </c>
      <c r="AT20" s="27">
        <f t="shared" si="28"/>
        <v>58200</v>
      </c>
      <c r="AU20" s="27">
        <f t="shared" si="29"/>
        <v>8325</v>
      </c>
      <c r="AV20" s="27">
        <f t="shared" si="30"/>
        <v>13450</v>
      </c>
      <c r="AW20" s="27">
        <f t="shared" si="31"/>
        <v>18575</v>
      </c>
      <c r="AX20" s="27">
        <f t="shared" si="32"/>
        <v>23700</v>
      </c>
      <c r="AY20" s="27">
        <f t="shared" si="33"/>
        <v>28825</v>
      </c>
      <c r="AZ20" s="27">
        <f t="shared" si="34"/>
        <v>33950</v>
      </c>
      <c r="BA20" s="27">
        <f t="shared" si="35"/>
        <v>39075</v>
      </c>
      <c r="BB20" s="27">
        <v>0</v>
      </c>
      <c r="BC20" s="26">
        <v>0</v>
      </c>
      <c r="BD20" s="27">
        <f t="shared" si="82"/>
        <v>405650</v>
      </c>
      <c r="BE20" s="28">
        <f t="shared" si="4"/>
        <v>17224.043584860592</v>
      </c>
      <c r="BF20" s="28">
        <f t="shared" si="5"/>
        <v>17332.409140663229</v>
      </c>
      <c r="BG20" s="28">
        <f t="shared" si="6"/>
        <v>59394.69042490689</v>
      </c>
      <c r="BH20" s="28">
        <f t="shared" si="7"/>
        <v>103019.59024637575</v>
      </c>
      <c r="BI20" s="28">
        <f t="shared" si="8"/>
        <v>84976.080964633176</v>
      </c>
      <c r="BJ20" s="28">
        <f t="shared" si="9"/>
        <v>25101.285832398858</v>
      </c>
      <c r="BK20" s="28">
        <f t="shared" si="10"/>
        <v>22042.943669001277</v>
      </c>
      <c r="BL20" s="28">
        <f t="shared" si="11"/>
        <v>46860.695622012943</v>
      </c>
      <c r="BM20" s="28">
        <f t="shared" si="12"/>
        <v>55897.448492620599</v>
      </c>
      <c r="BN20" s="28">
        <f t="shared" si="13"/>
        <v>53663.071742414919</v>
      </c>
      <c r="BO20" s="28">
        <f t="shared" si="14"/>
        <v>43803.387004496573</v>
      </c>
      <c r="BP20" s="28">
        <f t="shared" si="15"/>
        <v>42702.743520819349</v>
      </c>
      <c r="BQ20" s="29">
        <f t="shared" si="37"/>
        <v>572018.39024520421</v>
      </c>
      <c r="BR20" s="26">
        <f t="shared" si="16"/>
        <v>0</v>
      </c>
      <c r="BS20" s="26">
        <f t="shared" si="38"/>
        <v>572018.39024520421</v>
      </c>
      <c r="BT20" s="26">
        <f t="shared" si="17"/>
        <v>977668.39024520421</v>
      </c>
      <c r="BU20" s="111">
        <f t="shared" si="44"/>
        <v>10368000</v>
      </c>
      <c r="BV20" s="110">
        <v>13</v>
      </c>
      <c r="BW20" s="115" t="s">
        <v>667</v>
      </c>
      <c r="BX20" s="125"/>
    </row>
    <row r="21" spans="1:76" s="110" customFormat="1" ht="13.5" customHeight="1" x14ac:dyDescent="0.2">
      <c r="A21" s="24">
        <v>14</v>
      </c>
      <c r="B21" s="24">
        <v>26</v>
      </c>
      <c r="C21" s="25" t="s">
        <v>21</v>
      </c>
      <c r="D21" s="26">
        <v>100000</v>
      </c>
      <c r="E21" s="26">
        <f t="shared" ref="E21:G21" si="87">+F21-25000</f>
        <v>2078000</v>
      </c>
      <c r="F21" s="26">
        <f t="shared" si="87"/>
        <v>2103000</v>
      </c>
      <c r="G21" s="26">
        <f t="shared" si="87"/>
        <v>2128000</v>
      </c>
      <c r="H21" s="26">
        <f t="shared" ref="H21:O21" si="88">+I21-50000</f>
        <v>2153000</v>
      </c>
      <c r="I21" s="26">
        <f t="shared" si="88"/>
        <v>2203000</v>
      </c>
      <c r="J21" s="26">
        <f t="shared" si="88"/>
        <v>2253000</v>
      </c>
      <c r="K21" s="26">
        <f t="shared" si="88"/>
        <v>2303000</v>
      </c>
      <c r="L21" s="26">
        <f t="shared" si="88"/>
        <v>2353000</v>
      </c>
      <c r="M21" s="26">
        <f t="shared" si="88"/>
        <v>2403000</v>
      </c>
      <c r="N21" s="26">
        <f t="shared" si="88"/>
        <v>2453000</v>
      </c>
      <c r="O21" s="26">
        <f t="shared" si="88"/>
        <v>2503000</v>
      </c>
      <c r="P21" s="26">
        <v>2553000</v>
      </c>
      <c r="Q21" s="26">
        <v>2400000</v>
      </c>
      <c r="R21" s="26">
        <f>+Q21+400000</f>
        <v>2800000</v>
      </c>
      <c r="S21" s="26">
        <f t="shared" ref="S21:U21" si="89">+R21+400000</f>
        <v>3200000</v>
      </c>
      <c r="T21" s="26">
        <f t="shared" si="89"/>
        <v>3600000</v>
      </c>
      <c r="U21" s="26">
        <f t="shared" si="89"/>
        <v>4000000</v>
      </c>
      <c r="V21" s="26">
        <v>0</v>
      </c>
      <c r="W21" s="26">
        <f>+V21+500000</f>
        <v>500000</v>
      </c>
      <c r="X21" s="26">
        <f t="shared" ref="X21:AA21" si="90">+W21+500000</f>
        <v>1000000</v>
      </c>
      <c r="Y21" s="26">
        <f t="shared" si="90"/>
        <v>1500000</v>
      </c>
      <c r="Z21" s="26">
        <f t="shared" si="90"/>
        <v>2000000</v>
      </c>
      <c r="AA21" s="26">
        <f t="shared" si="90"/>
        <v>2500000</v>
      </c>
      <c r="AB21" s="26">
        <v>3000000</v>
      </c>
      <c r="AC21" s="26">
        <v>424000</v>
      </c>
      <c r="AD21" s="26">
        <f>+AC21+5000</f>
        <v>429000</v>
      </c>
      <c r="AE21" s="26">
        <f>+AD21+5000-400000</f>
        <v>34000</v>
      </c>
      <c r="AF21" s="26">
        <f t="shared" ref="AF21:AM21" si="91">+AE21+5000</f>
        <v>39000</v>
      </c>
      <c r="AG21" s="26">
        <f t="shared" si="91"/>
        <v>44000</v>
      </c>
      <c r="AH21" s="26">
        <f t="shared" si="91"/>
        <v>49000</v>
      </c>
      <c r="AI21" s="26">
        <f t="shared" si="91"/>
        <v>54000</v>
      </c>
      <c r="AJ21" s="26">
        <f t="shared" si="91"/>
        <v>59000</v>
      </c>
      <c r="AK21" s="26">
        <f t="shared" si="91"/>
        <v>64000</v>
      </c>
      <c r="AL21" s="26">
        <f t="shared" si="91"/>
        <v>69000</v>
      </c>
      <c r="AM21" s="26">
        <f t="shared" si="91"/>
        <v>74000</v>
      </c>
      <c r="AN21" s="26">
        <v>79000</v>
      </c>
      <c r="AO21" s="26">
        <f t="shared" si="23"/>
        <v>5732000</v>
      </c>
      <c r="AP21" s="27">
        <f t="shared" si="24"/>
        <v>14120</v>
      </c>
      <c r="AQ21" s="27">
        <f t="shared" si="25"/>
        <v>16145</v>
      </c>
      <c r="AR21" s="27">
        <f t="shared" si="26"/>
        <v>16170</v>
      </c>
      <c r="AS21" s="27">
        <f t="shared" si="27"/>
        <v>18195</v>
      </c>
      <c r="AT21" s="27">
        <f t="shared" si="28"/>
        <v>20220</v>
      </c>
      <c r="AU21" s="27">
        <f t="shared" si="29"/>
        <v>245</v>
      </c>
      <c r="AV21" s="27">
        <f t="shared" si="30"/>
        <v>2770</v>
      </c>
      <c r="AW21" s="27">
        <f t="shared" si="31"/>
        <v>5295</v>
      </c>
      <c r="AX21" s="27">
        <f t="shared" si="32"/>
        <v>7820</v>
      </c>
      <c r="AY21" s="27">
        <f t="shared" si="33"/>
        <v>10345</v>
      </c>
      <c r="AZ21" s="27">
        <f t="shared" si="34"/>
        <v>12870</v>
      </c>
      <c r="BA21" s="27">
        <f t="shared" si="35"/>
        <v>15395</v>
      </c>
      <c r="BB21" s="27">
        <v>900000</v>
      </c>
      <c r="BC21" s="26">
        <v>17000000</v>
      </c>
      <c r="BD21" s="27">
        <f t="shared" si="82"/>
        <v>139590</v>
      </c>
      <c r="BE21" s="28">
        <f t="shared" si="4"/>
        <v>8865.4729379988348</v>
      </c>
      <c r="BF21" s="28">
        <f t="shared" si="5"/>
        <v>8743.4664238561163</v>
      </c>
      <c r="BG21" s="28">
        <f t="shared" si="6"/>
        <v>27450.820705774364</v>
      </c>
      <c r="BH21" s="28">
        <f t="shared" si="7"/>
        <v>47170.611262950413</v>
      </c>
      <c r="BI21" s="28">
        <f t="shared" si="8"/>
        <v>38682.004294809347</v>
      </c>
      <c r="BJ21" s="28">
        <f t="shared" si="9"/>
        <v>15005.796060085133</v>
      </c>
      <c r="BK21" s="28">
        <f t="shared" si="10"/>
        <v>12798.151272184719</v>
      </c>
      <c r="BL21" s="28">
        <f t="shared" si="11"/>
        <v>26682.030321742779</v>
      </c>
      <c r="BM21" s="28">
        <f t="shared" si="12"/>
        <v>31386.845646760732</v>
      </c>
      <c r="BN21" s="28">
        <f t="shared" si="13"/>
        <v>29818.552247348129</v>
      </c>
      <c r="BO21" s="28">
        <f t="shared" si="14"/>
        <v>24142.460824260485</v>
      </c>
      <c r="BP21" s="28">
        <f t="shared" si="15"/>
        <v>23382.893185072269</v>
      </c>
      <c r="BQ21" s="29">
        <f t="shared" si="37"/>
        <v>294129.10518284334</v>
      </c>
      <c r="BR21" s="26">
        <f t="shared" si="16"/>
        <v>196549.17656257635</v>
      </c>
      <c r="BS21" s="26">
        <f t="shared" si="38"/>
        <v>490678.28174541972</v>
      </c>
      <c r="BT21" s="26">
        <f t="shared" si="17"/>
        <v>630268.28174541972</v>
      </c>
      <c r="BU21" s="111">
        <f t="shared" si="44"/>
        <v>5632000</v>
      </c>
      <c r="BV21" s="110">
        <v>14</v>
      </c>
      <c r="BW21" s="115" t="s">
        <v>667</v>
      </c>
      <c r="BX21" s="125"/>
    </row>
    <row r="22" spans="1:76" s="110" customFormat="1" ht="13.5" customHeight="1" x14ac:dyDescent="0.2">
      <c r="A22" s="24">
        <v>15</v>
      </c>
      <c r="B22" s="24">
        <v>27</v>
      </c>
      <c r="C22" s="25" t="s">
        <v>22</v>
      </c>
      <c r="D22" s="26">
        <v>100000</v>
      </c>
      <c r="E22" s="26">
        <f t="shared" ref="E22:G22" si="92">+F22-25000</f>
        <v>2078000</v>
      </c>
      <c r="F22" s="26">
        <f t="shared" si="92"/>
        <v>2103000</v>
      </c>
      <c r="G22" s="26">
        <f t="shared" si="92"/>
        <v>2128000</v>
      </c>
      <c r="H22" s="26">
        <f t="shared" ref="H22:O22" si="93">+I22-50000</f>
        <v>2153000</v>
      </c>
      <c r="I22" s="26">
        <f t="shared" si="93"/>
        <v>2203000</v>
      </c>
      <c r="J22" s="26">
        <f t="shared" si="93"/>
        <v>2253000</v>
      </c>
      <c r="K22" s="26">
        <f t="shared" si="93"/>
        <v>2303000</v>
      </c>
      <c r="L22" s="26">
        <f t="shared" si="93"/>
        <v>2353000</v>
      </c>
      <c r="M22" s="26">
        <f t="shared" si="93"/>
        <v>2403000</v>
      </c>
      <c r="N22" s="26">
        <f t="shared" si="93"/>
        <v>2453000</v>
      </c>
      <c r="O22" s="26">
        <f t="shared" si="93"/>
        <v>2503000</v>
      </c>
      <c r="P22" s="26">
        <v>2553000</v>
      </c>
      <c r="Q22" s="26">
        <v>1200000</v>
      </c>
      <c r="R22" s="26">
        <f>+Q22+200000</f>
        <v>1400000</v>
      </c>
      <c r="S22" s="26">
        <f t="shared" ref="S22:AA22" si="94">+R22+200000</f>
        <v>1600000</v>
      </c>
      <c r="T22" s="26">
        <f t="shared" si="94"/>
        <v>1800000</v>
      </c>
      <c r="U22" s="26">
        <f t="shared" si="94"/>
        <v>2000000</v>
      </c>
      <c r="V22" s="26">
        <v>0</v>
      </c>
      <c r="W22" s="26">
        <f t="shared" si="94"/>
        <v>200000</v>
      </c>
      <c r="X22" s="26">
        <f t="shared" si="94"/>
        <v>400000</v>
      </c>
      <c r="Y22" s="26">
        <f t="shared" si="94"/>
        <v>600000</v>
      </c>
      <c r="Z22" s="26">
        <f t="shared" si="94"/>
        <v>800000</v>
      </c>
      <c r="AA22" s="26">
        <f t="shared" si="94"/>
        <v>1000000</v>
      </c>
      <c r="AB22" s="26">
        <v>1200000</v>
      </c>
      <c r="AC22" s="26">
        <v>659000</v>
      </c>
      <c r="AD22" s="26">
        <f>+AC22+100000</f>
        <v>759000</v>
      </c>
      <c r="AE22" s="26">
        <f t="shared" ref="AE22:AM22" si="95">+AD22+100000</f>
        <v>859000</v>
      </c>
      <c r="AF22" s="26">
        <f t="shared" si="95"/>
        <v>959000</v>
      </c>
      <c r="AG22" s="26">
        <f t="shared" si="95"/>
        <v>1059000</v>
      </c>
      <c r="AH22" s="26">
        <f t="shared" si="95"/>
        <v>1159000</v>
      </c>
      <c r="AI22" s="26">
        <f t="shared" si="95"/>
        <v>1259000</v>
      </c>
      <c r="AJ22" s="26">
        <f t="shared" si="95"/>
        <v>1359000</v>
      </c>
      <c r="AK22" s="26">
        <f t="shared" si="95"/>
        <v>1459000</v>
      </c>
      <c r="AL22" s="26">
        <f t="shared" si="95"/>
        <v>1559000</v>
      </c>
      <c r="AM22" s="26">
        <f t="shared" si="95"/>
        <v>1659000</v>
      </c>
      <c r="AN22" s="26">
        <v>1759000</v>
      </c>
      <c r="AO22" s="26">
        <f t="shared" si="23"/>
        <v>5612000</v>
      </c>
      <c r="AP22" s="27">
        <f t="shared" si="24"/>
        <v>9295</v>
      </c>
      <c r="AQ22" s="27">
        <f t="shared" si="25"/>
        <v>10795</v>
      </c>
      <c r="AR22" s="27">
        <f t="shared" si="26"/>
        <v>12295</v>
      </c>
      <c r="AS22" s="27">
        <f t="shared" si="27"/>
        <v>13795</v>
      </c>
      <c r="AT22" s="27">
        <f t="shared" si="28"/>
        <v>15295</v>
      </c>
      <c r="AU22" s="27">
        <f t="shared" si="29"/>
        <v>5795</v>
      </c>
      <c r="AV22" s="27">
        <f t="shared" si="30"/>
        <v>7295</v>
      </c>
      <c r="AW22" s="27">
        <f t="shared" si="31"/>
        <v>8795</v>
      </c>
      <c r="AX22" s="27">
        <f t="shared" si="32"/>
        <v>10295</v>
      </c>
      <c r="AY22" s="27">
        <f t="shared" si="33"/>
        <v>11795</v>
      </c>
      <c r="AZ22" s="27">
        <f t="shared" si="34"/>
        <v>13295</v>
      </c>
      <c r="BA22" s="27">
        <f t="shared" si="35"/>
        <v>14795</v>
      </c>
      <c r="BB22" s="27">
        <v>0</v>
      </c>
      <c r="BC22" s="26">
        <v>0</v>
      </c>
      <c r="BD22" s="27">
        <f t="shared" si="82"/>
        <v>133540</v>
      </c>
      <c r="BE22" s="28">
        <f t="shared" si="4"/>
        <v>7155.1208018195321</v>
      </c>
      <c r="BF22" s="28">
        <f t="shared" si="5"/>
        <v>7021.1709390390979</v>
      </c>
      <c r="BG22" s="28">
        <f t="shared" si="6"/>
        <v>23555.839737818464</v>
      </c>
      <c r="BH22" s="28">
        <f t="shared" si="7"/>
        <v>40125.441895775199</v>
      </c>
      <c r="BI22" s="28">
        <f t="shared" si="8"/>
        <v>32678.888770878799</v>
      </c>
      <c r="BJ22" s="28">
        <f t="shared" si="9"/>
        <v>21940.1980695333</v>
      </c>
      <c r="BK22" s="28">
        <f t="shared" si="10"/>
        <v>16715.069399113083</v>
      </c>
      <c r="BL22" s="28">
        <f t="shared" si="11"/>
        <v>32000.202652386273</v>
      </c>
      <c r="BM22" s="28">
        <f t="shared" si="12"/>
        <v>35206.980536150098</v>
      </c>
      <c r="BN22" s="28">
        <f t="shared" si="13"/>
        <v>31689.469631971879</v>
      </c>
      <c r="BO22" s="28">
        <f t="shared" si="14"/>
        <v>24538.850464991054</v>
      </c>
      <c r="BP22" s="28">
        <f t="shared" si="15"/>
        <v>22893.369950213812</v>
      </c>
      <c r="BQ22" s="29">
        <f t="shared" si="37"/>
        <v>295520.60284969059</v>
      </c>
      <c r="BR22" s="26">
        <f t="shared" si="16"/>
        <v>0</v>
      </c>
      <c r="BS22" s="26">
        <f t="shared" si="38"/>
        <v>295520.60284969059</v>
      </c>
      <c r="BT22" s="26">
        <f t="shared" si="17"/>
        <v>429060.60284969059</v>
      </c>
      <c r="BU22" s="111">
        <f t="shared" si="44"/>
        <v>5512000</v>
      </c>
      <c r="BV22" s="110">
        <v>15</v>
      </c>
      <c r="BW22" s="115" t="s">
        <v>667</v>
      </c>
      <c r="BX22" s="125"/>
    </row>
    <row r="23" spans="1:76" s="124" customFormat="1" ht="13.5" customHeight="1" x14ac:dyDescent="0.2">
      <c r="A23" s="128">
        <v>16</v>
      </c>
      <c r="B23" s="128">
        <v>28</v>
      </c>
      <c r="C23" s="129" t="s">
        <v>23</v>
      </c>
      <c r="D23" s="130">
        <v>100000</v>
      </c>
      <c r="E23" s="130">
        <f t="shared" ref="E23:G23" si="96">+F23-25000</f>
        <v>2078000</v>
      </c>
      <c r="F23" s="130">
        <f t="shared" si="96"/>
        <v>2103000</v>
      </c>
      <c r="G23" s="130">
        <f t="shared" si="96"/>
        <v>2128000</v>
      </c>
      <c r="H23" s="130">
        <f t="shared" ref="H23:O23" si="97">+I23-50000</f>
        <v>2153000</v>
      </c>
      <c r="I23" s="130">
        <f t="shared" si="97"/>
        <v>2203000</v>
      </c>
      <c r="J23" s="130">
        <f t="shared" si="97"/>
        <v>2253000</v>
      </c>
      <c r="K23" s="130">
        <f t="shared" si="97"/>
        <v>2303000</v>
      </c>
      <c r="L23" s="130">
        <f t="shared" si="97"/>
        <v>2353000</v>
      </c>
      <c r="M23" s="130">
        <f t="shared" si="97"/>
        <v>2403000</v>
      </c>
      <c r="N23" s="130">
        <f t="shared" si="97"/>
        <v>2453000</v>
      </c>
      <c r="O23" s="130">
        <f t="shared" si="97"/>
        <v>2503000</v>
      </c>
      <c r="P23" s="130">
        <v>2553000</v>
      </c>
      <c r="Q23" s="130">
        <v>1300000</v>
      </c>
      <c r="R23" s="130">
        <f>+Q23+200000</f>
        <v>1500000</v>
      </c>
      <c r="S23" s="130">
        <f t="shared" ref="S23:Y23" si="98">+R23+200000</f>
        <v>1700000</v>
      </c>
      <c r="T23" s="130">
        <f t="shared" si="98"/>
        <v>1900000</v>
      </c>
      <c r="U23" s="130">
        <f t="shared" si="98"/>
        <v>2100000</v>
      </c>
      <c r="V23" s="130">
        <v>0</v>
      </c>
      <c r="W23" s="130">
        <f t="shared" si="98"/>
        <v>200000</v>
      </c>
      <c r="X23" s="130">
        <f t="shared" si="98"/>
        <v>400000</v>
      </c>
      <c r="Y23" s="130">
        <f t="shared" si="98"/>
        <v>600000</v>
      </c>
      <c r="Z23" s="130">
        <v>600000</v>
      </c>
      <c r="AA23" s="130">
        <v>600000</v>
      </c>
      <c r="AB23" s="130">
        <v>600000</v>
      </c>
      <c r="AC23" s="130">
        <v>17447000</v>
      </c>
      <c r="AD23" s="130">
        <f>+AC23+150000-1000000+700000</f>
        <v>17297000</v>
      </c>
      <c r="AE23" s="130">
        <f>+AD23+700000+150000</f>
        <v>18147000</v>
      </c>
      <c r="AF23" s="130">
        <f>+AE23+700000-17500000</f>
        <v>1347000</v>
      </c>
      <c r="AG23" s="130">
        <f>+AF23+700000+15000000</f>
        <v>17047000</v>
      </c>
      <c r="AH23" s="130">
        <f>+AG23+700000-5000000</f>
        <v>12747000</v>
      </c>
      <c r="AI23" s="130">
        <f t="shared" ref="AI23:AK23" si="99">+AH23+700000</f>
        <v>13447000</v>
      </c>
      <c r="AJ23" s="130">
        <f>+AI23+700000-13000000</f>
        <v>1147000</v>
      </c>
      <c r="AK23" s="130">
        <f t="shared" si="99"/>
        <v>1847000</v>
      </c>
      <c r="AL23" s="130">
        <v>1847000</v>
      </c>
      <c r="AM23" s="130">
        <v>1847000</v>
      </c>
      <c r="AN23" s="130">
        <v>1847000</v>
      </c>
      <c r="AO23" s="130">
        <f t="shared" si="23"/>
        <v>5100000</v>
      </c>
      <c r="AP23" s="131">
        <f t="shared" si="24"/>
        <v>93735</v>
      </c>
      <c r="AQ23" s="131">
        <f t="shared" si="25"/>
        <v>93985</v>
      </c>
      <c r="AR23" s="131">
        <f t="shared" si="26"/>
        <v>99235</v>
      </c>
      <c r="AS23" s="131">
        <f t="shared" si="27"/>
        <v>16235</v>
      </c>
      <c r="AT23" s="131">
        <f t="shared" si="28"/>
        <v>95735</v>
      </c>
      <c r="AU23" s="131">
        <f t="shared" si="29"/>
        <v>63735</v>
      </c>
      <c r="AV23" s="131">
        <f t="shared" si="30"/>
        <v>68235</v>
      </c>
      <c r="AW23" s="131">
        <f t="shared" si="31"/>
        <v>7735</v>
      </c>
      <c r="AX23" s="131">
        <f t="shared" si="32"/>
        <v>12235</v>
      </c>
      <c r="AY23" s="131">
        <f t="shared" si="33"/>
        <v>12235</v>
      </c>
      <c r="AZ23" s="131">
        <f t="shared" si="34"/>
        <v>12235</v>
      </c>
      <c r="BA23" s="131">
        <f t="shared" si="35"/>
        <v>12235</v>
      </c>
      <c r="BB23" s="131">
        <v>1650000</v>
      </c>
      <c r="BC23" s="130">
        <v>0</v>
      </c>
      <c r="BD23" s="131">
        <f t="shared" si="82"/>
        <v>587570</v>
      </c>
      <c r="BE23" s="132">
        <f t="shared" si="4"/>
        <v>37087.169377774015</v>
      </c>
      <c r="BF23" s="132">
        <f t="shared" si="5"/>
        <v>33802.060916969524</v>
      </c>
      <c r="BG23" s="132">
        <f t="shared" si="6"/>
        <v>110944.13531306648</v>
      </c>
      <c r="BH23" s="132">
        <f t="shared" si="7"/>
        <v>44032.308544845095</v>
      </c>
      <c r="BI23" s="132">
        <f t="shared" si="8"/>
        <v>130727.74415056886</v>
      </c>
      <c r="BJ23" s="132">
        <f t="shared" si="9"/>
        <v>94332.85616456515</v>
      </c>
      <c r="BK23" s="132">
        <f t="shared" si="10"/>
        <v>69465.785565967119</v>
      </c>
      <c r="BL23" s="132">
        <f t="shared" si="11"/>
        <v>30389.55617510567</v>
      </c>
      <c r="BM23" s="132">
        <f t="shared" si="12"/>
        <v>38201.348893893686</v>
      </c>
      <c r="BN23" s="132">
        <f t="shared" si="13"/>
        <v>32257.196286616323</v>
      </c>
      <c r="BO23" s="132">
        <f t="shared" si="14"/>
        <v>23550.208066933639</v>
      </c>
      <c r="BP23" s="132">
        <f t="shared" si="15"/>
        <v>20804.737481484397</v>
      </c>
      <c r="BQ23" s="133">
        <f t="shared" si="37"/>
        <v>665595.10693778994</v>
      </c>
      <c r="BR23" s="130">
        <f t="shared" si="16"/>
        <v>360340.15703139</v>
      </c>
      <c r="BS23" s="130">
        <f t="shared" si="38"/>
        <v>1025935.2639691799</v>
      </c>
      <c r="BT23" s="130">
        <f t="shared" si="17"/>
        <v>1613505.2639691799</v>
      </c>
      <c r="BU23" s="134">
        <f t="shared" si="44"/>
        <v>5000000</v>
      </c>
      <c r="BV23" s="135">
        <v>16</v>
      </c>
      <c r="BW23" s="135" t="s">
        <v>667</v>
      </c>
      <c r="BX23" s="135"/>
    </row>
    <row r="24" spans="1:76" s="110" customFormat="1" ht="13.5" customHeight="1" x14ac:dyDescent="0.2">
      <c r="A24" s="24">
        <v>17</v>
      </c>
      <c r="B24" s="24">
        <v>29</v>
      </c>
      <c r="C24" s="25" t="s">
        <v>24</v>
      </c>
      <c r="D24" s="26">
        <v>100000</v>
      </c>
      <c r="E24" s="26">
        <f t="shared" ref="E24:G24" si="100">+F24-25000</f>
        <v>2078000</v>
      </c>
      <c r="F24" s="26">
        <f t="shared" si="100"/>
        <v>2103000</v>
      </c>
      <c r="G24" s="26">
        <f t="shared" si="100"/>
        <v>2128000</v>
      </c>
      <c r="H24" s="26">
        <f t="shared" ref="H24:O24" si="101">+I24-50000</f>
        <v>2153000</v>
      </c>
      <c r="I24" s="26">
        <f t="shared" si="101"/>
        <v>2203000</v>
      </c>
      <c r="J24" s="26">
        <f t="shared" si="101"/>
        <v>2253000</v>
      </c>
      <c r="K24" s="26">
        <f t="shared" si="101"/>
        <v>2303000</v>
      </c>
      <c r="L24" s="26">
        <f t="shared" si="101"/>
        <v>2353000</v>
      </c>
      <c r="M24" s="26">
        <f t="shared" si="101"/>
        <v>2403000</v>
      </c>
      <c r="N24" s="26">
        <f t="shared" si="101"/>
        <v>2453000</v>
      </c>
      <c r="O24" s="26">
        <f t="shared" si="101"/>
        <v>2503000</v>
      </c>
      <c r="P24" s="26">
        <v>2553000</v>
      </c>
      <c r="Q24" s="26">
        <v>1500000</v>
      </c>
      <c r="R24" s="26">
        <f>+Q24+250000</f>
        <v>1750000</v>
      </c>
      <c r="S24" s="26">
        <f t="shared" ref="S24:U25" si="102">+R24+250000</f>
        <v>2000000</v>
      </c>
      <c r="T24" s="26">
        <f t="shared" si="102"/>
        <v>2250000</v>
      </c>
      <c r="U24" s="26">
        <f t="shared" si="102"/>
        <v>2500000</v>
      </c>
      <c r="V24" s="26">
        <v>0</v>
      </c>
      <c r="W24" s="26">
        <f>+V24+300000</f>
        <v>300000</v>
      </c>
      <c r="X24" s="26">
        <f t="shared" ref="X24:AA25" si="103">+W24+300000</f>
        <v>600000</v>
      </c>
      <c r="Y24" s="26">
        <f t="shared" si="103"/>
        <v>900000</v>
      </c>
      <c r="Z24" s="26">
        <f t="shared" si="103"/>
        <v>1200000</v>
      </c>
      <c r="AA24" s="26">
        <f t="shared" si="103"/>
        <v>1500000</v>
      </c>
      <c r="AB24" s="26">
        <v>1800000</v>
      </c>
      <c r="AC24" s="26">
        <v>547000</v>
      </c>
      <c r="AD24" s="26">
        <f>+AC24+50000</f>
        <v>597000</v>
      </c>
      <c r="AE24" s="26">
        <f t="shared" ref="AE24:AM24" si="104">+AD24+50000</f>
        <v>647000</v>
      </c>
      <c r="AF24" s="26">
        <f>+AE24+50000-200000</f>
        <v>497000</v>
      </c>
      <c r="AG24" s="26">
        <f t="shared" si="104"/>
        <v>547000</v>
      </c>
      <c r="AH24" s="26">
        <f t="shared" si="104"/>
        <v>597000</v>
      </c>
      <c r="AI24" s="26">
        <f t="shared" si="104"/>
        <v>647000</v>
      </c>
      <c r="AJ24" s="26">
        <f t="shared" si="104"/>
        <v>697000</v>
      </c>
      <c r="AK24" s="26">
        <f t="shared" si="104"/>
        <v>747000</v>
      </c>
      <c r="AL24" s="26">
        <f t="shared" si="104"/>
        <v>797000</v>
      </c>
      <c r="AM24" s="26">
        <f t="shared" si="104"/>
        <v>847000</v>
      </c>
      <c r="AN24" s="26">
        <v>897000</v>
      </c>
      <c r="AO24" s="26">
        <f t="shared" si="23"/>
        <v>5350000</v>
      </c>
      <c r="AP24" s="27">
        <f t="shared" si="24"/>
        <v>10235</v>
      </c>
      <c r="AQ24" s="27">
        <f t="shared" si="25"/>
        <v>11735</v>
      </c>
      <c r="AR24" s="27">
        <f t="shared" si="26"/>
        <v>13235</v>
      </c>
      <c r="AS24" s="27">
        <f t="shared" si="27"/>
        <v>13735</v>
      </c>
      <c r="AT24" s="27">
        <f t="shared" si="28"/>
        <v>15235</v>
      </c>
      <c r="AU24" s="27">
        <f t="shared" si="29"/>
        <v>2985</v>
      </c>
      <c r="AV24" s="27">
        <f t="shared" si="30"/>
        <v>4735</v>
      </c>
      <c r="AW24" s="27">
        <f t="shared" si="31"/>
        <v>6485</v>
      </c>
      <c r="AX24" s="27">
        <f t="shared" si="32"/>
        <v>8235</v>
      </c>
      <c r="AY24" s="27">
        <f t="shared" si="33"/>
        <v>9985</v>
      </c>
      <c r="AZ24" s="27">
        <f t="shared" si="34"/>
        <v>11735</v>
      </c>
      <c r="BA24" s="27">
        <f t="shared" si="35"/>
        <v>13485</v>
      </c>
      <c r="BB24" s="27">
        <v>2700000</v>
      </c>
      <c r="BC24" s="26">
        <v>1875000</v>
      </c>
      <c r="BD24" s="27">
        <f t="shared" si="82"/>
        <v>121820</v>
      </c>
      <c r="BE24" s="28">
        <f t="shared" si="4"/>
        <v>7488.3293008886603</v>
      </c>
      <c r="BF24" s="28">
        <f t="shared" si="5"/>
        <v>7323.7798653433965</v>
      </c>
      <c r="BG24" s="28">
        <f t="shared" si="6"/>
        <v>24500.686733916151</v>
      </c>
      <c r="BH24" s="28">
        <f t="shared" si="7"/>
        <v>40029.371404404628</v>
      </c>
      <c r="BI24" s="28">
        <f t="shared" si="8"/>
        <v>32605.754368556802</v>
      </c>
      <c r="BJ24" s="28">
        <f t="shared" si="9"/>
        <v>18429.26660168657</v>
      </c>
      <c r="BK24" s="28">
        <f t="shared" si="10"/>
        <v>14499.089199127093</v>
      </c>
      <c r="BL24" s="28">
        <f t="shared" si="11"/>
        <v>28490.208914161565</v>
      </c>
      <c r="BM24" s="28">
        <f t="shared" si="12"/>
        <v>32027.393517102788</v>
      </c>
      <c r="BN24" s="28">
        <f t="shared" si="13"/>
        <v>29354.048620820857</v>
      </c>
      <c r="BO24" s="28">
        <f t="shared" si="14"/>
        <v>23083.867313132974</v>
      </c>
      <c r="BP24" s="28">
        <f t="shared" si="15"/>
        <v>21824.577554106181</v>
      </c>
      <c r="BQ24" s="29">
        <f t="shared" si="37"/>
        <v>279656.37339324766</v>
      </c>
      <c r="BR24" s="26">
        <f t="shared" si="16"/>
        <v>589647.52968772908</v>
      </c>
      <c r="BS24" s="26">
        <f t="shared" si="38"/>
        <v>869303.9030809768</v>
      </c>
      <c r="BT24" s="26">
        <f t="shared" si="17"/>
        <v>991123.9030809768</v>
      </c>
      <c r="BU24" s="111">
        <f>AO24-100000</f>
        <v>5250000</v>
      </c>
      <c r="BV24" s="110">
        <v>17</v>
      </c>
      <c r="BW24" s="115" t="s">
        <v>667</v>
      </c>
      <c r="BX24" s="125"/>
    </row>
    <row r="25" spans="1:76" s="124" customFormat="1" ht="13.5" customHeight="1" x14ac:dyDescent="0.2">
      <c r="A25" s="128">
        <v>18</v>
      </c>
      <c r="B25" s="128">
        <v>31</v>
      </c>
      <c r="C25" s="129" t="s">
        <v>25</v>
      </c>
      <c r="D25" s="130">
        <v>100000</v>
      </c>
      <c r="E25" s="130">
        <f t="shared" ref="E25:G25" si="105">+F25-25000</f>
        <v>2078000</v>
      </c>
      <c r="F25" s="130">
        <f t="shared" si="105"/>
        <v>2103000</v>
      </c>
      <c r="G25" s="130">
        <f t="shared" si="105"/>
        <v>2128000</v>
      </c>
      <c r="H25" s="130">
        <f t="shared" ref="H25:O25" si="106">+I25-50000</f>
        <v>2153000</v>
      </c>
      <c r="I25" s="130">
        <f t="shared" si="106"/>
        <v>2203000</v>
      </c>
      <c r="J25" s="130">
        <f t="shared" si="106"/>
        <v>2253000</v>
      </c>
      <c r="K25" s="130">
        <f t="shared" si="106"/>
        <v>2303000</v>
      </c>
      <c r="L25" s="130">
        <f t="shared" si="106"/>
        <v>2353000</v>
      </c>
      <c r="M25" s="130">
        <f t="shared" si="106"/>
        <v>2403000</v>
      </c>
      <c r="N25" s="130">
        <f t="shared" si="106"/>
        <v>2453000</v>
      </c>
      <c r="O25" s="130">
        <f t="shared" si="106"/>
        <v>2503000</v>
      </c>
      <c r="P25" s="130">
        <v>2553000</v>
      </c>
      <c r="Q25" s="130">
        <v>1500000</v>
      </c>
      <c r="R25" s="130">
        <f>+Q25+250000</f>
        <v>1750000</v>
      </c>
      <c r="S25" s="130">
        <f t="shared" si="102"/>
        <v>2000000</v>
      </c>
      <c r="T25" s="130">
        <f t="shared" si="102"/>
        <v>2250000</v>
      </c>
      <c r="U25" s="130">
        <f t="shared" si="102"/>
        <v>2500000</v>
      </c>
      <c r="V25" s="130">
        <v>0</v>
      </c>
      <c r="W25" s="130">
        <f>+V25+300000</f>
        <v>300000</v>
      </c>
      <c r="X25" s="130">
        <f t="shared" si="103"/>
        <v>600000</v>
      </c>
      <c r="Y25" s="130">
        <f t="shared" si="103"/>
        <v>900000</v>
      </c>
      <c r="Z25" s="130">
        <f t="shared" si="103"/>
        <v>1200000</v>
      </c>
      <c r="AA25" s="130">
        <f t="shared" si="103"/>
        <v>1500000</v>
      </c>
      <c r="AB25" s="130">
        <v>1500000</v>
      </c>
      <c r="AC25" s="130">
        <v>72000</v>
      </c>
      <c r="AD25" s="130">
        <f>+AC25+20000</f>
        <v>92000</v>
      </c>
      <c r="AE25" s="130">
        <f t="shared" ref="AE25:AM25" si="107">+AD25+20000</f>
        <v>112000</v>
      </c>
      <c r="AF25" s="130">
        <f t="shared" si="107"/>
        <v>132000</v>
      </c>
      <c r="AG25" s="130">
        <f t="shared" si="107"/>
        <v>152000</v>
      </c>
      <c r="AH25" s="130">
        <f>+AG25+20000-150000</f>
        <v>22000</v>
      </c>
      <c r="AI25" s="130">
        <f t="shared" si="107"/>
        <v>42000</v>
      </c>
      <c r="AJ25" s="130">
        <f t="shared" si="107"/>
        <v>62000</v>
      </c>
      <c r="AK25" s="130">
        <f t="shared" si="107"/>
        <v>82000</v>
      </c>
      <c r="AL25" s="130">
        <f>+AK25+20000-100000</f>
        <v>2000</v>
      </c>
      <c r="AM25" s="130">
        <f t="shared" si="107"/>
        <v>22000</v>
      </c>
      <c r="AN25" s="130">
        <v>42000</v>
      </c>
      <c r="AO25" s="130">
        <f t="shared" si="23"/>
        <v>4195000</v>
      </c>
      <c r="AP25" s="131">
        <f t="shared" si="24"/>
        <v>7860</v>
      </c>
      <c r="AQ25" s="131">
        <f t="shared" si="25"/>
        <v>9210</v>
      </c>
      <c r="AR25" s="131">
        <f t="shared" si="26"/>
        <v>10560</v>
      </c>
      <c r="AS25" s="131">
        <f t="shared" si="27"/>
        <v>11910</v>
      </c>
      <c r="AT25" s="131">
        <f t="shared" si="28"/>
        <v>13260</v>
      </c>
      <c r="AU25" s="131">
        <f t="shared" si="29"/>
        <v>110</v>
      </c>
      <c r="AV25" s="131">
        <f t="shared" si="30"/>
        <v>1710</v>
      </c>
      <c r="AW25" s="131">
        <f t="shared" si="31"/>
        <v>3310</v>
      </c>
      <c r="AX25" s="131">
        <f t="shared" si="32"/>
        <v>4910</v>
      </c>
      <c r="AY25" s="131">
        <f t="shared" si="33"/>
        <v>6010</v>
      </c>
      <c r="AZ25" s="131">
        <f t="shared" si="34"/>
        <v>7610</v>
      </c>
      <c r="BA25" s="131">
        <f t="shared" si="35"/>
        <v>7710</v>
      </c>
      <c r="BB25" s="131">
        <v>2700000</v>
      </c>
      <c r="BC25" s="130">
        <v>20000000</v>
      </c>
      <c r="BD25" s="131">
        <f t="shared" si="82"/>
        <v>84170</v>
      </c>
      <c r="BE25" s="132">
        <f t="shared" si="4"/>
        <v>6646.4461250491067</v>
      </c>
      <c r="BF25" s="132">
        <f t="shared" si="5"/>
        <v>6510.920781387701</v>
      </c>
      <c r="BG25" s="132">
        <f t="shared" si="6"/>
        <v>21811.893420553046</v>
      </c>
      <c r="BH25" s="132">
        <f t="shared" si="7"/>
        <v>37107.227291883093</v>
      </c>
      <c r="BI25" s="132">
        <f t="shared" si="8"/>
        <v>30198.413625457746</v>
      </c>
      <c r="BJ25" s="132">
        <f t="shared" si="9"/>
        <v>14837.121416612068</v>
      </c>
      <c r="BK25" s="132">
        <f t="shared" si="10"/>
        <v>11880.596970628019</v>
      </c>
      <c r="BL25" s="132">
        <f t="shared" si="11"/>
        <v>23665.866871363542</v>
      </c>
      <c r="BM25" s="132">
        <f t="shared" si="12"/>
        <v>26895.293110145354</v>
      </c>
      <c r="BN25" s="132">
        <f t="shared" si="13"/>
        <v>24225.154411248859</v>
      </c>
      <c r="BO25" s="132">
        <f t="shared" si="14"/>
        <v>19236.556094277479</v>
      </c>
      <c r="BP25" s="132">
        <f t="shared" si="15"/>
        <v>17112.916418593537</v>
      </c>
      <c r="BQ25" s="133">
        <f t="shared" si="37"/>
        <v>240128.40653719951</v>
      </c>
      <c r="BR25" s="130">
        <f t="shared" si="16"/>
        <v>589647.52968772908</v>
      </c>
      <c r="BS25" s="130">
        <f t="shared" si="38"/>
        <v>829775.93622492859</v>
      </c>
      <c r="BT25" s="130">
        <f t="shared" si="17"/>
        <v>913945.93622492859</v>
      </c>
      <c r="BU25" s="134">
        <f>AO25-100000</f>
        <v>4095000</v>
      </c>
      <c r="BV25" s="135">
        <v>18</v>
      </c>
      <c r="BW25" s="135" t="s">
        <v>667</v>
      </c>
      <c r="BX25" s="135"/>
    </row>
    <row r="26" spans="1:76" s="110" customFormat="1" ht="13.5" customHeight="1" x14ac:dyDescent="0.2">
      <c r="A26" s="128">
        <v>19</v>
      </c>
      <c r="B26" s="128">
        <v>33</v>
      </c>
      <c r="C26" s="129" t="s">
        <v>26</v>
      </c>
      <c r="D26" s="130">
        <v>100000</v>
      </c>
      <c r="E26" s="130">
        <f t="shared" ref="E26:G26" si="108">+F26-25000</f>
        <v>2078000</v>
      </c>
      <c r="F26" s="130">
        <f t="shared" si="108"/>
        <v>2103000</v>
      </c>
      <c r="G26" s="130">
        <f t="shared" si="108"/>
        <v>2128000</v>
      </c>
      <c r="H26" s="130">
        <f t="shared" ref="H26:O26" si="109">+I26-50000</f>
        <v>2153000</v>
      </c>
      <c r="I26" s="130">
        <f t="shared" si="109"/>
        <v>2203000</v>
      </c>
      <c r="J26" s="130">
        <f t="shared" si="109"/>
        <v>2253000</v>
      </c>
      <c r="K26" s="130">
        <f t="shared" si="109"/>
        <v>2303000</v>
      </c>
      <c r="L26" s="130">
        <f t="shared" si="109"/>
        <v>2353000</v>
      </c>
      <c r="M26" s="130">
        <f t="shared" si="109"/>
        <v>2403000</v>
      </c>
      <c r="N26" s="130">
        <f t="shared" si="109"/>
        <v>2453000</v>
      </c>
      <c r="O26" s="130">
        <f t="shared" si="109"/>
        <v>2503000</v>
      </c>
      <c r="P26" s="130">
        <v>2553000</v>
      </c>
      <c r="Q26" s="130">
        <v>600000</v>
      </c>
      <c r="R26" s="130">
        <f>+Q26+500000</f>
        <v>1100000</v>
      </c>
      <c r="S26" s="130">
        <f t="shared" ref="S26:U26" si="110">+R26+100000</f>
        <v>1200000</v>
      </c>
      <c r="T26" s="130">
        <f t="shared" si="110"/>
        <v>1300000</v>
      </c>
      <c r="U26" s="130">
        <f t="shared" si="110"/>
        <v>1400000</v>
      </c>
      <c r="V26" s="130"/>
      <c r="W26" s="130">
        <f>+V26+200000</f>
        <v>200000</v>
      </c>
      <c r="X26" s="130">
        <f t="shared" ref="X26:AA26" si="111">+W26+200000</f>
        <v>400000</v>
      </c>
      <c r="Y26" s="130">
        <f t="shared" si="111"/>
        <v>600000</v>
      </c>
      <c r="Z26" s="130">
        <f t="shared" si="111"/>
        <v>800000</v>
      </c>
      <c r="AA26" s="130">
        <f t="shared" si="111"/>
        <v>1000000</v>
      </c>
      <c r="AB26" s="130">
        <v>1200000</v>
      </c>
      <c r="AC26" s="130">
        <v>3200000</v>
      </c>
      <c r="AD26" s="130">
        <f>+AC26+50000</f>
        <v>3250000</v>
      </c>
      <c r="AE26" s="130">
        <f t="shared" ref="AE26:AM26" si="112">+AD26+50000</f>
        <v>3300000</v>
      </c>
      <c r="AF26" s="130">
        <f t="shared" si="112"/>
        <v>3350000</v>
      </c>
      <c r="AG26" s="130">
        <f t="shared" si="112"/>
        <v>3400000</v>
      </c>
      <c r="AH26" s="130">
        <f t="shared" si="112"/>
        <v>3450000</v>
      </c>
      <c r="AI26" s="130">
        <f t="shared" si="112"/>
        <v>3500000</v>
      </c>
      <c r="AJ26" s="130">
        <f t="shared" si="112"/>
        <v>3550000</v>
      </c>
      <c r="AK26" s="130">
        <f t="shared" si="112"/>
        <v>3600000</v>
      </c>
      <c r="AL26" s="130">
        <f t="shared" si="112"/>
        <v>3650000</v>
      </c>
      <c r="AM26" s="130">
        <f t="shared" si="112"/>
        <v>3700000</v>
      </c>
      <c r="AN26" s="130">
        <v>3750000</v>
      </c>
      <c r="AO26" s="130">
        <f t="shared" si="23"/>
        <v>7603000</v>
      </c>
      <c r="AP26" s="131">
        <f t="shared" si="24"/>
        <v>19000</v>
      </c>
      <c r="AQ26" s="131">
        <f t="shared" si="25"/>
        <v>21750</v>
      </c>
      <c r="AR26" s="131">
        <f t="shared" si="26"/>
        <v>22500</v>
      </c>
      <c r="AS26" s="131">
        <f t="shared" si="27"/>
        <v>23250</v>
      </c>
      <c r="AT26" s="131">
        <f t="shared" si="28"/>
        <v>24000</v>
      </c>
      <c r="AU26" s="131">
        <f t="shared" si="29"/>
        <v>17250</v>
      </c>
      <c r="AV26" s="131">
        <f t="shared" si="30"/>
        <v>18500</v>
      </c>
      <c r="AW26" s="131">
        <f t="shared" si="31"/>
        <v>19750</v>
      </c>
      <c r="AX26" s="131">
        <f t="shared" si="32"/>
        <v>21000</v>
      </c>
      <c r="AY26" s="131">
        <f t="shared" si="33"/>
        <v>22250</v>
      </c>
      <c r="AZ26" s="131">
        <f t="shared" si="34"/>
        <v>23500</v>
      </c>
      <c r="BA26" s="131">
        <f t="shared" si="35"/>
        <v>24750</v>
      </c>
      <c r="BB26" s="131">
        <v>0</v>
      </c>
      <c r="BC26" s="130">
        <v>0</v>
      </c>
      <c r="BD26" s="131">
        <f t="shared" si="82"/>
        <v>257500</v>
      </c>
      <c r="BE26" s="132">
        <f t="shared" si="4"/>
        <v>10595.321316144949</v>
      </c>
      <c r="BF26" s="132">
        <f t="shared" si="5"/>
        <v>10547.852628042918</v>
      </c>
      <c r="BG26" s="132">
        <f t="shared" si="6"/>
        <v>33813.460583751359</v>
      </c>
      <c r="BH26" s="132">
        <f t="shared" si="7"/>
        <v>55264.550160921033</v>
      </c>
      <c r="BI26" s="132">
        <f t="shared" si="8"/>
        <v>43289.47164109513</v>
      </c>
      <c r="BJ26" s="132">
        <f t="shared" si="9"/>
        <v>36252.553928673617</v>
      </c>
      <c r="BK26" s="132">
        <f t="shared" si="10"/>
        <v>26414.310860379894</v>
      </c>
      <c r="BL26" s="132">
        <f t="shared" si="11"/>
        <v>48646.082047300406</v>
      </c>
      <c r="BM26" s="132">
        <f t="shared" si="12"/>
        <v>51730.028613286748</v>
      </c>
      <c r="BN26" s="132">
        <f t="shared" si="13"/>
        <v>45179.429119034823</v>
      </c>
      <c r="BO26" s="132">
        <f t="shared" si="14"/>
        <v>34056.865250062649</v>
      </c>
      <c r="BP26" s="132">
        <f t="shared" si="15"/>
        <v>31015.376288573701</v>
      </c>
      <c r="BQ26" s="133">
        <f t="shared" si="37"/>
        <v>426805.30243726727</v>
      </c>
      <c r="BR26" s="130">
        <f t="shared" si="16"/>
        <v>0</v>
      </c>
      <c r="BS26" s="130">
        <f t="shared" si="38"/>
        <v>426805.30243726727</v>
      </c>
      <c r="BT26" s="130">
        <f t="shared" si="17"/>
        <v>684305.30243726727</v>
      </c>
      <c r="BU26" s="134">
        <f t="shared" ref="BU26:BU35" si="113">AO26-100000</f>
        <v>7503000</v>
      </c>
      <c r="BV26" s="135">
        <v>19</v>
      </c>
      <c r="BW26" s="135" t="s">
        <v>667</v>
      </c>
      <c r="BX26" s="135"/>
    </row>
    <row r="27" spans="1:76" s="127" customFormat="1" ht="13.5" customHeight="1" x14ac:dyDescent="0.2">
      <c r="A27" s="128">
        <v>20</v>
      </c>
      <c r="B27" s="128">
        <v>34</v>
      </c>
      <c r="C27" s="129" t="s">
        <v>27</v>
      </c>
      <c r="D27" s="130">
        <v>100000</v>
      </c>
      <c r="E27" s="130">
        <f t="shared" ref="E27:G27" si="114">+F27-25000</f>
        <v>2078000</v>
      </c>
      <c r="F27" s="130">
        <f t="shared" si="114"/>
        <v>2103000</v>
      </c>
      <c r="G27" s="130">
        <f t="shared" si="114"/>
        <v>2128000</v>
      </c>
      <c r="H27" s="130">
        <f t="shared" ref="H27:O27" si="115">+I27-50000</f>
        <v>2153000</v>
      </c>
      <c r="I27" s="130">
        <f t="shared" si="115"/>
        <v>2203000</v>
      </c>
      <c r="J27" s="130">
        <f t="shared" si="115"/>
        <v>2253000</v>
      </c>
      <c r="K27" s="130">
        <f t="shared" si="115"/>
        <v>2303000</v>
      </c>
      <c r="L27" s="130">
        <f t="shared" si="115"/>
        <v>2353000</v>
      </c>
      <c r="M27" s="130">
        <f t="shared" si="115"/>
        <v>2403000</v>
      </c>
      <c r="N27" s="130">
        <f t="shared" si="115"/>
        <v>2453000</v>
      </c>
      <c r="O27" s="130">
        <f t="shared" si="115"/>
        <v>2503000</v>
      </c>
      <c r="P27" s="130">
        <v>2553000</v>
      </c>
      <c r="Q27" s="130">
        <v>3000000</v>
      </c>
      <c r="R27" s="130">
        <f>+Q27+500000</f>
        <v>3500000</v>
      </c>
      <c r="S27" s="130">
        <f t="shared" ref="S27:AA27" si="116">+R27+500000</f>
        <v>4000000</v>
      </c>
      <c r="T27" s="130">
        <f t="shared" si="116"/>
        <v>4500000</v>
      </c>
      <c r="U27" s="130">
        <f t="shared" si="116"/>
        <v>5000000</v>
      </c>
      <c r="V27" s="130">
        <v>0</v>
      </c>
      <c r="W27" s="130">
        <f t="shared" si="116"/>
        <v>500000</v>
      </c>
      <c r="X27" s="130">
        <f t="shared" si="116"/>
        <v>1000000</v>
      </c>
      <c r="Y27" s="130">
        <f t="shared" si="116"/>
        <v>1500000</v>
      </c>
      <c r="Z27" s="130">
        <f t="shared" si="116"/>
        <v>2000000</v>
      </c>
      <c r="AA27" s="130">
        <f t="shared" si="116"/>
        <v>2500000</v>
      </c>
      <c r="AB27" s="130">
        <v>3000000</v>
      </c>
      <c r="AC27" s="130">
        <v>671000</v>
      </c>
      <c r="AD27" s="130">
        <f>+AC27+200000-800000</f>
        <v>71000</v>
      </c>
      <c r="AE27" s="130">
        <f t="shared" ref="AE27:AM27" si="117">+AD27+200000</f>
        <v>271000</v>
      </c>
      <c r="AF27" s="130">
        <f t="shared" si="117"/>
        <v>471000</v>
      </c>
      <c r="AG27" s="130">
        <f>+AF27+200000-400000</f>
        <v>271000</v>
      </c>
      <c r="AH27" s="130">
        <f>+AG27+200000-400000</f>
        <v>71000</v>
      </c>
      <c r="AI27" s="130">
        <f t="shared" si="117"/>
        <v>271000</v>
      </c>
      <c r="AJ27" s="130">
        <f>+AI27+200000-200000</f>
        <v>271000</v>
      </c>
      <c r="AK27" s="130">
        <f t="shared" si="117"/>
        <v>471000</v>
      </c>
      <c r="AL27" s="130">
        <f t="shared" si="117"/>
        <v>671000</v>
      </c>
      <c r="AM27" s="130">
        <f t="shared" si="117"/>
        <v>871000</v>
      </c>
      <c r="AN27" s="130">
        <v>1071000</v>
      </c>
      <c r="AO27" s="130">
        <f t="shared" si="23"/>
        <v>6724000</v>
      </c>
      <c r="AP27" s="131">
        <f t="shared" si="24"/>
        <v>18355</v>
      </c>
      <c r="AQ27" s="131">
        <f t="shared" si="25"/>
        <v>17855</v>
      </c>
      <c r="AR27" s="131">
        <f t="shared" si="26"/>
        <v>21355</v>
      </c>
      <c r="AS27" s="131">
        <f t="shared" si="27"/>
        <v>24855</v>
      </c>
      <c r="AT27" s="131">
        <f t="shared" si="28"/>
        <v>26355</v>
      </c>
      <c r="AU27" s="131">
        <f t="shared" si="29"/>
        <v>355</v>
      </c>
      <c r="AV27" s="131">
        <f t="shared" si="30"/>
        <v>3855</v>
      </c>
      <c r="AW27" s="131">
        <f t="shared" si="31"/>
        <v>6355</v>
      </c>
      <c r="AX27" s="131">
        <f t="shared" si="32"/>
        <v>9855</v>
      </c>
      <c r="AY27" s="131">
        <f t="shared" si="33"/>
        <v>13355</v>
      </c>
      <c r="AZ27" s="131">
        <f t="shared" si="34"/>
        <v>16855</v>
      </c>
      <c r="BA27" s="131">
        <f t="shared" si="35"/>
        <v>20355</v>
      </c>
      <c r="BB27" s="131">
        <v>1800000</v>
      </c>
      <c r="BC27" s="130">
        <v>3500000</v>
      </c>
      <c r="BD27" s="131">
        <f t="shared" si="82"/>
        <v>179760</v>
      </c>
      <c r="BE27" s="132">
        <f t="shared" si="4"/>
        <v>10366.683569443259</v>
      </c>
      <c r="BF27" s="132">
        <f t="shared" si="5"/>
        <v>9293.9571302181921</v>
      </c>
      <c r="BG27" s="132">
        <f t="shared" si="6"/>
        <v>32662.556529994068</v>
      </c>
      <c r="BH27" s="132">
        <f t="shared" si="7"/>
        <v>57834.435805083805</v>
      </c>
      <c r="BI27" s="132">
        <f t="shared" si="8"/>
        <v>46159.996932233495</v>
      </c>
      <c r="BJ27" s="132">
        <f t="shared" si="9"/>
        <v>15143.234658470592</v>
      </c>
      <c r="BK27" s="132">
        <f t="shared" si="10"/>
        <v>13737.346005381907</v>
      </c>
      <c r="BL27" s="132">
        <f t="shared" si="11"/>
        <v>28292.676799023378</v>
      </c>
      <c r="BM27" s="132">
        <f t="shared" si="12"/>
        <v>34527.845444703104</v>
      </c>
      <c r="BN27" s="132">
        <f t="shared" si="13"/>
        <v>33702.318680256736</v>
      </c>
      <c r="BO27" s="132">
        <f t="shared" si="14"/>
        <v>27859.196632051797</v>
      </c>
      <c r="BP27" s="132">
        <f t="shared" si="15"/>
        <v>27429.618593235507</v>
      </c>
      <c r="BQ27" s="133">
        <f t="shared" si="37"/>
        <v>337009.86678009579</v>
      </c>
      <c r="BR27" s="130">
        <f t="shared" si="16"/>
        <v>393098.3531251527</v>
      </c>
      <c r="BS27" s="130">
        <f t="shared" si="38"/>
        <v>730108.21990524849</v>
      </c>
      <c r="BT27" s="130">
        <f t="shared" si="17"/>
        <v>909868.21990524849</v>
      </c>
      <c r="BU27" s="134">
        <f t="shared" si="113"/>
        <v>6624000</v>
      </c>
      <c r="BV27" s="135">
        <v>20</v>
      </c>
      <c r="BW27" s="135" t="s">
        <v>667</v>
      </c>
      <c r="BX27" s="135"/>
    </row>
    <row r="28" spans="1:76" s="127" customFormat="1" ht="13.5" customHeight="1" x14ac:dyDescent="0.2">
      <c r="A28" s="128">
        <v>21</v>
      </c>
      <c r="B28" s="128">
        <v>35</v>
      </c>
      <c r="C28" s="129" t="s">
        <v>28</v>
      </c>
      <c r="D28" s="130">
        <v>100000</v>
      </c>
      <c r="E28" s="130">
        <f t="shared" ref="E28:G28" si="118">+F28-25000</f>
        <v>2078000</v>
      </c>
      <c r="F28" s="130">
        <f t="shared" si="118"/>
        <v>2103000</v>
      </c>
      <c r="G28" s="130">
        <f t="shared" si="118"/>
        <v>2128000</v>
      </c>
      <c r="H28" s="130">
        <f t="shared" ref="H28:O28" si="119">+I28-50000</f>
        <v>2153000</v>
      </c>
      <c r="I28" s="130">
        <f t="shared" si="119"/>
        <v>2203000</v>
      </c>
      <c r="J28" s="130">
        <f t="shared" si="119"/>
        <v>2253000</v>
      </c>
      <c r="K28" s="130">
        <f t="shared" si="119"/>
        <v>2303000</v>
      </c>
      <c r="L28" s="130">
        <f t="shared" si="119"/>
        <v>2353000</v>
      </c>
      <c r="M28" s="130">
        <f t="shared" si="119"/>
        <v>2403000</v>
      </c>
      <c r="N28" s="130">
        <f t="shared" si="119"/>
        <v>2453000</v>
      </c>
      <c r="O28" s="130">
        <f t="shared" si="119"/>
        <v>2503000</v>
      </c>
      <c r="P28" s="130">
        <v>2553000</v>
      </c>
      <c r="Q28" s="130">
        <v>1200000</v>
      </c>
      <c r="R28" s="130">
        <f>+Q28+200000</f>
        <v>1400000</v>
      </c>
      <c r="S28" s="130">
        <f t="shared" ref="S28:AA28" si="120">+R28+200000</f>
        <v>1600000</v>
      </c>
      <c r="T28" s="130">
        <f t="shared" si="120"/>
        <v>1800000</v>
      </c>
      <c r="U28" s="130">
        <f t="shared" si="120"/>
        <v>2000000</v>
      </c>
      <c r="V28" s="130">
        <v>0</v>
      </c>
      <c r="W28" s="130">
        <f t="shared" si="120"/>
        <v>200000</v>
      </c>
      <c r="X28" s="130">
        <f t="shared" si="120"/>
        <v>400000</v>
      </c>
      <c r="Y28" s="130">
        <f t="shared" si="120"/>
        <v>600000</v>
      </c>
      <c r="Z28" s="130">
        <f t="shared" si="120"/>
        <v>800000</v>
      </c>
      <c r="AA28" s="130">
        <f t="shared" si="120"/>
        <v>1000000</v>
      </c>
      <c r="AB28" s="130">
        <v>1200000</v>
      </c>
      <c r="AC28" s="130">
        <v>138000</v>
      </c>
      <c r="AD28" s="130">
        <f>+AC28+100000</f>
        <v>238000</v>
      </c>
      <c r="AE28" s="130">
        <f t="shared" ref="AE28:AL28" si="121">+AD28+100000</f>
        <v>338000</v>
      </c>
      <c r="AF28" s="130">
        <f>+AE28+100000-200000</f>
        <v>238000</v>
      </c>
      <c r="AG28" s="130">
        <f t="shared" si="121"/>
        <v>338000</v>
      </c>
      <c r="AH28" s="130">
        <f>+AG28+100000-300000</f>
        <v>138000</v>
      </c>
      <c r="AI28" s="130">
        <f t="shared" si="121"/>
        <v>238000</v>
      </c>
      <c r="AJ28" s="130">
        <f t="shared" si="121"/>
        <v>338000</v>
      </c>
      <c r="AK28" s="130">
        <f>+AJ28+100000-200000</f>
        <v>238000</v>
      </c>
      <c r="AL28" s="130">
        <f t="shared" si="121"/>
        <v>338000</v>
      </c>
      <c r="AM28" s="130">
        <f>+AL28+100000-200000</f>
        <v>238000</v>
      </c>
      <c r="AN28" s="130">
        <v>338000</v>
      </c>
      <c r="AO28" s="130">
        <f t="shared" si="23"/>
        <v>4191000</v>
      </c>
      <c r="AP28" s="131">
        <f t="shared" si="24"/>
        <v>6690</v>
      </c>
      <c r="AQ28" s="131">
        <f t="shared" si="25"/>
        <v>8190</v>
      </c>
      <c r="AR28" s="131">
        <f t="shared" si="26"/>
        <v>9690</v>
      </c>
      <c r="AS28" s="131">
        <f t="shared" si="27"/>
        <v>10190</v>
      </c>
      <c r="AT28" s="131">
        <f t="shared" si="28"/>
        <v>11690</v>
      </c>
      <c r="AU28" s="131">
        <f t="shared" si="29"/>
        <v>690</v>
      </c>
      <c r="AV28" s="131">
        <f t="shared" si="30"/>
        <v>2190</v>
      </c>
      <c r="AW28" s="131">
        <f t="shared" si="31"/>
        <v>3690</v>
      </c>
      <c r="AX28" s="131">
        <f t="shared" si="32"/>
        <v>4190</v>
      </c>
      <c r="AY28" s="131">
        <f t="shared" si="33"/>
        <v>5690</v>
      </c>
      <c r="AZ28" s="131">
        <f t="shared" si="34"/>
        <v>6190</v>
      </c>
      <c r="BA28" s="131">
        <f t="shared" si="35"/>
        <v>7690</v>
      </c>
      <c r="BB28" s="131">
        <v>2250000</v>
      </c>
      <c r="BC28" s="130">
        <v>0</v>
      </c>
      <c r="BD28" s="131">
        <f t="shared" si="82"/>
        <v>76780</v>
      </c>
      <c r="BE28" s="132">
        <f t="shared" si="4"/>
        <v>6231.7078868460421</v>
      </c>
      <c r="BF28" s="132">
        <f t="shared" si="5"/>
        <v>6182.5579039085687</v>
      </c>
      <c r="BG28" s="132">
        <f t="shared" si="6"/>
        <v>20937.407370973269</v>
      </c>
      <c r="BH28" s="132">
        <f t="shared" si="7"/>
        <v>34353.206539260056</v>
      </c>
      <c r="BI28" s="132">
        <f t="shared" si="8"/>
        <v>28284.730098032171</v>
      </c>
      <c r="BJ28" s="132">
        <f t="shared" si="9"/>
        <v>15561.797662644491</v>
      </c>
      <c r="BK28" s="132">
        <f t="shared" si="10"/>
        <v>12296.093258125393</v>
      </c>
      <c r="BL28" s="132">
        <f t="shared" si="11"/>
        <v>24243.268438690549</v>
      </c>
      <c r="BM28" s="132">
        <f t="shared" si="12"/>
        <v>25783.981142322991</v>
      </c>
      <c r="BN28" s="132">
        <f t="shared" si="13"/>
        <v>23812.26229878017</v>
      </c>
      <c r="BO28" s="132">
        <f t="shared" si="14"/>
        <v>17912.148353483586</v>
      </c>
      <c r="BP28" s="132">
        <f t="shared" si="15"/>
        <v>17096.598977431589</v>
      </c>
      <c r="BQ28" s="133">
        <f t="shared" si="37"/>
        <v>232695.7599304989</v>
      </c>
      <c r="BR28" s="130">
        <f t="shared" si="16"/>
        <v>491372.94140644086</v>
      </c>
      <c r="BS28" s="130">
        <f t="shared" si="38"/>
        <v>724068.70133693982</v>
      </c>
      <c r="BT28" s="130">
        <f t="shared" si="17"/>
        <v>800848.70133693982</v>
      </c>
      <c r="BU28" s="134">
        <f t="shared" si="113"/>
        <v>4091000</v>
      </c>
      <c r="BV28" s="135">
        <v>21</v>
      </c>
      <c r="BW28" s="135" t="s">
        <v>667</v>
      </c>
      <c r="BX28" s="135"/>
    </row>
    <row r="29" spans="1:76" s="110" customFormat="1" ht="13.5" customHeight="1" x14ac:dyDescent="0.2">
      <c r="A29" s="24">
        <v>22</v>
      </c>
      <c r="B29" s="24">
        <v>36</v>
      </c>
      <c r="C29" s="25" t="s">
        <v>29</v>
      </c>
      <c r="D29" s="26">
        <v>100000</v>
      </c>
      <c r="E29" s="26">
        <f t="shared" ref="E29:G29" si="122">+F29-25000</f>
        <v>2078000</v>
      </c>
      <c r="F29" s="26">
        <f t="shared" si="122"/>
        <v>2103000</v>
      </c>
      <c r="G29" s="26">
        <f t="shared" si="122"/>
        <v>2128000</v>
      </c>
      <c r="H29" s="26">
        <f t="shared" ref="H29:O29" si="123">+I29-50000</f>
        <v>2153000</v>
      </c>
      <c r="I29" s="26">
        <f t="shared" si="123"/>
        <v>2203000</v>
      </c>
      <c r="J29" s="26">
        <f t="shared" si="123"/>
        <v>2253000</v>
      </c>
      <c r="K29" s="26">
        <f t="shared" si="123"/>
        <v>2303000</v>
      </c>
      <c r="L29" s="26">
        <f t="shared" si="123"/>
        <v>2353000</v>
      </c>
      <c r="M29" s="26">
        <f t="shared" si="123"/>
        <v>2403000</v>
      </c>
      <c r="N29" s="26">
        <f t="shared" si="123"/>
        <v>2453000</v>
      </c>
      <c r="O29" s="26">
        <f t="shared" si="123"/>
        <v>2503000</v>
      </c>
      <c r="P29" s="26">
        <v>2553000</v>
      </c>
      <c r="Q29" s="26">
        <v>1500000</v>
      </c>
      <c r="R29" s="26">
        <f>+Q29+250000</f>
        <v>1750000</v>
      </c>
      <c r="S29" s="26">
        <f t="shared" ref="S29:U29" si="124">+R29+250000</f>
        <v>2000000</v>
      </c>
      <c r="T29" s="26">
        <f t="shared" si="124"/>
        <v>2250000</v>
      </c>
      <c r="U29" s="26">
        <f t="shared" si="124"/>
        <v>2500000</v>
      </c>
      <c r="V29" s="26">
        <v>0</v>
      </c>
      <c r="W29" s="26">
        <f>+V29+300000</f>
        <v>300000</v>
      </c>
      <c r="X29" s="26">
        <f t="shared" ref="X29:AA29" si="125">+W29+300000</f>
        <v>600000</v>
      </c>
      <c r="Y29" s="26">
        <f t="shared" si="125"/>
        <v>900000</v>
      </c>
      <c r="Z29" s="26">
        <f t="shared" si="125"/>
        <v>1200000</v>
      </c>
      <c r="AA29" s="26">
        <f t="shared" si="125"/>
        <v>1500000</v>
      </c>
      <c r="AB29" s="26">
        <v>1800000</v>
      </c>
      <c r="AC29" s="26">
        <v>10661000</v>
      </c>
      <c r="AD29" s="26">
        <f>+AC29+50000</f>
        <v>10711000</v>
      </c>
      <c r="AE29" s="26">
        <f>+AD29+50000+27000000</f>
        <v>37761000</v>
      </c>
      <c r="AF29" s="26">
        <f t="shared" ref="AF29:AI29" si="126">+AE29+50000</f>
        <v>37811000</v>
      </c>
      <c r="AG29" s="26">
        <f>+AF29+50000+14000000</f>
        <v>51861000</v>
      </c>
      <c r="AH29" s="26">
        <f t="shared" si="126"/>
        <v>51911000</v>
      </c>
      <c r="AI29" s="26">
        <f t="shared" si="126"/>
        <v>51961000</v>
      </c>
      <c r="AJ29" s="26">
        <f>+AI29+50000-7650000</f>
        <v>44361000</v>
      </c>
      <c r="AK29" s="26">
        <f>+AJ29+50000+8000000</f>
        <v>52411000</v>
      </c>
      <c r="AL29" s="26">
        <f>+AK29+50000-8550000</f>
        <v>43911000</v>
      </c>
      <c r="AM29" s="26">
        <f>+AL29+50000+17550000</f>
        <v>61511000</v>
      </c>
      <c r="AN29" s="26">
        <v>52211000</v>
      </c>
      <c r="AO29" s="26">
        <f t="shared" si="23"/>
        <v>56664000</v>
      </c>
      <c r="AP29" s="27">
        <f t="shared" si="24"/>
        <v>60805</v>
      </c>
      <c r="AQ29" s="27">
        <f t="shared" si="25"/>
        <v>62305</v>
      </c>
      <c r="AR29" s="27">
        <f t="shared" si="26"/>
        <v>198805</v>
      </c>
      <c r="AS29" s="27">
        <f t="shared" si="27"/>
        <v>200305</v>
      </c>
      <c r="AT29" s="27">
        <f t="shared" si="28"/>
        <v>271805</v>
      </c>
      <c r="AU29" s="27">
        <f t="shared" si="29"/>
        <v>259555</v>
      </c>
      <c r="AV29" s="27">
        <f t="shared" si="30"/>
        <v>261305</v>
      </c>
      <c r="AW29" s="27">
        <f t="shared" si="31"/>
        <v>224805</v>
      </c>
      <c r="AX29" s="27">
        <f t="shared" si="32"/>
        <v>266555</v>
      </c>
      <c r="AY29" s="27">
        <f t="shared" si="33"/>
        <v>225555</v>
      </c>
      <c r="AZ29" s="27">
        <f t="shared" si="34"/>
        <v>315055</v>
      </c>
      <c r="BA29" s="27">
        <f t="shared" si="35"/>
        <v>270055</v>
      </c>
      <c r="BB29" s="27">
        <v>2760000</v>
      </c>
      <c r="BC29" s="26">
        <f>7354000+2664000</f>
        <v>10018000</v>
      </c>
      <c r="BD29" s="27">
        <f t="shared" si="82"/>
        <v>2616910</v>
      </c>
      <c r="BE29" s="28">
        <f t="shared" si="4"/>
        <v>25414.237596554438</v>
      </c>
      <c r="BF29" s="28">
        <f t="shared" si="5"/>
        <v>23603.496251735291</v>
      </c>
      <c r="BG29" s="28">
        <f t="shared" si="6"/>
        <v>211027.55595290367</v>
      </c>
      <c r="BH29" s="28">
        <f t="shared" si="7"/>
        <v>338760.56432119547</v>
      </c>
      <c r="BI29" s="28">
        <f t="shared" si="8"/>
        <v>345340.64776446775</v>
      </c>
      <c r="BJ29" s="28">
        <f t="shared" si="9"/>
        <v>338998.55012675253</v>
      </c>
      <c r="BK29" s="28">
        <f t="shared" si="10"/>
        <v>236590.51103912937</v>
      </c>
      <c r="BL29" s="28">
        <f t="shared" si="11"/>
        <v>360222.60412161506</v>
      </c>
      <c r="BM29" s="28">
        <f t="shared" si="12"/>
        <v>430741.43175025901</v>
      </c>
      <c r="BN29" s="28">
        <f t="shared" si="13"/>
        <v>307501.40076105611</v>
      </c>
      <c r="BO29" s="28">
        <f t="shared" si="14"/>
        <v>305984.82219876908</v>
      </c>
      <c r="BP29" s="28">
        <f t="shared" si="15"/>
        <v>231152.87150016311</v>
      </c>
      <c r="BQ29" s="29">
        <f t="shared" si="37"/>
        <v>3155338.6933846008</v>
      </c>
      <c r="BR29" s="26">
        <f t="shared" si="16"/>
        <v>602750.80812523409</v>
      </c>
      <c r="BS29" s="26">
        <f t="shared" si="38"/>
        <v>3758089.501509835</v>
      </c>
      <c r="BT29" s="26">
        <f t="shared" si="17"/>
        <v>6374999.501509835</v>
      </c>
      <c r="BU29" s="111">
        <f t="shared" si="113"/>
        <v>56564000</v>
      </c>
      <c r="BV29" s="110">
        <v>22</v>
      </c>
      <c r="BW29" s="115" t="s">
        <v>667</v>
      </c>
      <c r="BX29" s="125"/>
    </row>
    <row r="30" spans="1:76" s="127" customFormat="1" ht="13.5" customHeight="1" x14ac:dyDescent="0.2">
      <c r="A30" s="128">
        <v>23</v>
      </c>
      <c r="B30" s="128">
        <v>37</v>
      </c>
      <c r="C30" s="129" t="s">
        <v>30</v>
      </c>
      <c r="D30" s="130">
        <v>100000</v>
      </c>
      <c r="E30" s="130">
        <f t="shared" ref="E30:G30" si="127">+F30-25000</f>
        <v>2078000</v>
      </c>
      <c r="F30" s="130">
        <f t="shared" si="127"/>
        <v>2103000</v>
      </c>
      <c r="G30" s="130">
        <f t="shared" si="127"/>
        <v>2128000</v>
      </c>
      <c r="H30" s="130">
        <f t="shared" ref="H30:O30" si="128">+I30-50000</f>
        <v>2153000</v>
      </c>
      <c r="I30" s="130">
        <f t="shared" si="128"/>
        <v>2203000</v>
      </c>
      <c r="J30" s="130">
        <f t="shared" si="128"/>
        <v>2253000</v>
      </c>
      <c r="K30" s="130">
        <f t="shared" si="128"/>
        <v>2303000</v>
      </c>
      <c r="L30" s="130">
        <f t="shared" si="128"/>
        <v>2353000</v>
      </c>
      <c r="M30" s="130">
        <f t="shared" si="128"/>
        <v>2403000</v>
      </c>
      <c r="N30" s="130">
        <f t="shared" si="128"/>
        <v>2453000</v>
      </c>
      <c r="O30" s="130">
        <f t="shared" si="128"/>
        <v>2503000</v>
      </c>
      <c r="P30" s="130">
        <v>2553000</v>
      </c>
      <c r="Q30" s="130">
        <v>450000</v>
      </c>
      <c r="R30" s="130">
        <f>+Q30+75000</f>
        <v>525000</v>
      </c>
      <c r="S30" s="130">
        <f t="shared" ref="S30:U30" si="129">+R30+75000</f>
        <v>600000</v>
      </c>
      <c r="T30" s="130">
        <f t="shared" si="129"/>
        <v>675000</v>
      </c>
      <c r="U30" s="130">
        <f t="shared" si="129"/>
        <v>750000</v>
      </c>
      <c r="V30" s="130">
        <v>0</v>
      </c>
      <c r="W30" s="130">
        <f>+V30+100000</f>
        <v>100000</v>
      </c>
      <c r="X30" s="130">
        <f t="shared" ref="X30:AA30" si="130">+W30+100000</f>
        <v>200000</v>
      </c>
      <c r="Y30" s="130">
        <f t="shared" si="130"/>
        <v>300000</v>
      </c>
      <c r="Z30" s="130">
        <f t="shared" si="130"/>
        <v>400000</v>
      </c>
      <c r="AA30" s="130">
        <f t="shared" si="130"/>
        <v>500000</v>
      </c>
      <c r="AB30" s="130">
        <v>600000</v>
      </c>
      <c r="AC30" s="130">
        <v>277000</v>
      </c>
      <c r="AD30" s="130">
        <f>+AC30+10000</f>
        <v>287000</v>
      </c>
      <c r="AE30" s="130">
        <f t="shared" ref="AE30:AM30" si="131">+AD30+10000</f>
        <v>297000</v>
      </c>
      <c r="AF30" s="130">
        <f t="shared" si="131"/>
        <v>307000</v>
      </c>
      <c r="AG30" s="130">
        <f t="shared" si="131"/>
        <v>317000</v>
      </c>
      <c r="AH30" s="130">
        <f t="shared" si="131"/>
        <v>327000</v>
      </c>
      <c r="AI30" s="130">
        <f t="shared" si="131"/>
        <v>337000</v>
      </c>
      <c r="AJ30" s="130">
        <f t="shared" si="131"/>
        <v>347000</v>
      </c>
      <c r="AK30" s="130">
        <f t="shared" si="131"/>
        <v>357000</v>
      </c>
      <c r="AL30" s="130">
        <f t="shared" si="131"/>
        <v>367000</v>
      </c>
      <c r="AM30" s="130">
        <f t="shared" si="131"/>
        <v>377000</v>
      </c>
      <c r="AN30" s="130">
        <v>387000</v>
      </c>
      <c r="AO30" s="130">
        <f t="shared" si="23"/>
        <v>3640000</v>
      </c>
      <c r="AP30" s="131">
        <f t="shared" si="24"/>
        <v>3635</v>
      </c>
      <c r="AQ30" s="131">
        <f t="shared" si="25"/>
        <v>4060</v>
      </c>
      <c r="AR30" s="131">
        <f t="shared" si="26"/>
        <v>4485</v>
      </c>
      <c r="AS30" s="131">
        <f t="shared" si="27"/>
        <v>4910</v>
      </c>
      <c r="AT30" s="131">
        <f t="shared" si="28"/>
        <v>5335</v>
      </c>
      <c r="AU30" s="131">
        <f t="shared" si="29"/>
        <v>1635</v>
      </c>
      <c r="AV30" s="131">
        <f t="shared" si="30"/>
        <v>2185</v>
      </c>
      <c r="AW30" s="131">
        <f t="shared" si="31"/>
        <v>2735</v>
      </c>
      <c r="AX30" s="131">
        <f t="shared" si="32"/>
        <v>3285</v>
      </c>
      <c r="AY30" s="131">
        <f t="shared" si="33"/>
        <v>3835</v>
      </c>
      <c r="AZ30" s="131">
        <f t="shared" si="34"/>
        <v>4385</v>
      </c>
      <c r="BA30" s="131">
        <f t="shared" si="35"/>
        <v>4935</v>
      </c>
      <c r="BB30" s="131">
        <v>1800000</v>
      </c>
      <c r="BC30" s="130">
        <v>4162000</v>
      </c>
      <c r="BD30" s="131">
        <f t="shared" si="82"/>
        <v>45420</v>
      </c>
      <c r="BE30" s="132">
        <f t="shared" si="4"/>
        <v>5148.780264871375</v>
      </c>
      <c r="BF30" s="132">
        <f t="shared" si="5"/>
        <v>4853.0101745077673</v>
      </c>
      <c r="BG30" s="132">
        <f t="shared" si="6"/>
        <v>15705.568419177021</v>
      </c>
      <c r="BH30" s="132">
        <f t="shared" si="7"/>
        <v>25899.003298649794</v>
      </c>
      <c r="BI30" s="132">
        <f t="shared" si="8"/>
        <v>20538.577985427368</v>
      </c>
      <c r="BJ30" s="132">
        <f t="shared" si="9"/>
        <v>16742.520166955936</v>
      </c>
      <c r="BK30" s="132">
        <f t="shared" si="10"/>
        <v>12291.765171797297</v>
      </c>
      <c r="BL30" s="132">
        <f t="shared" si="11"/>
        <v>22792.167131329254</v>
      </c>
      <c r="BM30" s="132">
        <f t="shared" si="12"/>
        <v>24387.123738324051</v>
      </c>
      <c r="BN30" s="132">
        <f t="shared" si="13"/>
        <v>21418.77833431324</v>
      </c>
      <c r="BO30" s="132">
        <f t="shared" si="14"/>
        <v>16228.658232263182</v>
      </c>
      <c r="BP30" s="132">
        <f t="shared" si="15"/>
        <v>14848.871457373178</v>
      </c>
      <c r="BQ30" s="133">
        <f t="shared" si="37"/>
        <v>200854.82437498946</v>
      </c>
      <c r="BR30" s="130">
        <f t="shared" si="16"/>
        <v>393098.3531251527</v>
      </c>
      <c r="BS30" s="130">
        <f t="shared" si="38"/>
        <v>593953.17750014213</v>
      </c>
      <c r="BT30" s="130">
        <f t="shared" si="17"/>
        <v>639373.17750014213</v>
      </c>
      <c r="BU30" s="134">
        <f t="shared" si="113"/>
        <v>3540000</v>
      </c>
      <c r="BV30" s="135">
        <v>23</v>
      </c>
      <c r="BW30" s="135" t="s">
        <v>667</v>
      </c>
      <c r="BX30" s="135"/>
    </row>
    <row r="31" spans="1:76" s="127" customFormat="1" ht="13.5" customHeight="1" x14ac:dyDescent="0.2">
      <c r="A31" s="128">
        <v>24</v>
      </c>
      <c r="B31" s="128">
        <v>38</v>
      </c>
      <c r="C31" s="129" t="s">
        <v>31</v>
      </c>
      <c r="D31" s="130">
        <v>100000</v>
      </c>
      <c r="E31" s="130">
        <f t="shared" ref="E31:G31" si="132">+F31-25000</f>
        <v>2078000</v>
      </c>
      <c r="F31" s="130">
        <f t="shared" si="132"/>
        <v>2103000</v>
      </c>
      <c r="G31" s="130">
        <f t="shared" si="132"/>
        <v>2128000</v>
      </c>
      <c r="H31" s="130">
        <f t="shared" ref="H31:O31" si="133">+I31-50000</f>
        <v>2153000</v>
      </c>
      <c r="I31" s="130">
        <f t="shared" si="133"/>
        <v>2203000</v>
      </c>
      <c r="J31" s="130">
        <f t="shared" si="133"/>
        <v>2253000</v>
      </c>
      <c r="K31" s="130">
        <f t="shared" si="133"/>
        <v>2303000</v>
      </c>
      <c r="L31" s="130">
        <f t="shared" si="133"/>
        <v>2353000</v>
      </c>
      <c r="M31" s="130">
        <f t="shared" si="133"/>
        <v>2403000</v>
      </c>
      <c r="N31" s="130">
        <f t="shared" si="133"/>
        <v>2453000</v>
      </c>
      <c r="O31" s="130">
        <f t="shared" si="133"/>
        <v>2503000</v>
      </c>
      <c r="P31" s="130">
        <v>2553000</v>
      </c>
      <c r="Q31" s="130">
        <v>1500000</v>
      </c>
      <c r="R31" s="130">
        <f>+Q31+250000</f>
        <v>1750000</v>
      </c>
      <c r="S31" s="130">
        <f t="shared" ref="S31:AA31" si="134">+R31+250000</f>
        <v>2000000</v>
      </c>
      <c r="T31" s="130">
        <f t="shared" si="134"/>
        <v>2250000</v>
      </c>
      <c r="U31" s="130">
        <f t="shared" si="134"/>
        <v>2500000</v>
      </c>
      <c r="V31" s="130">
        <v>0</v>
      </c>
      <c r="W31" s="130">
        <f t="shared" si="134"/>
        <v>250000</v>
      </c>
      <c r="X31" s="130">
        <f t="shared" si="134"/>
        <v>500000</v>
      </c>
      <c r="Y31" s="130">
        <f t="shared" si="134"/>
        <v>750000</v>
      </c>
      <c r="Z31" s="130">
        <f t="shared" si="134"/>
        <v>1000000</v>
      </c>
      <c r="AA31" s="130">
        <f t="shared" si="134"/>
        <v>1250000</v>
      </c>
      <c r="AB31" s="130">
        <v>1500000</v>
      </c>
      <c r="AC31" s="130">
        <v>76000</v>
      </c>
      <c r="AD31" s="130">
        <f>50000+AC31</f>
        <v>126000</v>
      </c>
      <c r="AE31" s="130">
        <f t="shared" ref="AE31:AM31" si="135">50000+AD31</f>
        <v>176000</v>
      </c>
      <c r="AF31" s="130">
        <f t="shared" si="135"/>
        <v>226000</v>
      </c>
      <c r="AG31" s="130">
        <f>50000+AF31-200000</f>
        <v>76000</v>
      </c>
      <c r="AH31" s="130">
        <f t="shared" si="135"/>
        <v>126000</v>
      </c>
      <c r="AI31" s="130">
        <f t="shared" si="135"/>
        <v>176000</v>
      </c>
      <c r="AJ31" s="130">
        <f t="shared" si="135"/>
        <v>226000</v>
      </c>
      <c r="AK31" s="130">
        <f t="shared" si="135"/>
        <v>276000</v>
      </c>
      <c r="AL31" s="130">
        <f t="shared" si="135"/>
        <v>326000</v>
      </c>
      <c r="AM31" s="130">
        <f t="shared" si="135"/>
        <v>376000</v>
      </c>
      <c r="AN31" s="130">
        <v>426000</v>
      </c>
      <c r="AO31" s="130">
        <f t="shared" si="23"/>
        <v>4579000</v>
      </c>
      <c r="AP31" s="131">
        <f t="shared" si="24"/>
        <v>7880</v>
      </c>
      <c r="AQ31" s="131">
        <f t="shared" si="25"/>
        <v>9380</v>
      </c>
      <c r="AR31" s="131">
        <f t="shared" si="26"/>
        <v>10880</v>
      </c>
      <c r="AS31" s="131">
        <f t="shared" si="27"/>
        <v>12380</v>
      </c>
      <c r="AT31" s="131">
        <f t="shared" si="28"/>
        <v>12880</v>
      </c>
      <c r="AU31" s="131">
        <f t="shared" si="29"/>
        <v>630</v>
      </c>
      <c r="AV31" s="131">
        <f t="shared" si="30"/>
        <v>2130</v>
      </c>
      <c r="AW31" s="131">
        <f t="shared" si="31"/>
        <v>3630</v>
      </c>
      <c r="AX31" s="131">
        <f t="shared" si="32"/>
        <v>5130</v>
      </c>
      <c r="AY31" s="131">
        <f t="shared" si="33"/>
        <v>6630</v>
      </c>
      <c r="AZ31" s="131">
        <f t="shared" si="34"/>
        <v>8130</v>
      </c>
      <c r="BA31" s="131">
        <f t="shared" si="35"/>
        <v>9630</v>
      </c>
      <c r="BB31" s="131">
        <v>1800000</v>
      </c>
      <c r="BC31" s="130">
        <v>409000</v>
      </c>
      <c r="BD31" s="131">
        <f t="shared" si="82"/>
        <v>89310</v>
      </c>
      <c r="BE31" s="132">
        <f t="shared" si="4"/>
        <v>6653.5356675824924</v>
      </c>
      <c r="BF31" s="132">
        <f t="shared" si="5"/>
        <v>6565.6479276342234</v>
      </c>
      <c r="BG31" s="132">
        <f t="shared" si="6"/>
        <v>22133.543461777794</v>
      </c>
      <c r="BH31" s="132">
        <f t="shared" si="7"/>
        <v>37859.779474285897</v>
      </c>
      <c r="BI31" s="132">
        <f t="shared" si="8"/>
        <v>29735.229077418437</v>
      </c>
      <c r="BJ31" s="132">
        <f t="shared" si="9"/>
        <v>15486.83115443424</v>
      </c>
      <c r="BK31" s="132">
        <f t="shared" si="10"/>
        <v>12244.156222188221</v>
      </c>
      <c r="BL31" s="132">
        <f t="shared" si="11"/>
        <v>24152.09977016523</v>
      </c>
      <c r="BM31" s="132">
        <f t="shared" si="12"/>
        <v>27234.860655868852</v>
      </c>
      <c r="BN31" s="132">
        <f t="shared" si="13"/>
        <v>25025.132879156943</v>
      </c>
      <c r="BO31" s="132">
        <f t="shared" si="14"/>
        <v>19721.550478230172</v>
      </c>
      <c r="BP31" s="132">
        <f t="shared" si="15"/>
        <v>18679.390770140599</v>
      </c>
      <c r="BQ31" s="133">
        <f t="shared" si="37"/>
        <v>245491.7575388831</v>
      </c>
      <c r="BR31" s="130">
        <f t="shared" si="16"/>
        <v>393098.3531251527</v>
      </c>
      <c r="BS31" s="130">
        <f t="shared" si="38"/>
        <v>638590.11066403578</v>
      </c>
      <c r="BT31" s="130">
        <f t="shared" si="17"/>
        <v>727900.11066403578</v>
      </c>
      <c r="BU31" s="134">
        <f t="shared" si="113"/>
        <v>4479000</v>
      </c>
      <c r="BV31" s="135">
        <v>24</v>
      </c>
      <c r="BW31" s="135" t="s">
        <v>667</v>
      </c>
      <c r="BX31" s="135"/>
    </row>
    <row r="32" spans="1:76" s="127" customFormat="1" ht="13.5" customHeight="1" x14ac:dyDescent="0.2">
      <c r="A32" s="128">
        <v>25</v>
      </c>
      <c r="B32" s="128">
        <v>39</v>
      </c>
      <c r="C32" s="129" t="s">
        <v>32</v>
      </c>
      <c r="D32" s="130">
        <v>100000</v>
      </c>
      <c r="E32" s="130">
        <f t="shared" ref="E32:G32" si="136">+F32-25000</f>
        <v>2078000</v>
      </c>
      <c r="F32" s="130">
        <f t="shared" si="136"/>
        <v>2103000</v>
      </c>
      <c r="G32" s="130">
        <f t="shared" si="136"/>
        <v>2128000</v>
      </c>
      <c r="H32" s="130">
        <f t="shared" ref="H32:O32" si="137">+I32-50000</f>
        <v>2153000</v>
      </c>
      <c r="I32" s="130">
        <f t="shared" si="137"/>
        <v>2203000</v>
      </c>
      <c r="J32" s="130">
        <f t="shared" si="137"/>
        <v>2253000</v>
      </c>
      <c r="K32" s="130">
        <f t="shared" si="137"/>
        <v>2303000</v>
      </c>
      <c r="L32" s="130">
        <f t="shared" si="137"/>
        <v>2353000</v>
      </c>
      <c r="M32" s="130">
        <f t="shared" si="137"/>
        <v>2403000</v>
      </c>
      <c r="N32" s="130">
        <f t="shared" si="137"/>
        <v>2453000</v>
      </c>
      <c r="O32" s="130">
        <f t="shared" si="137"/>
        <v>2503000</v>
      </c>
      <c r="P32" s="130">
        <v>2553000</v>
      </c>
      <c r="Q32" s="130">
        <v>1800000</v>
      </c>
      <c r="R32" s="130">
        <f>+Q32+300000</f>
        <v>2100000</v>
      </c>
      <c r="S32" s="130">
        <f t="shared" ref="S32:AA34" si="138">+R32+300000</f>
        <v>2400000</v>
      </c>
      <c r="T32" s="130">
        <f t="shared" si="138"/>
        <v>2700000</v>
      </c>
      <c r="U32" s="130">
        <f t="shared" si="138"/>
        <v>3000000</v>
      </c>
      <c r="V32" s="130">
        <v>0</v>
      </c>
      <c r="W32" s="130">
        <f t="shared" si="138"/>
        <v>300000</v>
      </c>
      <c r="X32" s="130">
        <f t="shared" si="138"/>
        <v>600000</v>
      </c>
      <c r="Y32" s="130">
        <f t="shared" si="138"/>
        <v>900000</v>
      </c>
      <c r="Z32" s="130">
        <f t="shared" si="138"/>
        <v>1200000</v>
      </c>
      <c r="AA32" s="130">
        <f t="shared" si="138"/>
        <v>1500000</v>
      </c>
      <c r="AB32" s="130">
        <v>1800000</v>
      </c>
      <c r="AC32" s="130">
        <v>129000</v>
      </c>
      <c r="AD32" s="130">
        <f>+AC32+50000</f>
        <v>179000</v>
      </c>
      <c r="AE32" s="130">
        <f>+AD32+50000-200000</f>
        <v>29000</v>
      </c>
      <c r="AF32" s="130">
        <f t="shared" ref="AF32:AM32" si="139">+AE32+50000</f>
        <v>79000</v>
      </c>
      <c r="AG32" s="130">
        <f t="shared" si="139"/>
        <v>129000</v>
      </c>
      <c r="AH32" s="130">
        <f>+AG32+50000-150000</f>
        <v>29000</v>
      </c>
      <c r="AI32" s="130">
        <f t="shared" si="139"/>
        <v>79000</v>
      </c>
      <c r="AJ32" s="130">
        <f t="shared" si="139"/>
        <v>129000</v>
      </c>
      <c r="AK32" s="130">
        <f t="shared" si="139"/>
        <v>179000</v>
      </c>
      <c r="AL32" s="130">
        <f>+AK32+50000-150000</f>
        <v>79000</v>
      </c>
      <c r="AM32" s="130">
        <f t="shared" si="139"/>
        <v>129000</v>
      </c>
      <c r="AN32" s="130">
        <v>179000</v>
      </c>
      <c r="AO32" s="130">
        <f t="shared" si="23"/>
        <v>4632000</v>
      </c>
      <c r="AP32" s="131">
        <f t="shared" si="24"/>
        <v>9645</v>
      </c>
      <c r="AQ32" s="131">
        <f t="shared" si="25"/>
        <v>11395</v>
      </c>
      <c r="AR32" s="131">
        <f t="shared" si="26"/>
        <v>12145</v>
      </c>
      <c r="AS32" s="131">
        <f t="shared" si="27"/>
        <v>13895</v>
      </c>
      <c r="AT32" s="131">
        <f t="shared" si="28"/>
        <v>15645</v>
      </c>
      <c r="AU32" s="131">
        <f t="shared" si="29"/>
        <v>145</v>
      </c>
      <c r="AV32" s="131">
        <f t="shared" si="30"/>
        <v>1895</v>
      </c>
      <c r="AW32" s="131">
        <f t="shared" si="31"/>
        <v>3645</v>
      </c>
      <c r="AX32" s="131">
        <f t="shared" si="32"/>
        <v>5395</v>
      </c>
      <c r="AY32" s="131">
        <f t="shared" si="33"/>
        <v>6395</v>
      </c>
      <c r="AZ32" s="131">
        <f t="shared" si="34"/>
        <v>8145</v>
      </c>
      <c r="BA32" s="131">
        <f t="shared" si="35"/>
        <v>9895</v>
      </c>
      <c r="BB32" s="131">
        <v>2250000</v>
      </c>
      <c r="BC32" s="130">
        <v>9375000</v>
      </c>
      <c r="BD32" s="131">
        <f t="shared" si="82"/>
        <v>98240</v>
      </c>
      <c r="BE32" s="132">
        <f t="shared" si="4"/>
        <v>7279.1877961537821</v>
      </c>
      <c r="BF32" s="132">
        <f t="shared" si="5"/>
        <v>7214.3255728503527</v>
      </c>
      <c r="BG32" s="132">
        <f t="shared" si="6"/>
        <v>23405.066280994364</v>
      </c>
      <c r="BH32" s="132">
        <f t="shared" si="7"/>
        <v>40285.559381392821</v>
      </c>
      <c r="BI32" s="132">
        <f t="shared" si="8"/>
        <v>33105.506117757111</v>
      </c>
      <c r="BJ32" s="132">
        <f t="shared" si="9"/>
        <v>14880.851879734715</v>
      </c>
      <c r="BK32" s="132">
        <f t="shared" si="10"/>
        <v>12040.736164767633</v>
      </c>
      <c r="BL32" s="132">
        <f t="shared" si="11"/>
        <v>24174.891937296561</v>
      </c>
      <c r="BM32" s="132">
        <f t="shared" si="12"/>
        <v>27643.885199581251</v>
      </c>
      <c r="BN32" s="132">
        <f t="shared" si="13"/>
        <v>24721.915234062752</v>
      </c>
      <c r="BO32" s="132">
        <f t="shared" si="14"/>
        <v>19735.540700844191</v>
      </c>
      <c r="BP32" s="132">
        <f t="shared" si="15"/>
        <v>18895.596865536416</v>
      </c>
      <c r="BQ32" s="133">
        <f t="shared" si="37"/>
        <v>253383.063130972</v>
      </c>
      <c r="BR32" s="130">
        <f t="shared" si="16"/>
        <v>491372.94140644086</v>
      </c>
      <c r="BS32" s="130">
        <f t="shared" si="38"/>
        <v>744756.0045374129</v>
      </c>
      <c r="BT32" s="130">
        <f t="shared" si="17"/>
        <v>842996.0045374129</v>
      </c>
      <c r="BU32" s="134">
        <f t="shared" si="113"/>
        <v>4532000</v>
      </c>
      <c r="BV32" s="135">
        <v>25</v>
      </c>
      <c r="BW32" s="135" t="s">
        <v>667</v>
      </c>
      <c r="BX32" s="135"/>
    </row>
    <row r="33" spans="1:76" s="110" customFormat="1" ht="13.5" customHeight="1" x14ac:dyDescent="0.2">
      <c r="A33" s="24">
        <v>26</v>
      </c>
      <c r="B33" s="24">
        <v>40</v>
      </c>
      <c r="C33" s="25" t="s">
        <v>33</v>
      </c>
      <c r="D33" s="26">
        <v>100000</v>
      </c>
      <c r="E33" s="26">
        <f t="shared" ref="E33:G33" si="140">+F33-25000</f>
        <v>2078000</v>
      </c>
      <c r="F33" s="26">
        <f t="shared" si="140"/>
        <v>2103000</v>
      </c>
      <c r="G33" s="26">
        <f t="shared" si="140"/>
        <v>2128000</v>
      </c>
      <c r="H33" s="26">
        <f t="shared" ref="H33:O33" si="141">+I33-50000</f>
        <v>2153000</v>
      </c>
      <c r="I33" s="26">
        <f t="shared" si="141"/>
        <v>2203000</v>
      </c>
      <c r="J33" s="26">
        <f t="shared" si="141"/>
        <v>2253000</v>
      </c>
      <c r="K33" s="26">
        <f t="shared" si="141"/>
        <v>2303000</v>
      </c>
      <c r="L33" s="26">
        <f t="shared" si="141"/>
        <v>2353000</v>
      </c>
      <c r="M33" s="26">
        <f t="shared" si="141"/>
        <v>2403000</v>
      </c>
      <c r="N33" s="26">
        <f t="shared" si="141"/>
        <v>2453000</v>
      </c>
      <c r="O33" s="26">
        <f t="shared" si="141"/>
        <v>2503000</v>
      </c>
      <c r="P33" s="26">
        <v>2553000</v>
      </c>
      <c r="Q33" s="26">
        <v>3000000</v>
      </c>
      <c r="R33" s="26">
        <f>+Q33+500000</f>
        <v>3500000</v>
      </c>
      <c r="S33" s="26">
        <f t="shared" ref="S33:AA33" si="142">+R33+500000</f>
        <v>4000000</v>
      </c>
      <c r="T33" s="26">
        <f t="shared" si="142"/>
        <v>4500000</v>
      </c>
      <c r="U33" s="26">
        <f t="shared" si="142"/>
        <v>5000000</v>
      </c>
      <c r="V33" s="26">
        <v>0</v>
      </c>
      <c r="W33" s="26">
        <v>0</v>
      </c>
      <c r="X33" s="26">
        <f t="shared" si="142"/>
        <v>500000</v>
      </c>
      <c r="Y33" s="26">
        <f t="shared" si="142"/>
        <v>1000000</v>
      </c>
      <c r="Z33" s="26">
        <f t="shared" si="142"/>
        <v>1500000</v>
      </c>
      <c r="AA33" s="26">
        <f t="shared" si="142"/>
        <v>2000000</v>
      </c>
      <c r="AB33" s="26">
        <v>2500000</v>
      </c>
      <c r="AC33" s="26">
        <v>134000</v>
      </c>
      <c r="AD33" s="26">
        <f>+AC33+3000</f>
        <v>137000</v>
      </c>
      <c r="AE33" s="26">
        <f t="shared" ref="AE33:AM33" si="143">+AD33+3000</f>
        <v>140000</v>
      </c>
      <c r="AF33" s="26">
        <f t="shared" si="143"/>
        <v>143000</v>
      </c>
      <c r="AG33" s="26">
        <f t="shared" si="143"/>
        <v>146000</v>
      </c>
      <c r="AH33" s="26">
        <f t="shared" si="143"/>
        <v>149000</v>
      </c>
      <c r="AI33" s="26">
        <f t="shared" si="143"/>
        <v>152000</v>
      </c>
      <c r="AJ33" s="26">
        <f t="shared" si="143"/>
        <v>155000</v>
      </c>
      <c r="AK33" s="26">
        <f t="shared" si="143"/>
        <v>158000</v>
      </c>
      <c r="AL33" s="26">
        <f t="shared" si="143"/>
        <v>161000</v>
      </c>
      <c r="AM33" s="26">
        <f t="shared" si="143"/>
        <v>164000</v>
      </c>
      <c r="AN33" s="26">
        <v>167000</v>
      </c>
      <c r="AO33" s="26">
        <f t="shared" si="23"/>
        <v>5320000</v>
      </c>
      <c r="AP33" s="27">
        <f t="shared" si="24"/>
        <v>15670</v>
      </c>
      <c r="AQ33" s="27">
        <f t="shared" si="25"/>
        <v>18185</v>
      </c>
      <c r="AR33" s="27">
        <f t="shared" si="26"/>
        <v>20700</v>
      </c>
      <c r="AS33" s="27">
        <f t="shared" si="27"/>
        <v>23215</v>
      </c>
      <c r="AT33" s="27">
        <f t="shared" si="28"/>
        <v>25730</v>
      </c>
      <c r="AU33" s="27">
        <f t="shared" si="29"/>
        <v>745</v>
      </c>
      <c r="AV33" s="27">
        <f t="shared" si="30"/>
        <v>760</v>
      </c>
      <c r="AW33" s="27">
        <f t="shared" si="31"/>
        <v>3275</v>
      </c>
      <c r="AX33" s="27">
        <f t="shared" si="32"/>
        <v>5790</v>
      </c>
      <c r="AY33" s="27">
        <f t="shared" si="33"/>
        <v>8305</v>
      </c>
      <c r="AZ33" s="27">
        <f t="shared" si="34"/>
        <v>10820</v>
      </c>
      <c r="BA33" s="27">
        <f t="shared" si="35"/>
        <v>13335</v>
      </c>
      <c r="BB33" s="27">
        <v>2700000</v>
      </c>
      <c r="BC33" s="26">
        <v>5000000</v>
      </c>
      <c r="BD33" s="27">
        <f t="shared" si="82"/>
        <v>146530</v>
      </c>
      <c r="BE33" s="28">
        <f t="shared" si="4"/>
        <v>9414.9124843362279</v>
      </c>
      <c r="BF33" s="28">
        <f t="shared" si="5"/>
        <v>9400.1921788143809</v>
      </c>
      <c r="BG33" s="28">
        <f t="shared" si="6"/>
        <v>32004.179101862166</v>
      </c>
      <c r="BH33" s="28">
        <f t="shared" si="7"/>
        <v>55208.509040954865</v>
      </c>
      <c r="BI33" s="28">
        <f t="shared" si="8"/>
        <v>45398.180241379363</v>
      </c>
      <c r="BJ33" s="28">
        <f t="shared" si="9"/>
        <v>15630.51696183722</v>
      </c>
      <c r="BK33" s="28">
        <f t="shared" si="10"/>
        <v>11058.260568289468</v>
      </c>
      <c r="BL33" s="28">
        <f t="shared" si="11"/>
        <v>23612.685148057106</v>
      </c>
      <c r="BM33" s="28">
        <f t="shared" si="12"/>
        <v>28253.563293039351</v>
      </c>
      <c r="BN33" s="28">
        <f t="shared" si="13"/>
        <v>27186.365030360237</v>
      </c>
      <c r="BO33" s="28">
        <f t="shared" si="14"/>
        <v>22230.463733677756</v>
      </c>
      <c r="BP33" s="28">
        <f t="shared" si="15"/>
        <v>21702.196745391568</v>
      </c>
      <c r="BQ33" s="29">
        <f t="shared" si="37"/>
        <v>301100.02452799975</v>
      </c>
      <c r="BR33" s="26">
        <f t="shared" si="16"/>
        <v>589647.52968772908</v>
      </c>
      <c r="BS33" s="26">
        <f t="shared" si="38"/>
        <v>890747.55421572877</v>
      </c>
      <c r="BT33" s="26">
        <f t="shared" si="17"/>
        <v>1037277.5542157288</v>
      </c>
      <c r="BU33" s="111">
        <f t="shared" si="113"/>
        <v>5220000</v>
      </c>
      <c r="BV33" s="110">
        <v>26</v>
      </c>
      <c r="BW33" s="115" t="s">
        <v>667</v>
      </c>
      <c r="BX33" s="125"/>
    </row>
    <row r="34" spans="1:76" s="135" customFormat="1" ht="13.5" customHeight="1" x14ac:dyDescent="0.2">
      <c r="A34" s="128">
        <v>27</v>
      </c>
      <c r="B34" s="128">
        <v>41</v>
      </c>
      <c r="C34" s="129" t="s">
        <v>34</v>
      </c>
      <c r="D34" s="130">
        <v>100000</v>
      </c>
      <c r="E34" s="130">
        <f t="shared" ref="E34:G34" si="144">+F34-25000</f>
        <v>2078000</v>
      </c>
      <c r="F34" s="130">
        <f t="shared" si="144"/>
        <v>2103000</v>
      </c>
      <c r="G34" s="130">
        <f t="shared" si="144"/>
        <v>2128000</v>
      </c>
      <c r="H34" s="130">
        <f t="shared" ref="H34:O34" si="145">+I34-50000</f>
        <v>2153000</v>
      </c>
      <c r="I34" s="130">
        <f t="shared" si="145"/>
        <v>2203000</v>
      </c>
      <c r="J34" s="130">
        <f t="shared" si="145"/>
        <v>2253000</v>
      </c>
      <c r="K34" s="130">
        <f t="shared" si="145"/>
        <v>2303000</v>
      </c>
      <c r="L34" s="130">
        <f t="shared" si="145"/>
        <v>2353000</v>
      </c>
      <c r="M34" s="130">
        <f t="shared" si="145"/>
        <v>2403000</v>
      </c>
      <c r="N34" s="130">
        <f t="shared" si="145"/>
        <v>2453000</v>
      </c>
      <c r="O34" s="130">
        <f t="shared" si="145"/>
        <v>2503000</v>
      </c>
      <c r="P34" s="130">
        <v>2553000</v>
      </c>
      <c r="Q34" s="130">
        <v>1800000</v>
      </c>
      <c r="R34" s="130">
        <f>+Q34+300000</f>
        <v>2100000</v>
      </c>
      <c r="S34" s="130">
        <f t="shared" si="138"/>
        <v>2400000</v>
      </c>
      <c r="T34" s="130">
        <f t="shared" si="138"/>
        <v>2700000</v>
      </c>
      <c r="U34" s="130">
        <f t="shared" si="138"/>
        <v>3000000</v>
      </c>
      <c r="V34" s="130">
        <v>0</v>
      </c>
      <c r="W34" s="130">
        <f t="shared" si="138"/>
        <v>300000</v>
      </c>
      <c r="X34" s="130">
        <f t="shared" si="138"/>
        <v>600000</v>
      </c>
      <c r="Y34" s="130">
        <f t="shared" si="138"/>
        <v>900000</v>
      </c>
      <c r="Z34" s="130">
        <f t="shared" si="138"/>
        <v>1200000</v>
      </c>
      <c r="AA34" s="130">
        <f t="shared" si="138"/>
        <v>1500000</v>
      </c>
      <c r="AB34" s="130">
        <v>1800000</v>
      </c>
      <c r="AC34" s="130">
        <v>324000</v>
      </c>
      <c r="AD34" s="130">
        <f>+AC34+100000-150000</f>
        <v>274000</v>
      </c>
      <c r="AE34" s="130">
        <f>+AD34+100000-200000</f>
        <v>174000</v>
      </c>
      <c r="AF34" s="130">
        <f t="shared" ref="AF34:AM34" si="146">+AE34+100000</f>
        <v>274000</v>
      </c>
      <c r="AG34" s="130">
        <f>+AF34+100000-200000</f>
        <v>174000</v>
      </c>
      <c r="AH34" s="130">
        <f t="shared" si="146"/>
        <v>274000</v>
      </c>
      <c r="AI34" s="130">
        <f t="shared" si="146"/>
        <v>374000</v>
      </c>
      <c r="AJ34" s="130">
        <f t="shared" si="146"/>
        <v>474000</v>
      </c>
      <c r="AK34" s="130">
        <f t="shared" si="146"/>
        <v>574000</v>
      </c>
      <c r="AL34" s="130">
        <f t="shared" si="146"/>
        <v>674000</v>
      </c>
      <c r="AM34" s="130">
        <f t="shared" si="146"/>
        <v>774000</v>
      </c>
      <c r="AN34" s="130">
        <v>374000</v>
      </c>
      <c r="AO34" s="130">
        <f t="shared" si="23"/>
        <v>4827000</v>
      </c>
      <c r="AP34" s="131">
        <f t="shared" si="24"/>
        <v>10620</v>
      </c>
      <c r="AQ34" s="131">
        <f t="shared" si="25"/>
        <v>11870</v>
      </c>
      <c r="AR34" s="131">
        <f t="shared" si="26"/>
        <v>12870</v>
      </c>
      <c r="AS34" s="131">
        <f t="shared" si="27"/>
        <v>14870</v>
      </c>
      <c r="AT34" s="131">
        <f t="shared" si="28"/>
        <v>15870</v>
      </c>
      <c r="AU34" s="131">
        <f t="shared" si="29"/>
        <v>1370</v>
      </c>
      <c r="AV34" s="131">
        <f t="shared" si="30"/>
        <v>3370</v>
      </c>
      <c r="AW34" s="131">
        <f t="shared" si="31"/>
        <v>5370</v>
      </c>
      <c r="AX34" s="131">
        <f t="shared" si="32"/>
        <v>7370</v>
      </c>
      <c r="AY34" s="131">
        <f t="shared" si="33"/>
        <v>9370</v>
      </c>
      <c r="AZ34" s="131">
        <f t="shared" si="34"/>
        <v>11370</v>
      </c>
      <c r="BA34" s="131">
        <f t="shared" si="35"/>
        <v>10870</v>
      </c>
      <c r="BB34" s="131">
        <v>2700000</v>
      </c>
      <c r="BC34" s="130">
        <v>1875000</v>
      </c>
      <c r="BD34" s="131">
        <f t="shared" si="82"/>
        <v>115190</v>
      </c>
      <c r="BE34" s="132">
        <f t="shared" si="4"/>
        <v>7624.8029946563356</v>
      </c>
      <c r="BF34" s="132">
        <f t="shared" si="5"/>
        <v>7367.2396579509286</v>
      </c>
      <c r="BG34" s="132">
        <f t="shared" si="6"/>
        <v>24133.804655644177</v>
      </c>
      <c r="BH34" s="132">
        <f t="shared" si="7"/>
        <v>41846.704866164597</v>
      </c>
      <c r="BI34" s="132">
        <f t="shared" si="8"/>
        <v>33379.7601264646</v>
      </c>
      <c r="BJ34" s="132">
        <f t="shared" si="9"/>
        <v>16411.418089027327</v>
      </c>
      <c r="BK34" s="132">
        <f t="shared" si="10"/>
        <v>13317.521631556436</v>
      </c>
      <c r="BL34" s="132">
        <f t="shared" si="11"/>
        <v>26795.991157399425</v>
      </c>
      <c r="BM34" s="132">
        <f t="shared" si="12"/>
        <v>30692.275666871756</v>
      </c>
      <c r="BN34" s="132">
        <f t="shared" si="13"/>
        <v>28560.521592170095</v>
      </c>
      <c r="BO34" s="132">
        <f t="shared" si="14"/>
        <v>22743.438562858486</v>
      </c>
      <c r="BP34" s="132">
        <f t="shared" si="15"/>
        <v>19691.072122181409</v>
      </c>
      <c r="BQ34" s="133">
        <f t="shared" si="37"/>
        <v>272564.55112294556</v>
      </c>
      <c r="BR34" s="130">
        <f t="shared" si="16"/>
        <v>589647.52968772908</v>
      </c>
      <c r="BS34" s="130">
        <f t="shared" si="38"/>
        <v>862212.0808106747</v>
      </c>
      <c r="BT34" s="130">
        <f t="shared" si="17"/>
        <v>977402.0808106747</v>
      </c>
      <c r="BU34" s="134">
        <f t="shared" si="113"/>
        <v>4727000</v>
      </c>
      <c r="BV34" s="135">
        <v>27</v>
      </c>
      <c r="BW34" s="135" t="s">
        <v>667</v>
      </c>
    </row>
    <row r="35" spans="1:76" s="110" customFormat="1" ht="13.5" customHeight="1" x14ac:dyDescent="0.2">
      <c r="A35" s="24">
        <v>28</v>
      </c>
      <c r="B35" s="24">
        <v>45</v>
      </c>
      <c r="C35" s="25" t="s">
        <v>35</v>
      </c>
      <c r="D35" s="26">
        <v>100000</v>
      </c>
      <c r="E35" s="26">
        <f t="shared" ref="E35:G35" si="147">+F35-25000</f>
        <v>2078000</v>
      </c>
      <c r="F35" s="26">
        <f t="shared" si="147"/>
        <v>2103000</v>
      </c>
      <c r="G35" s="26">
        <f t="shared" si="147"/>
        <v>2128000</v>
      </c>
      <c r="H35" s="26">
        <f t="shared" ref="H35:O35" si="148">+I35-50000</f>
        <v>2153000</v>
      </c>
      <c r="I35" s="26">
        <f t="shared" si="148"/>
        <v>2203000</v>
      </c>
      <c r="J35" s="26">
        <f t="shared" si="148"/>
        <v>2253000</v>
      </c>
      <c r="K35" s="26">
        <f t="shared" si="148"/>
        <v>2303000</v>
      </c>
      <c r="L35" s="26">
        <f t="shared" si="148"/>
        <v>2353000</v>
      </c>
      <c r="M35" s="26">
        <f t="shared" si="148"/>
        <v>2403000</v>
      </c>
      <c r="N35" s="26">
        <f t="shared" si="148"/>
        <v>2453000</v>
      </c>
      <c r="O35" s="26">
        <f t="shared" si="148"/>
        <v>2503000</v>
      </c>
      <c r="P35" s="26">
        <v>2553000</v>
      </c>
      <c r="Q35" s="26">
        <v>1200000</v>
      </c>
      <c r="R35" s="26">
        <f>+Q35+200000</f>
        <v>1400000</v>
      </c>
      <c r="S35" s="26">
        <f t="shared" ref="S35" si="149">+R35+200000</f>
        <v>1600000</v>
      </c>
      <c r="T35" s="26">
        <f t="shared" ref="T35" si="150">+S35+200000</f>
        <v>1800000</v>
      </c>
      <c r="U35" s="26">
        <f t="shared" ref="U35" si="151">+T35+200000</f>
        <v>2000000</v>
      </c>
      <c r="V35" s="26">
        <v>0</v>
      </c>
      <c r="W35" s="26">
        <f t="shared" ref="W35" si="152">+V35+200000</f>
        <v>200000</v>
      </c>
      <c r="X35" s="26">
        <f t="shared" ref="X35" si="153">+W35+200000</f>
        <v>400000</v>
      </c>
      <c r="Y35" s="26">
        <f t="shared" ref="Y35" si="154">+X35+200000</f>
        <v>600000</v>
      </c>
      <c r="Z35" s="26">
        <f t="shared" ref="Z35" si="155">+Y35+200000</f>
        <v>800000</v>
      </c>
      <c r="AA35" s="26">
        <f t="shared" ref="AA35" si="156">+Z35+200000</f>
        <v>1000000</v>
      </c>
      <c r="AB35" s="26">
        <v>1200000</v>
      </c>
      <c r="AC35" s="26">
        <v>746000</v>
      </c>
      <c r="AD35" s="26">
        <f>+AC35+200000</f>
        <v>946000</v>
      </c>
      <c r="AE35" s="26">
        <f t="shared" ref="AE35:AM35" si="157">+AD35+200000</f>
        <v>1146000</v>
      </c>
      <c r="AF35" s="26">
        <f t="shared" si="157"/>
        <v>1346000</v>
      </c>
      <c r="AG35" s="26">
        <f t="shared" si="157"/>
        <v>1546000</v>
      </c>
      <c r="AH35" s="26">
        <f>+AG35+200000-1000000</f>
        <v>746000</v>
      </c>
      <c r="AI35" s="26">
        <f t="shared" si="157"/>
        <v>946000</v>
      </c>
      <c r="AJ35" s="26">
        <f t="shared" si="157"/>
        <v>1146000</v>
      </c>
      <c r="AK35" s="26">
        <f t="shared" si="157"/>
        <v>1346000</v>
      </c>
      <c r="AL35" s="26">
        <f t="shared" si="157"/>
        <v>1546000</v>
      </c>
      <c r="AM35" s="26">
        <f t="shared" si="157"/>
        <v>1746000</v>
      </c>
      <c r="AN35" s="26">
        <v>1946000</v>
      </c>
      <c r="AO35" s="26">
        <f t="shared" si="23"/>
        <v>5799000</v>
      </c>
      <c r="AP35" s="27">
        <f t="shared" si="24"/>
        <v>9730</v>
      </c>
      <c r="AQ35" s="27">
        <f t="shared" si="25"/>
        <v>11730</v>
      </c>
      <c r="AR35" s="27">
        <f t="shared" si="26"/>
        <v>13730</v>
      </c>
      <c r="AS35" s="27">
        <f t="shared" si="27"/>
        <v>15730</v>
      </c>
      <c r="AT35" s="27">
        <f t="shared" si="28"/>
        <v>17730</v>
      </c>
      <c r="AU35" s="27">
        <f t="shared" si="29"/>
        <v>3730</v>
      </c>
      <c r="AV35" s="27">
        <f t="shared" si="30"/>
        <v>5730</v>
      </c>
      <c r="AW35" s="27">
        <f t="shared" si="31"/>
        <v>7730</v>
      </c>
      <c r="AX35" s="27">
        <f t="shared" si="32"/>
        <v>9730</v>
      </c>
      <c r="AY35" s="27">
        <f t="shared" si="33"/>
        <v>11730</v>
      </c>
      <c r="AZ35" s="27">
        <f t="shared" si="34"/>
        <v>13730</v>
      </c>
      <c r="BA35" s="27">
        <f t="shared" si="35"/>
        <v>15730</v>
      </c>
      <c r="BB35" s="27">
        <v>2700000</v>
      </c>
      <c r="BC35" s="26">
        <v>4375000</v>
      </c>
      <c r="BD35" s="27">
        <f t="shared" si="82"/>
        <v>136760</v>
      </c>
      <c r="BE35" s="28">
        <f t="shared" si="4"/>
        <v>7309.3183519206714</v>
      </c>
      <c r="BF35" s="28">
        <f t="shared" si="5"/>
        <v>7322.1702433949695</v>
      </c>
      <c r="BG35" s="28">
        <f t="shared" si="6"/>
        <v>24998.239141435679</v>
      </c>
      <c r="BH35" s="28">
        <f t="shared" si="7"/>
        <v>43223.715242476115</v>
      </c>
      <c r="BI35" s="28">
        <f t="shared" si="8"/>
        <v>35646.926598446495</v>
      </c>
      <c r="BJ35" s="28">
        <f t="shared" si="9"/>
        <v>19360.100745297179</v>
      </c>
      <c r="BK35" s="28">
        <f t="shared" si="10"/>
        <v>15360.378378418522</v>
      </c>
      <c r="BL35" s="28">
        <f t="shared" si="11"/>
        <v>30381.958786061896</v>
      </c>
      <c r="BM35" s="28">
        <f t="shared" si="12"/>
        <v>34334.90933917839</v>
      </c>
      <c r="BN35" s="28">
        <f t="shared" si="13"/>
        <v>31605.600921626676</v>
      </c>
      <c r="BO35" s="28">
        <f t="shared" si="14"/>
        <v>24944.566920797632</v>
      </c>
      <c r="BP35" s="28">
        <f t="shared" si="15"/>
        <v>23656.210324534906</v>
      </c>
      <c r="BQ35" s="29">
        <f t="shared" si="37"/>
        <v>298144.0949935891</v>
      </c>
      <c r="BR35" s="26">
        <f t="shared" si="16"/>
        <v>589647.52968772908</v>
      </c>
      <c r="BS35" s="26">
        <f t="shared" si="38"/>
        <v>887791.62468131818</v>
      </c>
      <c r="BT35" s="26">
        <f t="shared" si="17"/>
        <v>1024551.6246813182</v>
      </c>
      <c r="BU35" s="111">
        <f t="shared" si="113"/>
        <v>5699000</v>
      </c>
      <c r="BV35" s="110">
        <v>28</v>
      </c>
      <c r="BW35" s="115" t="s">
        <v>667</v>
      </c>
      <c r="BX35" s="125"/>
    </row>
    <row r="36" spans="1:76" s="110" customFormat="1" ht="13.5" customHeight="1" x14ac:dyDescent="0.2">
      <c r="A36" s="24">
        <v>29</v>
      </c>
      <c r="B36" s="24">
        <v>46</v>
      </c>
      <c r="C36" s="25" t="s">
        <v>36</v>
      </c>
      <c r="D36" s="26">
        <v>100000</v>
      </c>
      <c r="E36" s="26">
        <f t="shared" ref="E36:G36" si="158">+F36-25000</f>
        <v>2078000</v>
      </c>
      <c r="F36" s="26">
        <f t="shared" si="158"/>
        <v>2103000</v>
      </c>
      <c r="G36" s="26">
        <f t="shared" si="158"/>
        <v>2128000</v>
      </c>
      <c r="H36" s="26">
        <f t="shared" ref="H36:O36" si="159">+I36-50000</f>
        <v>2153000</v>
      </c>
      <c r="I36" s="26">
        <f t="shared" si="159"/>
        <v>2203000</v>
      </c>
      <c r="J36" s="26">
        <f t="shared" si="159"/>
        <v>2253000</v>
      </c>
      <c r="K36" s="26">
        <f t="shared" si="159"/>
        <v>2303000</v>
      </c>
      <c r="L36" s="26">
        <f t="shared" si="159"/>
        <v>2353000</v>
      </c>
      <c r="M36" s="26">
        <f t="shared" si="159"/>
        <v>2403000</v>
      </c>
      <c r="N36" s="26">
        <f t="shared" si="159"/>
        <v>2453000</v>
      </c>
      <c r="O36" s="26">
        <f t="shared" si="159"/>
        <v>2503000</v>
      </c>
      <c r="P36" s="26">
        <v>2553000</v>
      </c>
      <c r="Q36" s="26">
        <v>700000</v>
      </c>
      <c r="R36" s="26">
        <f>+Q36+100000</f>
        <v>800000</v>
      </c>
      <c r="S36" s="26">
        <f t="shared" ref="S36:AA36" si="160">+R36+100000</f>
        <v>900000</v>
      </c>
      <c r="T36" s="26">
        <f t="shared" si="160"/>
        <v>1000000</v>
      </c>
      <c r="U36" s="26">
        <f t="shared" si="160"/>
        <v>1100000</v>
      </c>
      <c r="V36" s="26">
        <v>0</v>
      </c>
      <c r="W36" s="26">
        <f t="shared" si="160"/>
        <v>100000</v>
      </c>
      <c r="X36" s="26">
        <f t="shared" si="160"/>
        <v>200000</v>
      </c>
      <c r="Y36" s="26">
        <f t="shared" si="160"/>
        <v>300000</v>
      </c>
      <c r="Z36" s="26">
        <f t="shared" si="160"/>
        <v>400000</v>
      </c>
      <c r="AA36" s="26">
        <f t="shared" si="160"/>
        <v>500000</v>
      </c>
      <c r="AB36" s="26">
        <v>600000</v>
      </c>
      <c r="AC36" s="26">
        <v>986000</v>
      </c>
      <c r="AD36" s="26">
        <f>+AC36+50000</f>
        <v>1036000</v>
      </c>
      <c r="AE36" s="26">
        <f t="shared" ref="AE36:AM36" si="161">+AD36+50000</f>
        <v>1086000</v>
      </c>
      <c r="AF36" s="26">
        <f t="shared" si="161"/>
        <v>1136000</v>
      </c>
      <c r="AG36" s="26">
        <f t="shared" si="161"/>
        <v>1186000</v>
      </c>
      <c r="AH36" s="26">
        <f t="shared" si="161"/>
        <v>1236000</v>
      </c>
      <c r="AI36" s="26">
        <f t="shared" si="161"/>
        <v>1286000</v>
      </c>
      <c r="AJ36" s="26">
        <f t="shared" si="161"/>
        <v>1336000</v>
      </c>
      <c r="AK36" s="26">
        <f t="shared" si="161"/>
        <v>1386000</v>
      </c>
      <c r="AL36" s="26">
        <f t="shared" si="161"/>
        <v>1436000</v>
      </c>
      <c r="AM36" s="26">
        <f t="shared" si="161"/>
        <v>1486000</v>
      </c>
      <c r="AN36" s="26">
        <v>1536000</v>
      </c>
      <c r="AO36" s="26">
        <f t="shared" si="23"/>
        <v>4789000</v>
      </c>
      <c r="AP36" s="27">
        <f t="shared" si="24"/>
        <v>8430</v>
      </c>
      <c r="AQ36" s="27">
        <f t="shared" si="25"/>
        <v>9180</v>
      </c>
      <c r="AR36" s="27">
        <f t="shared" si="26"/>
        <v>9930</v>
      </c>
      <c r="AS36" s="27">
        <f t="shared" si="27"/>
        <v>10680</v>
      </c>
      <c r="AT36" s="27">
        <f t="shared" si="28"/>
        <v>11430</v>
      </c>
      <c r="AU36" s="27">
        <f t="shared" si="29"/>
        <v>6180</v>
      </c>
      <c r="AV36" s="27">
        <f t="shared" si="30"/>
        <v>6930</v>
      </c>
      <c r="AW36" s="27">
        <f t="shared" si="31"/>
        <v>7680</v>
      </c>
      <c r="AX36" s="27">
        <f t="shared" si="32"/>
        <v>8430</v>
      </c>
      <c r="AY36" s="27">
        <f t="shared" si="33"/>
        <v>9180</v>
      </c>
      <c r="AZ36" s="27">
        <f t="shared" si="34"/>
        <v>9930</v>
      </c>
      <c r="BA36" s="27">
        <f t="shared" si="35"/>
        <v>10680</v>
      </c>
      <c r="BB36" s="27">
        <v>1350000</v>
      </c>
      <c r="BC36" s="26">
        <v>0</v>
      </c>
      <c r="BD36" s="27">
        <f t="shared" si="82"/>
        <v>108660</v>
      </c>
      <c r="BE36" s="28">
        <f t="shared" si="4"/>
        <v>6848.4980872505994</v>
      </c>
      <c r="BF36" s="28">
        <f t="shared" si="5"/>
        <v>6501.2630496971378</v>
      </c>
      <c r="BG36" s="28">
        <f t="shared" si="6"/>
        <v>21178.644901891828</v>
      </c>
      <c r="BH36" s="28">
        <f t="shared" si="7"/>
        <v>35137.782218786386</v>
      </c>
      <c r="BI36" s="28">
        <f t="shared" si="8"/>
        <v>27967.814354636852</v>
      </c>
      <c r="BJ36" s="28">
        <f t="shared" si="9"/>
        <v>22421.233163882407</v>
      </c>
      <c r="BK36" s="28">
        <f t="shared" si="10"/>
        <v>16399.119097161954</v>
      </c>
      <c r="BL36" s="28">
        <f t="shared" si="11"/>
        <v>30305.984895624129</v>
      </c>
      <c r="BM36" s="28">
        <f t="shared" si="12"/>
        <v>32328.373841721343</v>
      </c>
      <c r="BN36" s="28">
        <f t="shared" si="13"/>
        <v>28315.366900391811</v>
      </c>
      <c r="BO36" s="28">
        <f t="shared" si="14"/>
        <v>21400.377191912568</v>
      </c>
      <c r="BP36" s="28">
        <f t="shared" si="15"/>
        <v>19536.056431142897</v>
      </c>
      <c r="BQ36" s="29">
        <f t="shared" si="37"/>
        <v>268340.51413409988</v>
      </c>
      <c r="BR36" s="26">
        <f t="shared" si="16"/>
        <v>294823.76484386454</v>
      </c>
      <c r="BS36" s="26">
        <f t="shared" si="38"/>
        <v>563164.27897796442</v>
      </c>
      <c r="BT36" s="26">
        <f t="shared" si="17"/>
        <v>671824.27897796442</v>
      </c>
      <c r="BU36" s="111">
        <f>AO36-100000</f>
        <v>4689000</v>
      </c>
      <c r="BV36" s="110">
        <v>29</v>
      </c>
      <c r="BW36" s="115" t="s">
        <v>667</v>
      </c>
      <c r="BX36" s="125"/>
    </row>
    <row r="37" spans="1:76" s="110" customFormat="1" ht="13.5" customHeight="1" x14ac:dyDescent="0.2">
      <c r="A37" s="24">
        <v>30</v>
      </c>
      <c r="B37" s="24">
        <v>47</v>
      </c>
      <c r="C37" s="25" t="s">
        <v>37</v>
      </c>
      <c r="D37" s="26">
        <v>100000</v>
      </c>
      <c r="E37" s="26">
        <f t="shared" ref="E37:G37" si="162">+F37-25000</f>
        <v>2078000</v>
      </c>
      <c r="F37" s="26">
        <f t="shared" si="162"/>
        <v>2103000</v>
      </c>
      <c r="G37" s="26">
        <f t="shared" si="162"/>
        <v>2128000</v>
      </c>
      <c r="H37" s="26">
        <f t="shared" ref="H37:O37" si="163">+I37-50000</f>
        <v>2153000</v>
      </c>
      <c r="I37" s="26">
        <f t="shared" si="163"/>
        <v>2203000</v>
      </c>
      <c r="J37" s="26">
        <f t="shared" si="163"/>
        <v>2253000</v>
      </c>
      <c r="K37" s="26">
        <f t="shared" si="163"/>
        <v>2303000</v>
      </c>
      <c r="L37" s="26">
        <f t="shared" si="163"/>
        <v>2353000</v>
      </c>
      <c r="M37" s="26">
        <f t="shared" si="163"/>
        <v>2403000</v>
      </c>
      <c r="N37" s="26">
        <f t="shared" si="163"/>
        <v>2453000</v>
      </c>
      <c r="O37" s="26">
        <f t="shared" si="163"/>
        <v>2503000</v>
      </c>
      <c r="P37" s="26">
        <v>2553000</v>
      </c>
      <c r="Q37" s="26">
        <v>3000000</v>
      </c>
      <c r="R37" s="26">
        <f>+Q37+500000</f>
        <v>3500000</v>
      </c>
      <c r="S37" s="26">
        <f t="shared" ref="S37:AA37" si="164">+R37+500000</f>
        <v>4000000</v>
      </c>
      <c r="T37" s="26">
        <f t="shared" si="164"/>
        <v>4500000</v>
      </c>
      <c r="U37" s="26">
        <f t="shared" si="164"/>
        <v>5000000</v>
      </c>
      <c r="V37" s="26">
        <v>0</v>
      </c>
      <c r="W37" s="26">
        <f t="shared" si="164"/>
        <v>500000</v>
      </c>
      <c r="X37" s="26">
        <f t="shared" si="164"/>
        <v>1000000</v>
      </c>
      <c r="Y37" s="26">
        <f t="shared" si="164"/>
        <v>1500000</v>
      </c>
      <c r="Z37" s="26">
        <f t="shared" si="164"/>
        <v>2000000</v>
      </c>
      <c r="AA37" s="26">
        <f t="shared" si="164"/>
        <v>2500000</v>
      </c>
      <c r="AB37" s="26">
        <v>3000000</v>
      </c>
      <c r="AC37" s="26">
        <v>86000</v>
      </c>
      <c r="AD37" s="26">
        <f>+AC37+20000</f>
        <v>106000</v>
      </c>
      <c r="AE37" s="26">
        <f t="shared" ref="AE37:AM37" si="165">+AD37+20000</f>
        <v>126000</v>
      </c>
      <c r="AF37" s="26">
        <f t="shared" si="165"/>
        <v>146000</v>
      </c>
      <c r="AG37" s="26">
        <f t="shared" si="165"/>
        <v>166000</v>
      </c>
      <c r="AH37" s="26">
        <f t="shared" si="165"/>
        <v>186000</v>
      </c>
      <c r="AI37" s="26">
        <f t="shared" si="165"/>
        <v>206000</v>
      </c>
      <c r="AJ37" s="26">
        <f t="shared" si="165"/>
        <v>226000</v>
      </c>
      <c r="AK37" s="26">
        <f t="shared" si="165"/>
        <v>246000</v>
      </c>
      <c r="AL37" s="26">
        <f t="shared" si="165"/>
        <v>266000</v>
      </c>
      <c r="AM37" s="26">
        <f t="shared" si="165"/>
        <v>286000</v>
      </c>
      <c r="AN37" s="26">
        <v>306000</v>
      </c>
      <c r="AO37" s="26">
        <f t="shared" si="23"/>
        <v>5959000</v>
      </c>
      <c r="AP37" s="27">
        <f t="shared" si="24"/>
        <v>15430</v>
      </c>
      <c r="AQ37" s="27">
        <f t="shared" si="25"/>
        <v>18030</v>
      </c>
      <c r="AR37" s="27">
        <f t="shared" si="26"/>
        <v>20630</v>
      </c>
      <c r="AS37" s="27">
        <f t="shared" si="27"/>
        <v>23230</v>
      </c>
      <c r="AT37" s="27">
        <f t="shared" si="28"/>
        <v>25830</v>
      </c>
      <c r="AU37" s="27">
        <f t="shared" si="29"/>
        <v>930</v>
      </c>
      <c r="AV37" s="27">
        <f t="shared" si="30"/>
        <v>3530</v>
      </c>
      <c r="AW37" s="27">
        <f t="shared" si="31"/>
        <v>6130</v>
      </c>
      <c r="AX37" s="27">
        <f t="shared" si="32"/>
        <v>8730</v>
      </c>
      <c r="AY37" s="27">
        <f t="shared" si="33"/>
        <v>11330</v>
      </c>
      <c r="AZ37" s="27">
        <f t="shared" si="34"/>
        <v>13930</v>
      </c>
      <c r="BA37" s="27">
        <f t="shared" si="35"/>
        <v>16530</v>
      </c>
      <c r="BB37" s="27">
        <v>2700000</v>
      </c>
      <c r="BC37" s="26">
        <v>12500000</v>
      </c>
      <c r="BD37" s="27">
        <f t="shared" si="82"/>
        <v>164260</v>
      </c>
      <c r="BE37" s="28">
        <f t="shared" si="4"/>
        <v>9329.8379739355987</v>
      </c>
      <c r="BF37" s="28">
        <f t="shared" si="5"/>
        <v>9350.2938984131415</v>
      </c>
      <c r="BG37" s="28">
        <f t="shared" si="6"/>
        <v>31933.818155344252</v>
      </c>
      <c r="BH37" s="28">
        <f t="shared" si="7"/>
        <v>55232.526663797507</v>
      </c>
      <c r="BI37" s="28">
        <f t="shared" si="8"/>
        <v>45520.070911916024</v>
      </c>
      <c r="BJ37" s="28">
        <f t="shared" si="9"/>
        <v>15861.663695485491</v>
      </c>
      <c r="BK37" s="28">
        <f t="shared" si="10"/>
        <v>13456.02039405556</v>
      </c>
      <c r="BL37" s="28">
        <f t="shared" si="11"/>
        <v>27950.794292053441</v>
      </c>
      <c r="BM37" s="28">
        <f t="shared" si="12"/>
        <v>32791.420494980659</v>
      </c>
      <c r="BN37" s="28">
        <f t="shared" si="13"/>
        <v>31089.485781040814</v>
      </c>
      <c r="BO37" s="28">
        <f t="shared" si="14"/>
        <v>25131.103222317899</v>
      </c>
      <c r="BP37" s="28">
        <f t="shared" si="15"/>
        <v>24308.907971012846</v>
      </c>
      <c r="BQ37" s="29">
        <f t="shared" si="37"/>
        <v>321955.94345435326</v>
      </c>
      <c r="BR37" s="26">
        <f t="shared" si="16"/>
        <v>589647.52968772908</v>
      </c>
      <c r="BS37" s="26">
        <f t="shared" si="38"/>
        <v>911603.47314208234</v>
      </c>
      <c r="BT37" s="26">
        <f t="shared" si="17"/>
        <v>1075863.4731420823</v>
      </c>
      <c r="BU37" s="111">
        <f>AO37-100000</f>
        <v>5859000</v>
      </c>
      <c r="BV37" s="110">
        <v>30</v>
      </c>
      <c r="BW37" s="115" t="s">
        <v>667</v>
      </c>
      <c r="BX37" s="125"/>
    </row>
    <row r="38" spans="1:76" s="135" customFormat="1" ht="13.5" customHeight="1" x14ac:dyDescent="0.2">
      <c r="A38" s="128">
        <v>31</v>
      </c>
      <c r="B38" s="128">
        <v>48</v>
      </c>
      <c r="C38" s="129" t="s">
        <v>38</v>
      </c>
      <c r="D38" s="130">
        <v>100000</v>
      </c>
      <c r="E38" s="130">
        <f t="shared" ref="E38:G38" si="166">+F38-25000</f>
        <v>2078000</v>
      </c>
      <c r="F38" s="130">
        <f t="shared" si="166"/>
        <v>2103000</v>
      </c>
      <c r="G38" s="130">
        <f t="shared" si="166"/>
        <v>2128000</v>
      </c>
      <c r="H38" s="130">
        <f t="shared" ref="H38:O38" si="167">+I38-50000</f>
        <v>2153000</v>
      </c>
      <c r="I38" s="130">
        <f t="shared" si="167"/>
        <v>2203000</v>
      </c>
      <c r="J38" s="130">
        <f t="shared" si="167"/>
        <v>2253000</v>
      </c>
      <c r="K38" s="130">
        <f t="shared" si="167"/>
        <v>2303000</v>
      </c>
      <c r="L38" s="130">
        <f t="shared" si="167"/>
        <v>2353000</v>
      </c>
      <c r="M38" s="130">
        <f t="shared" si="167"/>
        <v>2403000</v>
      </c>
      <c r="N38" s="130">
        <f t="shared" si="167"/>
        <v>2453000</v>
      </c>
      <c r="O38" s="130">
        <f t="shared" si="167"/>
        <v>2503000</v>
      </c>
      <c r="P38" s="130">
        <v>2553000</v>
      </c>
      <c r="Q38" s="130">
        <v>1200000</v>
      </c>
      <c r="R38" s="130">
        <f>+Q38+200000</f>
        <v>1400000</v>
      </c>
      <c r="S38" s="130">
        <f t="shared" ref="S38:U40" si="168">+R38+200000</f>
        <v>1600000</v>
      </c>
      <c r="T38" s="130">
        <f t="shared" si="168"/>
        <v>1800000</v>
      </c>
      <c r="U38" s="130">
        <f t="shared" si="168"/>
        <v>2000000</v>
      </c>
      <c r="V38" s="130">
        <v>0</v>
      </c>
      <c r="W38" s="130">
        <f>+V38+250000</f>
        <v>250000</v>
      </c>
      <c r="X38" s="130">
        <f t="shared" ref="X38:AA38" si="169">+W38+250000</f>
        <v>500000</v>
      </c>
      <c r="Y38" s="130">
        <f t="shared" si="169"/>
        <v>750000</v>
      </c>
      <c r="Z38" s="130">
        <f t="shared" si="169"/>
        <v>1000000</v>
      </c>
      <c r="AA38" s="130">
        <f t="shared" si="169"/>
        <v>1250000</v>
      </c>
      <c r="AB38" s="130">
        <v>1500000</v>
      </c>
      <c r="AC38" s="130">
        <v>242000</v>
      </c>
      <c r="AD38" s="130">
        <f>+AC38+5000</f>
        <v>247000</v>
      </c>
      <c r="AE38" s="130">
        <f t="shared" ref="AE38:AM38" si="170">+AD38+5000</f>
        <v>252000</v>
      </c>
      <c r="AF38" s="130">
        <f t="shared" si="170"/>
        <v>257000</v>
      </c>
      <c r="AG38" s="130">
        <f t="shared" si="170"/>
        <v>262000</v>
      </c>
      <c r="AH38" s="130">
        <f t="shared" si="170"/>
        <v>267000</v>
      </c>
      <c r="AI38" s="130">
        <f t="shared" si="170"/>
        <v>272000</v>
      </c>
      <c r="AJ38" s="130">
        <f t="shared" si="170"/>
        <v>277000</v>
      </c>
      <c r="AK38" s="130">
        <f t="shared" si="170"/>
        <v>282000</v>
      </c>
      <c r="AL38" s="130">
        <f t="shared" si="170"/>
        <v>287000</v>
      </c>
      <c r="AM38" s="130">
        <f t="shared" si="170"/>
        <v>292000</v>
      </c>
      <c r="AN38" s="130">
        <v>297000</v>
      </c>
      <c r="AO38" s="130">
        <f t="shared" si="23"/>
        <v>4450000</v>
      </c>
      <c r="AP38" s="131">
        <f t="shared" si="24"/>
        <v>7210</v>
      </c>
      <c r="AQ38" s="131">
        <f t="shared" si="25"/>
        <v>8235</v>
      </c>
      <c r="AR38" s="131">
        <f t="shared" si="26"/>
        <v>9260</v>
      </c>
      <c r="AS38" s="131">
        <f t="shared" si="27"/>
        <v>10285</v>
      </c>
      <c r="AT38" s="131">
        <f t="shared" si="28"/>
        <v>11310</v>
      </c>
      <c r="AU38" s="131">
        <f t="shared" si="29"/>
        <v>1335</v>
      </c>
      <c r="AV38" s="131">
        <f t="shared" si="30"/>
        <v>2610</v>
      </c>
      <c r="AW38" s="131">
        <f t="shared" si="31"/>
        <v>3885</v>
      </c>
      <c r="AX38" s="131">
        <f t="shared" si="32"/>
        <v>5160</v>
      </c>
      <c r="AY38" s="131">
        <f t="shared" si="33"/>
        <v>6435</v>
      </c>
      <c r="AZ38" s="131">
        <f t="shared" si="34"/>
        <v>7710</v>
      </c>
      <c r="BA38" s="131">
        <f t="shared" si="35"/>
        <v>8985</v>
      </c>
      <c r="BB38" s="131">
        <v>2700000</v>
      </c>
      <c r="BC38" s="130">
        <v>5000000</v>
      </c>
      <c r="BD38" s="131">
        <f t="shared" si="82"/>
        <v>82420</v>
      </c>
      <c r="BE38" s="132">
        <f t="shared" si="4"/>
        <v>6416.0359927140707</v>
      </c>
      <c r="BF38" s="132">
        <f t="shared" si="5"/>
        <v>6197.0445014444122</v>
      </c>
      <c r="BG38" s="132">
        <f t="shared" si="6"/>
        <v>20505.19012807752</v>
      </c>
      <c r="BH38" s="132">
        <f t="shared" si="7"/>
        <v>34505.318150596788</v>
      </c>
      <c r="BI38" s="132">
        <f t="shared" si="8"/>
        <v>27821.545549992858</v>
      </c>
      <c r="BJ38" s="132">
        <f t="shared" si="9"/>
        <v>16367.687625904682</v>
      </c>
      <c r="BK38" s="132">
        <f t="shared" si="10"/>
        <v>12659.652509685595</v>
      </c>
      <c r="BL38" s="132">
        <f t="shared" si="11"/>
        <v>24539.56661139783</v>
      </c>
      <c r="BM38" s="132">
        <f t="shared" si="12"/>
        <v>27281.165321194785</v>
      </c>
      <c r="BN38" s="132">
        <f t="shared" si="13"/>
        <v>24773.526748121338</v>
      </c>
      <c r="BO38" s="132">
        <f t="shared" si="14"/>
        <v>19329.824245037613</v>
      </c>
      <c r="BP38" s="132">
        <f t="shared" si="15"/>
        <v>18153.153292667757</v>
      </c>
      <c r="BQ38" s="133">
        <f t="shared" si="37"/>
        <v>238549.71067683521</v>
      </c>
      <c r="BR38" s="130">
        <f t="shared" si="16"/>
        <v>589647.52968772908</v>
      </c>
      <c r="BS38" s="130">
        <f t="shared" si="38"/>
        <v>828197.24036456435</v>
      </c>
      <c r="BT38" s="130">
        <f t="shared" si="17"/>
        <v>910617.24036456435</v>
      </c>
      <c r="BU38" s="134">
        <f t="shared" ref="BU38:BU39" si="171">AO38-100000</f>
        <v>4350000</v>
      </c>
      <c r="BV38" s="135">
        <v>31</v>
      </c>
      <c r="BW38" s="135" t="s">
        <v>667</v>
      </c>
    </row>
    <row r="39" spans="1:76" s="110" customFormat="1" ht="13.5" customHeight="1" x14ac:dyDescent="0.2">
      <c r="A39" s="24">
        <v>32</v>
      </c>
      <c r="B39" s="24">
        <v>50</v>
      </c>
      <c r="C39" s="25" t="s">
        <v>39</v>
      </c>
      <c r="D39" s="26">
        <v>100000</v>
      </c>
      <c r="E39" s="26">
        <f t="shared" ref="E39:G39" si="172">+F39-25000</f>
        <v>2078000</v>
      </c>
      <c r="F39" s="26">
        <f t="shared" si="172"/>
        <v>2103000</v>
      </c>
      <c r="G39" s="26">
        <f t="shared" si="172"/>
        <v>2128000</v>
      </c>
      <c r="H39" s="26">
        <f t="shared" ref="H39:O39" si="173">+I39-50000</f>
        <v>2153000</v>
      </c>
      <c r="I39" s="26">
        <f t="shared" si="173"/>
        <v>2203000</v>
      </c>
      <c r="J39" s="26">
        <f t="shared" si="173"/>
        <v>2253000</v>
      </c>
      <c r="K39" s="26">
        <f t="shared" si="173"/>
        <v>2303000</v>
      </c>
      <c r="L39" s="26">
        <f t="shared" si="173"/>
        <v>2353000</v>
      </c>
      <c r="M39" s="26">
        <f t="shared" si="173"/>
        <v>2403000</v>
      </c>
      <c r="N39" s="26">
        <f t="shared" si="173"/>
        <v>2453000</v>
      </c>
      <c r="O39" s="26">
        <f t="shared" si="173"/>
        <v>2503000</v>
      </c>
      <c r="P39" s="26">
        <v>2553000</v>
      </c>
      <c r="Q39" s="26">
        <v>1200000</v>
      </c>
      <c r="R39" s="26">
        <f>+Q39+200000</f>
        <v>1400000</v>
      </c>
      <c r="S39" s="26">
        <f t="shared" si="168"/>
        <v>1600000</v>
      </c>
      <c r="T39" s="26">
        <f t="shared" si="168"/>
        <v>1800000</v>
      </c>
      <c r="U39" s="26">
        <f t="shared" si="168"/>
        <v>2000000</v>
      </c>
      <c r="V39" s="26">
        <v>0</v>
      </c>
      <c r="W39" s="26">
        <f t="shared" ref="W39" si="174">+V39+200000</f>
        <v>200000</v>
      </c>
      <c r="X39" s="26">
        <f t="shared" ref="X39" si="175">+W39+200000</f>
        <v>400000</v>
      </c>
      <c r="Y39" s="26">
        <f t="shared" ref="Y39" si="176">+X39+200000</f>
        <v>600000</v>
      </c>
      <c r="Z39" s="26">
        <f t="shared" ref="Z39" si="177">+Y39+200000</f>
        <v>800000</v>
      </c>
      <c r="AA39" s="26">
        <f t="shared" ref="AA39" si="178">+Z39+200000</f>
        <v>1000000</v>
      </c>
      <c r="AB39" s="26">
        <v>1200000</v>
      </c>
      <c r="AC39" s="26">
        <v>3952000</v>
      </c>
      <c r="AD39" s="26">
        <f>+AC39+850000</f>
        <v>4802000</v>
      </c>
      <c r="AE39" s="26">
        <f>+AD39+850000</f>
        <v>5652000</v>
      </c>
      <c r="AF39" s="26">
        <f>+AE39+700000+1000000-4000000</f>
        <v>3352000</v>
      </c>
      <c r="AG39" s="26">
        <f>+AF39+825000</f>
        <v>4177000</v>
      </c>
      <c r="AH39" s="26">
        <f>+AG39+800000-2000000</f>
        <v>2977000</v>
      </c>
      <c r="AI39" s="26">
        <f>+AH39+700000-2000000</f>
        <v>1677000</v>
      </c>
      <c r="AJ39" s="26">
        <f t="shared" ref="AJ39:AL39" si="179">+AI39+700000</f>
        <v>2377000</v>
      </c>
      <c r="AK39" s="26">
        <f t="shared" si="179"/>
        <v>3077000</v>
      </c>
      <c r="AL39" s="26">
        <f t="shared" si="179"/>
        <v>3777000</v>
      </c>
      <c r="AM39" s="26">
        <f>+AL39+700000-1000000</f>
        <v>3477000</v>
      </c>
      <c r="AN39" s="26">
        <v>4177000</v>
      </c>
      <c r="AO39" s="26">
        <f t="shared" si="23"/>
        <v>8030000</v>
      </c>
      <c r="AP39" s="27">
        <f t="shared" si="24"/>
        <v>25760</v>
      </c>
      <c r="AQ39" s="27">
        <f t="shared" si="25"/>
        <v>31010</v>
      </c>
      <c r="AR39" s="27">
        <f t="shared" si="26"/>
        <v>36260</v>
      </c>
      <c r="AS39" s="27">
        <f t="shared" si="27"/>
        <v>25760</v>
      </c>
      <c r="AT39" s="27">
        <f t="shared" si="28"/>
        <v>30885</v>
      </c>
      <c r="AU39" s="27">
        <f t="shared" si="29"/>
        <v>14885</v>
      </c>
      <c r="AV39" s="27">
        <f t="shared" si="30"/>
        <v>9385</v>
      </c>
      <c r="AW39" s="27">
        <f t="shared" si="31"/>
        <v>13885</v>
      </c>
      <c r="AX39" s="27">
        <f t="shared" si="32"/>
        <v>18385</v>
      </c>
      <c r="AY39" s="27">
        <f t="shared" si="33"/>
        <v>22885</v>
      </c>
      <c r="AZ39" s="27">
        <f t="shared" si="34"/>
        <v>22385</v>
      </c>
      <c r="BA39" s="27">
        <f t="shared" si="35"/>
        <v>26885</v>
      </c>
      <c r="BB39" s="27">
        <v>1500000</v>
      </c>
      <c r="BC39" s="26">
        <v>0</v>
      </c>
      <c r="BD39" s="27">
        <f t="shared" si="82"/>
        <v>278370</v>
      </c>
      <c r="BE39" s="28">
        <f t="shared" si="4"/>
        <v>12991.58669242932</v>
      </c>
      <c r="BF39" s="28">
        <f t="shared" si="5"/>
        <v>13528.872476529945</v>
      </c>
      <c r="BG39" s="28">
        <f t="shared" si="6"/>
        <v>47644.412356415407</v>
      </c>
      <c r="BH39" s="28">
        <f t="shared" si="7"/>
        <v>59283.499049923259</v>
      </c>
      <c r="BI39" s="28">
        <f t="shared" si="8"/>
        <v>51681.644307544237</v>
      </c>
      <c r="BJ39" s="28">
        <f t="shared" si="9"/>
        <v>33297.62406338624</v>
      </c>
      <c r="BK39" s="28">
        <f t="shared" si="10"/>
        <v>18524.209484257895</v>
      </c>
      <c r="BL39" s="28">
        <f t="shared" si="11"/>
        <v>39734.344698950663</v>
      </c>
      <c r="BM39" s="28">
        <f t="shared" si="12"/>
        <v>47693.805285709692</v>
      </c>
      <c r="BN39" s="28">
        <f t="shared" si="13"/>
        <v>45998.761904714876</v>
      </c>
      <c r="BO39" s="28">
        <f t="shared" si="14"/>
        <v>33016.925369087163</v>
      </c>
      <c r="BP39" s="28">
        <f t="shared" si="15"/>
        <v>32757.263132611708</v>
      </c>
      <c r="BQ39" s="29">
        <f t="shared" si="37"/>
        <v>436152.94882156036</v>
      </c>
      <c r="BR39" s="26">
        <f t="shared" si="16"/>
        <v>327581.96093762724</v>
      </c>
      <c r="BS39" s="26">
        <f t="shared" si="38"/>
        <v>763734.90975918761</v>
      </c>
      <c r="BT39" s="26">
        <f t="shared" si="17"/>
        <v>1042104.9097591876</v>
      </c>
      <c r="BU39" s="111">
        <f t="shared" si="171"/>
        <v>7930000</v>
      </c>
      <c r="BV39" s="110">
        <v>32</v>
      </c>
      <c r="BW39" s="115" t="s">
        <v>667</v>
      </c>
      <c r="BX39" s="125"/>
    </row>
    <row r="40" spans="1:76" s="135" customFormat="1" ht="13.5" customHeight="1" x14ac:dyDescent="0.2">
      <c r="A40" s="128">
        <v>33</v>
      </c>
      <c r="B40" s="128">
        <v>51</v>
      </c>
      <c r="C40" s="129" t="s">
        <v>40</v>
      </c>
      <c r="D40" s="130">
        <v>100000</v>
      </c>
      <c r="E40" s="130">
        <f t="shared" ref="E40:G40" si="180">+F40-25000</f>
        <v>2078000</v>
      </c>
      <c r="F40" s="130">
        <f t="shared" si="180"/>
        <v>2103000</v>
      </c>
      <c r="G40" s="130">
        <f t="shared" si="180"/>
        <v>2128000</v>
      </c>
      <c r="H40" s="130">
        <f t="shared" ref="H40:O40" si="181">+I40-50000</f>
        <v>2153000</v>
      </c>
      <c r="I40" s="130">
        <f t="shared" si="181"/>
        <v>2203000</v>
      </c>
      <c r="J40" s="130">
        <f t="shared" si="181"/>
        <v>2253000</v>
      </c>
      <c r="K40" s="130">
        <f t="shared" si="181"/>
        <v>2303000</v>
      </c>
      <c r="L40" s="130">
        <f t="shared" si="181"/>
        <v>2353000</v>
      </c>
      <c r="M40" s="130">
        <f t="shared" si="181"/>
        <v>2403000</v>
      </c>
      <c r="N40" s="130">
        <f t="shared" si="181"/>
        <v>2453000</v>
      </c>
      <c r="O40" s="130">
        <f t="shared" si="181"/>
        <v>2503000</v>
      </c>
      <c r="P40" s="130">
        <v>2553000</v>
      </c>
      <c r="Q40" s="130">
        <v>1200000</v>
      </c>
      <c r="R40" s="130">
        <f>+Q40+200000</f>
        <v>1400000</v>
      </c>
      <c r="S40" s="130">
        <f t="shared" si="168"/>
        <v>1600000</v>
      </c>
      <c r="T40" s="130">
        <f t="shared" si="168"/>
        <v>1800000</v>
      </c>
      <c r="U40" s="130">
        <f t="shared" si="168"/>
        <v>2000000</v>
      </c>
      <c r="V40" s="130">
        <v>0</v>
      </c>
      <c r="W40" s="130">
        <f t="shared" ref="W40" si="182">+V40+200000</f>
        <v>200000</v>
      </c>
      <c r="X40" s="130">
        <f t="shared" ref="X40" si="183">+W40+200000</f>
        <v>400000</v>
      </c>
      <c r="Y40" s="130">
        <f t="shared" ref="Y40" si="184">+X40+200000</f>
        <v>600000</v>
      </c>
      <c r="Z40" s="130">
        <f t="shared" ref="Z40" si="185">+Y40+200000</f>
        <v>800000</v>
      </c>
      <c r="AA40" s="130">
        <f t="shared" ref="AA40" si="186">+Z40+200000</f>
        <v>1000000</v>
      </c>
      <c r="AB40" s="130">
        <v>1200000</v>
      </c>
      <c r="AC40" s="130">
        <v>0</v>
      </c>
      <c r="AD40" s="130">
        <f>50000+AC40</f>
        <v>50000</v>
      </c>
      <c r="AE40" s="130">
        <v>0</v>
      </c>
      <c r="AF40" s="130">
        <f t="shared" ref="AF40:AL40" si="187">50000+AE40</f>
        <v>50000</v>
      </c>
      <c r="AG40" s="130">
        <v>0</v>
      </c>
      <c r="AH40" s="130">
        <f t="shared" si="187"/>
        <v>50000</v>
      </c>
      <c r="AI40" s="130">
        <f t="shared" si="187"/>
        <v>100000</v>
      </c>
      <c r="AJ40" s="130">
        <v>50000</v>
      </c>
      <c r="AK40" s="130">
        <v>0</v>
      </c>
      <c r="AL40" s="130">
        <f t="shared" si="187"/>
        <v>50000</v>
      </c>
      <c r="AM40" s="130">
        <v>0</v>
      </c>
      <c r="AN40" s="130">
        <v>2050000</v>
      </c>
      <c r="AO40" s="130">
        <f t="shared" si="23"/>
        <v>5903000</v>
      </c>
      <c r="AP40" s="131">
        <f t="shared" si="24"/>
        <v>6000</v>
      </c>
      <c r="AQ40" s="131">
        <f t="shared" si="25"/>
        <v>7250</v>
      </c>
      <c r="AR40" s="131">
        <f t="shared" si="26"/>
        <v>8000</v>
      </c>
      <c r="AS40" s="131">
        <f t="shared" si="27"/>
        <v>9250</v>
      </c>
      <c r="AT40" s="131">
        <f t="shared" si="28"/>
        <v>10000</v>
      </c>
      <c r="AU40" s="131">
        <f t="shared" si="29"/>
        <v>250</v>
      </c>
      <c r="AV40" s="131">
        <f t="shared" si="30"/>
        <v>1500</v>
      </c>
      <c r="AW40" s="131">
        <f t="shared" si="31"/>
        <v>2250</v>
      </c>
      <c r="AX40" s="131">
        <f t="shared" si="32"/>
        <v>3000</v>
      </c>
      <c r="AY40" s="131">
        <f t="shared" si="33"/>
        <v>4250</v>
      </c>
      <c r="AZ40" s="131">
        <f t="shared" si="34"/>
        <v>5000</v>
      </c>
      <c r="BA40" s="131">
        <f t="shared" si="35"/>
        <v>16250</v>
      </c>
      <c r="BB40" s="131">
        <v>2925000</v>
      </c>
      <c r="BC40" s="130">
        <f>4250000+3125000</f>
        <v>7375000</v>
      </c>
      <c r="BD40" s="131">
        <f t="shared" si="82"/>
        <v>73000</v>
      </c>
      <c r="BE40" s="132">
        <f t="shared" ref="BE40:BE71" si="188">(BE$6/($D$205+E$205+Q$205+AC$205))*($D40+E40+Q40+AC40)</f>
        <v>5987.1186694442358</v>
      </c>
      <c r="BF40" s="132">
        <f t="shared" ref="BF40:BF71" si="189">(BF$6/($D$205+F$205+R$205+AD$205))*($D40+F40+R40+AD40)</f>
        <v>5879.9489776042701</v>
      </c>
      <c r="BG40" s="132">
        <f t="shared" ref="BG40:BG71" si="190">(BG$6/($D$205+G$205+S$205+AE$205))*($D40+G40+S40+AE40)</f>
        <v>19238.693090755085</v>
      </c>
      <c r="BH40" s="132">
        <f t="shared" ref="BH40:BH71" si="191">(BH$6/($D$205+H$205+T$205+AF$205))*($D40+H40+T40+AF40)</f>
        <v>32848.102174454441</v>
      </c>
      <c r="BI40" s="132">
        <f t="shared" ref="BI40:BI71" si="192">(BI$6/($D$205+I$205+U$205+AG$205))*($D40+I40+U40+AG40)</f>
        <v>26224.777765962601</v>
      </c>
      <c r="BJ40" s="132">
        <f t="shared" ref="BJ40:BJ71" si="193">(BJ$6/($D$205+J$205+V$205+AH$205))*($D40+J40+V40+AH40)</f>
        <v>15012.043269102653</v>
      </c>
      <c r="BK40" s="132">
        <f t="shared" ref="BK40:BK71" si="194">(BK$6/($D$205+K$205+W$205+AI$205))*($D40+K40+W40+AI40)</f>
        <v>11698.817344847919</v>
      </c>
      <c r="BL40" s="132">
        <f t="shared" ref="BL40:BL71" si="195">(BL$6/($D$205+L$205+X$205+AJ$205))*($D40+L40+X40+AJ40)</f>
        <v>22055.220394082942</v>
      </c>
      <c r="BM40" s="132">
        <f t="shared" ref="BM40:BM71" si="196">(BM$6/($D$205+M$205+Y$205+AK$205))*($D40+M40+Y40+AK40)</f>
        <v>23947.2294177277</v>
      </c>
      <c r="BN40" s="132">
        <f t="shared" ref="BN40:BN71" si="197">(BN$6/($D$205+N$205+Z$205+AL$205))*($D40+N40+Z40+AL40)</f>
        <v>21954.247792671071</v>
      </c>
      <c r="BO40" s="132">
        <f t="shared" ref="BO40:BO71" si="198">(BO$6/($D$205+O$205+AA$205+AM$205))*($D40+O40+AA40+AM40)</f>
        <v>16802.257359438001</v>
      </c>
      <c r="BP40" s="132">
        <f t="shared" ref="BP40:BP71" si="199">(BP$6/($D$205+P$205+AB$205+AN$205))*($D40+P40+AB40+AN40)</f>
        <v>24080.463794745567</v>
      </c>
      <c r="BQ40" s="133">
        <f t="shared" si="37"/>
        <v>225728.92005083646</v>
      </c>
      <c r="BR40" s="130">
        <f t="shared" ref="BR40:BR71" si="200">+BB40/$BB$205*40219858</f>
        <v>638784.8238283731</v>
      </c>
      <c r="BS40" s="130">
        <f t="shared" si="38"/>
        <v>864513.74387920951</v>
      </c>
      <c r="BT40" s="130">
        <f t="shared" ref="BT40:BT71" si="201">+BS40+BD40</f>
        <v>937513.74387920951</v>
      </c>
      <c r="BU40" s="134">
        <f>AO40-100000</f>
        <v>5803000</v>
      </c>
      <c r="BV40" s="135">
        <v>33</v>
      </c>
      <c r="BW40" s="135" t="s">
        <v>667</v>
      </c>
    </row>
    <row r="41" spans="1:76" s="110" customFormat="1" ht="13.5" customHeight="1" x14ac:dyDescent="0.2">
      <c r="A41" s="24">
        <v>34</v>
      </c>
      <c r="B41" s="24">
        <v>52</v>
      </c>
      <c r="C41" s="25" t="s">
        <v>41</v>
      </c>
      <c r="D41" s="26">
        <v>100000</v>
      </c>
      <c r="E41" s="26">
        <f t="shared" ref="E41:G41" si="202">+F41-25000</f>
        <v>2078000</v>
      </c>
      <c r="F41" s="26">
        <f t="shared" si="202"/>
        <v>2103000</v>
      </c>
      <c r="G41" s="26">
        <f t="shared" si="202"/>
        <v>2128000</v>
      </c>
      <c r="H41" s="26">
        <f t="shared" ref="H41:O41" si="203">+I41-50000</f>
        <v>2153000</v>
      </c>
      <c r="I41" s="26">
        <f t="shared" si="203"/>
        <v>2203000</v>
      </c>
      <c r="J41" s="26">
        <f t="shared" si="203"/>
        <v>2253000</v>
      </c>
      <c r="K41" s="26">
        <f t="shared" si="203"/>
        <v>2303000</v>
      </c>
      <c r="L41" s="26">
        <f t="shared" si="203"/>
        <v>2353000</v>
      </c>
      <c r="M41" s="26">
        <f t="shared" si="203"/>
        <v>2403000</v>
      </c>
      <c r="N41" s="26">
        <f t="shared" si="203"/>
        <v>2453000</v>
      </c>
      <c r="O41" s="26">
        <f t="shared" si="203"/>
        <v>2503000</v>
      </c>
      <c r="P41" s="26">
        <v>2553000</v>
      </c>
      <c r="Q41" s="26">
        <v>1800000</v>
      </c>
      <c r="R41" s="26">
        <f>+Q41+300000</f>
        <v>2100000</v>
      </c>
      <c r="S41" s="26">
        <f t="shared" ref="S41:U41" si="204">+R41+300000</f>
        <v>2400000</v>
      </c>
      <c r="T41" s="26">
        <f t="shared" si="204"/>
        <v>2700000</v>
      </c>
      <c r="U41" s="26">
        <f t="shared" si="204"/>
        <v>3000000</v>
      </c>
      <c r="V41" s="26">
        <v>0</v>
      </c>
      <c r="W41" s="26">
        <f>+V41+500000</f>
        <v>500000</v>
      </c>
      <c r="X41" s="26">
        <f t="shared" ref="X41:AA41" si="205">+W41+500000</f>
        <v>1000000</v>
      </c>
      <c r="Y41" s="26">
        <f t="shared" si="205"/>
        <v>1500000</v>
      </c>
      <c r="Z41" s="26">
        <f t="shared" si="205"/>
        <v>2000000</v>
      </c>
      <c r="AA41" s="26">
        <f t="shared" si="205"/>
        <v>2500000</v>
      </c>
      <c r="AB41" s="26">
        <v>3000000</v>
      </c>
      <c r="AC41" s="26">
        <v>9226000</v>
      </c>
      <c r="AD41" s="26">
        <f>20000+AC41</f>
        <v>9246000</v>
      </c>
      <c r="AE41" s="26">
        <f t="shared" ref="AE41:AM41" si="206">20000+AD41</f>
        <v>9266000</v>
      </c>
      <c r="AF41" s="26">
        <f t="shared" si="206"/>
        <v>9286000</v>
      </c>
      <c r="AG41" s="26">
        <f t="shared" si="206"/>
        <v>9306000</v>
      </c>
      <c r="AH41" s="26">
        <f t="shared" si="206"/>
        <v>9326000</v>
      </c>
      <c r="AI41" s="26">
        <f t="shared" si="206"/>
        <v>9346000</v>
      </c>
      <c r="AJ41" s="26">
        <f>20000+AI41+4000000</f>
        <v>13366000</v>
      </c>
      <c r="AK41" s="26">
        <f t="shared" si="206"/>
        <v>13386000</v>
      </c>
      <c r="AL41" s="26">
        <f t="shared" si="206"/>
        <v>13406000</v>
      </c>
      <c r="AM41" s="26">
        <f t="shared" si="206"/>
        <v>13426000</v>
      </c>
      <c r="AN41" s="26">
        <v>13446000</v>
      </c>
      <c r="AO41" s="26">
        <f t="shared" si="23"/>
        <v>19099000</v>
      </c>
      <c r="AP41" s="27">
        <f t="shared" si="24"/>
        <v>55130</v>
      </c>
      <c r="AQ41" s="27">
        <f t="shared" si="25"/>
        <v>56730</v>
      </c>
      <c r="AR41" s="27">
        <f t="shared" si="26"/>
        <v>58330</v>
      </c>
      <c r="AS41" s="27">
        <f t="shared" si="27"/>
        <v>59930</v>
      </c>
      <c r="AT41" s="27">
        <f t="shared" si="28"/>
        <v>61530</v>
      </c>
      <c r="AU41" s="27">
        <f t="shared" si="29"/>
        <v>46630</v>
      </c>
      <c r="AV41" s="27">
        <f t="shared" si="30"/>
        <v>49230</v>
      </c>
      <c r="AW41" s="27">
        <f t="shared" si="31"/>
        <v>71830</v>
      </c>
      <c r="AX41" s="27">
        <f t="shared" si="32"/>
        <v>74430</v>
      </c>
      <c r="AY41" s="27">
        <f t="shared" si="33"/>
        <v>77030</v>
      </c>
      <c r="AZ41" s="27">
        <f t="shared" si="34"/>
        <v>79630</v>
      </c>
      <c r="BA41" s="27">
        <f t="shared" si="35"/>
        <v>82230</v>
      </c>
      <c r="BB41" s="27">
        <v>1350000</v>
      </c>
      <c r="BC41" s="26">
        <v>2494000</v>
      </c>
      <c r="BD41" s="27">
        <f t="shared" si="82"/>
        <v>772660</v>
      </c>
      <c r="BE41" s="28">
        <f t="shared" si="188"/>
        <v>23402.579902706242</v>
      </c>
      <c r="BF41" s="28">
        <f t="shared" si="189"/>
        <v>21808.76777923905</v>
      </c>
      <c r="BG41" s="28">
        <f t="shared" si="190"/>
        <v>69828.21363713457</v>
      </c>
      <c r="BH41" s="28">
        <f t="shared" si="191"/>
        <v>113995.64388546351</v>
      </c>
      <c r="BI41" s="28">
        <f t="shared" si="192"/>
        <v>89035.040293503975</v>
      </c>
      <c r="BJ41" s="28">
        <f t="shared" si="193"/>
        <v>72961.154115626254</v>
      </c>
      <c r="BK41" s="28">
        <f t="shared" si="194"/>
        <v>53014.729432867985</v>
      </c>
      <c r="BL41" s="28">
        <f t="shared" si="195"/>
        <v>127780.48632727558</v>
      </c>
      <c r="BM41" s="28">
        <f t="shared" si="196"/>
        <v>134198.63755877118</v>
      </c>
      <c r="BN41" s="28">
        <f t="shared" si="197"/>
        <v>115861.39762226852</v>
      </c>
      <c r="BO41" s="28">
        <f t="shared" si="198"/>
        <v>86408.27827172543</v>
      </c>
      <c r="BP41" s="28">
        <f t="shared" si="199"/>
        <v>77911.70218801382</v>
      </c>
      <c r="BQ41" s="29">
        <f t="shared" si="37"/>
        <v>986206.63101459597</v>
      </c>
      <c r="BR41" s="26">
        <f t="shared" si="200"/>
        <v>294823.76484386454</v>
      </c>
      <c r="BS41" s="26">
        <f t="shared" si="38"/>
        <v>1281030.3958584606</v>
      </c>
      <c r="BT41" s="26">
        <f t="shared" si="201"/>
        <v>2053690.3958584606</v>
      </c>
      <c r="BU41" s="111">
        <f>AO41-100000</f>
        <v>18999000</v>
      </c>
      <c r="BV41" s="110">
        <v>35</v>
      </c>
      <c r="BW41" s="115" t="s">
        <v>667</v>
      </c>
      <c r="BX41" s="125"/>
    </row>
    <row r="42" spans="1:76" s="135" customFormat="1" ht="13.5" customHeight="1" x14ac:dyDescent="0.2">
      <c r="A42" s="128">
        <v>35</v>
      </c>
      <c r="B42" s="128">
        <v>53</v>
      </c>
      <c r="C42" s="129" t="s">
        <v>42</v>
      </c>
      <c r="D42" s="130">
        <v>100000</v>
      </c>
      <c r="E42" s="130">
        <f t="shared" ref="E42:G42" si="207">+F42-25000</f>
        <v>2078000</v>
      </c>
      <c r="F42" s="130">
        <f t="shared" si="207"/>
        <v>2103000</v>
      </c>
      <c r="G42" s="130">
        <f t="shared" si="207"/>
        <v>2128000</v>
      </c>
      <c r="H42" s="130">
        <f t="shared" ref="H42:O42" si="208">+I42-50000</f>
        <v>2153000</v>
      </c>
      <c r="I42" s="130">
        <f t="shared" si="208"/>
        <v>2203000</v>
      </c>
      <c r="J42" s="130">
        <f t="shared" si="208"/>
        <v>2253000</v>
      </c>
      <c r="K42" s="130">
        <f t="shared" si="208"/>
        <v>2303000</v>
      </c>
      <c r="L42" s="130">
        <f t="shared" si="208"/>
        <v>2353000</v>
      </c>
      <c r="M42" s="130">
        <f t="shared" si="208"/>
        <v>2403000</v>
      </c>
      <c r="N42" s="130">
        <f t="shared" si="208"/>
        <v>2453000</v>
      </c>
      <c r="O42" s="130">
        <f t="shared" si="208"/>
        <v>2503000</v>
      </c>
      <c r="P42" s="130">
        <v>2553000</v>
      </c>
      <c r="Q42" s="130">
        <v>3000000</v>
      </c>
      <c r="R42" s="130">
        <f>+Q42+500000</f>
        <v>3500000</v>
      </c>
      <c r="S42" s="130">
        <f t="shared" ref="S42:AA44" si="209">+R42+500000</f>
        <v>4000000</v>
      </c>
      <c r="T42" s="130">
        <f t="shared" si="209"/>
        <v>4500000</v>
      </c>
      <c r="U42" s="130">
        <f t="shared" si="209"/>
        <v>5000000</v>
      </c>
      <c r="V42" s="130">
        <v>0</v>
      </c>
      <c r="W42" s="130">
        <f t="shared" si="209"/>
        <v>500000</v>
      </c>
      <c r="X42" s="130">
        <f t="shared" si="209"/>
        <v>1000000</v>
      </c>
      <c r="Y42" s="130">
        <f t="shared" si="209"/>
        <v>1500000</v>
      </c>
      <c r="Z42" s="130">
        <f t="shared" si="209"/>
        <v>2000000</v>
      </c>
      <c r="AA42" s="130">
        <f t="shared" si="209"/>
        <v>2500000</v>
      </c>
      <c r="AB42" s="130">
        <v>3000000</v>
      </c>
      <c r="AC42" s="130">
        <v>206000</v>
      </c>
      <c r="AD42" s="130">
        <f>+AC42+10000</f>
        <v>216000</v>
      </c>
      <c r="AE42" s="130">
        <f t="shared" ref="AE42:AM42" si="210">+AD42+10000</f>
        <v>226000</v>
      </c>
      <c r="AF42" s="130">
        <f t="shared" si="210"/>
        <v>236000</v>
      </c>
      <c r="AG42" s="130">
        <f t="shared" si="210"/>
        <v>246000</v>
      </c>
      <c r="AH42" s="130">
        <f t="shared" si="210"/>
        <v>256000</v>
      </c>
      <c r="AI42" s="130">
        <f t="shared" si="210"/>
        <v>266000</v>
      </c>
      <c r="AJ42" s="130">
        <f t="shared" si="210"/>
        <v>276000</v>
      </c>
      <c r="AK42" s="130">
        <f t="shared" si="210"/>
        <v>286000</v>
      </c>
      <c r="AL42" s="130">
        <f t="shared" si="210"/>
        <v>296000</v>
      </c>
      <c r="AM42" s="130">
        <f t="shared" si="210"/>
        <v>306000</v>
      </c>
      <c r="AN42" s="130">
        <v>316000</v>
      </c>
      <c r="AO42" s="130">
        <f t="shared" si="23"/>
        <v>5969000</v>
      </c>
      <c r="AP42" s="131">
        <f t="shared" si="24"/>
        <v>16030</v>
      </c>
      <c r="AQ42" s="131">
        <f t="shared" si="25"/>
        <v>18580</v>
      </c>
      <c r="AR42" s="131">
        <f t="shared" si="26"/>
        <v>21130</v>
      </c>
      <c r="AS42" s="131">
        <f t="shared" si="27"/>
        <v>23680</v>
      </c>
      <c r="AT42" s="131">
        <f t="shared" si="28"/>
        <v>26230</v>
      </c>
      <c r="AU42" s="131">
        <f t="shared" si="29"/>
        <v>1280</v>
      </c>
      <c r="AV42" s="131">
        <f t="shared" si="30"/>
        <v>3830</v>
      </c>
      <c r="AW42" s="131">
        <f t="shared" si="31"/>
        <v>6380</v>
      </c>
      <c r="AX42" s="131">
        <f t="shared" si="32"/>
        <v>8930</v>
      </c>
      <c r="AY42" s="131">
        <f t="shared" si="33"/>
        <v>11480</v>
      </c>
      <c r="AZ42" s="131">
        <f t="shared" si="34"/>
        <v>14030</v>
      </c>
      <c r="BA42" s="131">
        <f t="shared" si="35"/>
        <v>16580</v>
      </c>
      <c r="BB42" s="131">
        <v>2025000</v>
      </c>
      <c r="BC42" s="130">
        <v>13125000</v>
      </c>
      <c r="BD42" s="131">
        <f t="shared" si="82"/>
        <v>168160</v>
      </c>
      <c r="BE42" s="132">
        <f t="shared" si="188"/>
        <v>9542.5242499371707</v>
      </c>
      <c r="BF42" s="132">
        <f t="shared" si="189"/>
        <v>9527.352312740124</v>
      </c>
      <c r="BG42" s="132">
        <f t="shared" si="190"/>
        <v>32436.396344757919</v>
      </c>
      <c r="BH42" s="132">
        <f t="shared" si="191"/>
        <v>55953.055349076792</v>
      </c>
      <c r="BI42" s="132">
        <f t="shared" si="192"/>
        <v>46007.633594062674</v>
      </c>
      <c r="BJ42" s="132">
        <f t="shared" si="193"/>
        <v>16298.968326711953</v>
      </c>
      <c r="BK42" s="132">
        <f t="shared" si="194"/>
        <v>13715.705573741419</v>
      </c>
      <c r="BL42" s="132">
        <f t="shared" si="195"/>
        <v>28330.663744242262</v>
      </c>
      <c r="BM42" s="132">
        <f t="shared" si="196"/>
        <v>33100.118263820208</v>
      </c>
      <c r="BN42" s="132">
        <f t="shared" si="197"/>
        <v>31283.028958760511</v>
      </c>
      <c r="BO42" s="132">
        <f t="shared" si="198"/>
        <v>25224.371373078033</v>
      </c>
      <c r="BP42" s="132">
        <f t="shared" si="199"/>
        <v>24349.701573917719</v>
      </c>
      <c r="BQ42" s="133">
        <f t="shared" si="37"/>
        <v>325769.51966484671</v>
      </c>
      <c r="BR42" s="130">
        <f t="shared" si="200"/>
        <v>442235.64726579678</v>
      </c>
      <c r="BS42" s="130">
        <f t="shared" si="38"/>
        <v>768005.16693064349</v>
      </c>
      <c r="BT42" s="130">
        <f t="shared" si="201"/>
        <v>936165.16693064349</v>
      </c>
      <c r="BU42" s="134">
        <f t="shared" ref="BU42:BU50" si="211">AO42-100000</f>
        <v>5869000</v>
      </c>
      <c r="BV42" s="135">
        <v>36</v>
      </c>
      <c r="BW42" s="135" t="s">
        <v>667</v>
      </c>
    </row>
    <row r="43" spans="1:76" s="135" customFormat="1" ht="13.5" customHeight="1" x14ac:dyDescent="0.2">
      <c r="A43" s="128">
        <v>36</v>
      </c>
      <c r="B43" s="128">
        <v>54</v>
      </c>
      <c r="C43" s="129" t="s">
        <v>43</v>
      </c>
      <c r="D43" s="130">
        <v>100000</v>
      </c>
      <c r="E43" s="130">
        <f t="shared" ref="E43:G43" si="212">+F43-25000</f>
        <v>2078000</v>
      </c>
      <c r="F43" s="130">
        <f t="shared" si="212"/>
        <v>2103000</v>
      </c>
      <c r="G43" s="130">
        <f t="shared" si="212"/>
        <v>2128000</v>
      </c>
      <c r="H43" s="130">
        <f t="shared" ref="H43:O43" si="213">+I43-50000</f>
        <v>2153000</v>
      </c>
      <c r="I43" s="130">
        <f t="shared" si="213"/>
        <v>2203000</v>
      </c>
      <c r="J43" s="130">
        <f t="shared" si="213"/>
        <v>2253000</v>
      </c>
      <c r="K43" s="130">
        <f t="shared" si="213"/>
        <v>2303000</v>
      </c>
      <c r="L43" s="130">
        <f t="shared" si="213"/>
        <v>2353000</v>
      </c>
      <c r="M43" s="130">
        <f t="shared" si="213"/>
        <v>2403000</v>
      </c>
      <c r="N43" s="130">
        <f t="shared" si="213"/>
        <v>2453000</v>
      </c>
      <c r="O43" s="130">
        <f t="shared" si="213"/>
        <v>2503000</v>
      </c>
      <c r="P43" s="130">
        <v>2553000</v>
      </c>
      <c r="Q43" s="130">
        <v>1200000</v>
      </c>
      <c r="R43" s="130">
        <f>+Q43+200000</f>
        <v>1400000</v>
      </c>
      <c r="S43" s="130">
        <f t="shared" ref="S43" si="214">+R43+200000</f>
        <v>1600000</v>
      </c>
      <c r="T43" s="130">
        <f t="shared" ref="T43" si="215">+S43+200000</f>
        <v>1800000</v>
      </c>
      <c r="U43" s="130">
        <f t="shared" ref="U43" si="216">+T43+200000</f>
        <v>2000000</v>
      </c>
      <c r="V43" s="130">
        <v>0</v>
      </c>
      <c r="W43" s="130">
        <f t="shared" ref="W43:AA43" si="217">+V43+300000</f>
        <v>300000</v>
      </c>
      <c r="X43" s="130">
        <f t="shared" si="217"/>
        <v>600000</v>
      </c>
      <c r="Y43" s="130">
        <f t="shared" si="217"/>
        <v>900000</v>
      </c>
      <c r="Z43" s="130">
        <f t="shared" si="217"/>
        <v>1200000</v>
      </c>
      <c r="AA43" s="130">
        <f t="shared" si="217"/>
        <v>1500000</v>
      </c>
      <c r="AB43" s="130">
        <v>1800000</v>
      </c>
      <c r="AC43" s="130">
        <v>6000</v>
      </c>
      <c r="AD43" s="130">
        <f>+AC43+50000</f>
        <v>56000</v>
      </c>
      <c r="AE43" s="130">
        <f t="shared" ref="AE43:AM43" si="218">+AD43+50000</f>
        <v>106000</v>
      </c>
      <c r="AF43" s="130">
        <f t="shared" si="218"/>
        <v>156000</v>
      </c>
      <c r="AG43" s="130">
        <f t="shared" si="218"/>
        <v>206000</v>
      </c>
      <c r="AH43" s="130">
        <f>+AG43+50000-250000</f>
        <v>6000</v>
      </c>
      <c r="AI43" s="130">
        <f t="shared" si="218"/>
        <v>56000</v>
      </c>
      <c r="AJ43" s="130">
        <f t="shared" si="218"/>
        <v>106000</v>
      </c>
      <c r="AK43" s="130">
        <f t="shared" si="218"/>
        <v>156000</v>
      </c>
      <c r="AL43" s="130">
        <v>6000</v>
      </c>
      <c r="AM43" s="130">
        <f t="shared" si="218"/>
        <v>56000</v>
      </c>
      <c r="AN43" s="130">
        <v>106000</v>
      </c>
      <c r="AO43" s="130">
        <f t="shared" si="23"/>
        <v>4559000</v>
      </c>
      <c r="AP43" s="131">
        <f t="shared" si="24"/>
        <v>6030</v>
      </c>
      <c r="AQ43" s="131">
        <f t="shared" si="25"/>
        <v>7280</v>
      </c>
      <c r="AR43" s="131">
        <f t="shared" si="26"/>
        <v>8530</v>
      </c>
      <c r="AS43" s="131">
        <f t="shared" si="27"/>
        <v>9780</v>
      </c>
      <c r="AT43" s="131">
        <f t="shared" si="28"/>
        <v>11030</v>
      </c>
      <c r="AU43" s="131">
        <f t="shared" si="29"/>
        <v>30</v>
      </c>
      <c r="AV43" s="131">
        <f t="shared" si="30"/>
        <v>1780</v>
      </c>
      <c r="AW43" s="131">
        <f t="shared" si="31"/>
        <v>3530</v>
      </c>
      <c r="AX43" s="131">
        <f t="shared" si="32"/>
        <v>5280</v>
      </c>
      <c r="AY43" s="131">
        <f t="shared" si="33"/>
        <v>6030</v>
      </c>
      <c r="AZ43" s="131">
        <f t="shared" si="34"/>
        <v>7780</v>
      </c>
      <c r="BA43" s="131">
        <f t="shared" si="35"/>
        <v>9530</v>
      </c>
      <c r="BB43" s="131">
        <v>3150000</v>
      </c>
      <c r="BC43" s="130">
        <v>14996000</v>
      </c>
      <c r="BD43" s="131">
        <f t="shared" si="82"/>
        <v>76610</v>
      </c>
      <c r="BE43" s="132">
        <f t="shared" si="188"/>
        <v>5997.7529832443142</v>
      </c>
      <c r="BF43" s="132">
        <f t="shared" si="189"/>
        <v>5889.6067092948324</v>
      </c>
      <c r="BG43" s="132">
        <f t="shared" si="190"/>
        <v>19771.425971533568</v>
      </c>
      <c r="BH43" s="132">
        <f t="shared" si="191"/>
        <v>33696.724848227816</v>
      </c>
      <c r="BI43" s="132">
        <f t="shared" si="192"/>
        <v>27480.251672490209</v>
      </c>
      <c r="BJ43" s="132">
        <f t="shared" si="193"/>
        <v>14737.166072331735</v>
      </c>
      <c r="BK43" s="132">
        <f t="shared" si="194"/>
        <v>11941.190179221387</v>
      </c>
      <c r="BL43" s="132">
        <f t="shared" si="195"/>
        <v>24000.151989289705</v>
      </c>
      <c r="BM43" s="132">
        <f t="shared" si="196"/>
        <v>27466.383982498512</v>
      </c>
      <c r="BN43" s="132">
        <f t="shared" si="197"/>
        <v>24250.960168278154</v>
      </c>
      <c r="BO43" s="132">
        <f t="shared" si="198"/>
        <v>19395.111950569706</v>
      </c>
      <c r="BP43" s="132">
        <f t="shared" si="199"/>
        <v>18597.803564330858</v>
      </c>
      <c r="BQ43" s="133">
        <f t="shared" si="37"/>
        <v>233224.53009131082</v>
      </c>
      <c r="BR43" s="130">
        <f t="shared" si="200"/>
        <v>687922.11796901724</v>
      </c>
      <c r="BS43" s="130">
        <f t="shared" si="38"/>
        <v>921146.64806032809</v>
      </c>
      <c r="BT43" s="130">
        <f t="shared" si="201"/>
        <v>997756.64806032809</v>
      </c>
      <c r="BU43" s="134">
        <f t="shared" si="211"/>
        <v>4459000</v>
      </c>
      <c r="BV43" s="135">
        <v>37</v>
      </c>
      <c r="BW43" s="135" t="s">
        <v>667</v>
      </c>
    </row>
    <row r="44" spans="1:76" s="135" customFormat="1" ht="13.5" customHeight="1" x14ac:dyDescent="0.2">
      <c r="A44" s="128">
        <v>37</v>
      </c>
      <c r="B44" s="128">
        <v>55</v>
      </c>
      <c r="C44" s="129" t="s">
        <v>44</v>
      </c>
      <c r="D44" s="130">
        <v>100000</v>
      </c>
      <c r="E44" s="130">
        <f t="shared" ref="E44:G44" si="219">+F44-25000</f>
        <v>2078000</v>
      </c>
      <c r="F44" s="130">
        <f t="shared" si="219"/>
        <v>2103000</v>
      </c>
      <c r="G44" s="130">
        <f t="shared" si="219"/>
        <v>2128000</v>
      </c>
      <c r="H44" s="130">
        <f t="shared" ref="H44:O44" si="220">+I44-50000</f>
        <v>2153000</v>
      </c>
      <c r="I44" s="130">
        <f t="shared" si="220"/>
        <v>2203000</v>
      </c>
      <c r="J44" s="130">
        <f t="shared" si="220"/>
        <v>2253000</v>
      </c>
      <c r="K44" s="130">
        <f t="shared" si="220"/>
        <v>2303000</v>
      </c>
      <c r="L44" s="130">
        <f t="shared" si="220"/>
        <v>2353000</v>
      </c>
      <c r="M44" s="130">
        <f t="shared" si="220"/>
        <v>2403000</v>
      </c>
      <c r="N44" s="130">
        <f t="shared" si="220"/>
        <v>2453000</v>
      </c>
      <c r="O44" s="130">
        <f t="shared" si="220"/>
        <v>2503000</v>
      </c>
      <c r="P44" s="130">
        <v>2553000</v>
      </c>
      <c r="Q44" s="130">
        <v>3000000</v>
      </c>
      <c r="R44" s="130">
        <f>+Q44+500000</f>
        <v>3500000</v>
      </c>
      <c r="S44" s="130">
        <f t="shared" si="209"/>
        <v>4000000</v>
      </c>
      <c r="T44" s="130">
        <f t="shared" si="209"/>
        <v>4500000</v>
      </c>
      <c r="U44" s="130">
        <f t="shared" si="209"/>
        <v>5000000</v>
      </c>
      <c r="V44" s="130">
        <v>0</v>
      </c>
      <c r="W44" s="130">
        <f t="shared" si="209"/>
        <v>500000</v>
      </c>
      <c r="X44" s="130">
        <f t="shared" si="209"/>
        <v>1000000</v>
      </c>
      <c r="Y44" s="130">
        <f t="shared" si="209"/>
        <v>1500000</v>
      </c>
      <c r="Z44" s="130">
        <f t="shared" si="209"/>
        <v>2000000</v>
      </c>
      <c r="AA44" s="130">
        <f t="shared" si="209"/>
        <v>2500000</v>
      </c>
      <c r="AB44" s="130">
        <v>3000000</v>
      </c>
      <c r="AC44" s="130">
        <v>374000</v>
      </c>
      <c r="AD44" s="130">
        <v>224000</v>
      </c>
      <c r="AE44" s="130">
        <f t="shared" ref="AE44:AM44" si="221">+AD44+50000</f>
        <v>274000</v>
      </c>
      <c r="AF44" s="130">
        <f t="shared" si="221"/>
        <v>324000</v>
      </c>
      <c r="AG44" s="130">
        <f t="shared" si="221"/>
        <v>374000</v>
      </c>
      <c r="AH44" s="130">
        <f t="shared" si="221"/>
        <v>424000</v>
      </c>
      <c r="AI44" s="130">
        <f t="shared" si="221"/>
        <v>474000</v>
      </c>
      <c r="AJ44" s="130">
        <f t="shared" si="221"/>
        <v>524000</v>
      </c>
      <c r="AK44" s="130">
        <f>+AJ44+50000-300000</f>
        <v>274000</v>
      </c>
      <c r="AL44" s="130">
        <f t="shared" si="221"/>
        <v>324000</v>
      </c>
      <c r="AM44" s="130">
        <f t="shared" si="221"/>
        <v>374000</v>
      </c>
      <c r="AN44" s="130">
        <v>424000</v>
      </c>
      <c r="AO44" s="130">
        <f t="shared" si="23"/>
        <v>6077000</v>
      </c>
      <c r="AP44" s="131">
        <f t="shared" si="24"/>
        <v>16870</v>
      </c>
      <c r="AQ44" s="131">
        <f t="shared" si="25"/>
        <v>18620</v>
      </c>
      <c r="AR44" s="131">
        <f t="shared" si="26"/>
        <v>21370</v>
      </c>
      <c r="AS44" s="131">
        <f t="shared" si="27"/>
        <v>24120</v>
      </c>
      <c r="AT44" s="131">
        <f t="shared" si="28"/>
        <v>26870</v>
      </c>
      <c r="AU44" s="131">
        <f t="shared" si="29"/>
        <v>2120</v>
      </c>
      <c r="AV44" s="131">
        <f t="shared" si="30"/>
        <v>4870</v>
      </c>
      <c r="AW44" s="131">
        <f t="shared" si="31"/>
        <v>7620</v>
      </c>
      <c r="AX44" s="131">
        <f t="shared" si="32"/>
        <v>8870</v>
      </c>
      <c r="AY44" s="131">
        <f t="shared" si="33"/>
        <v>11620</v>
      </c>
      <c r="AZ44" s="131">
        <f t="shared" si="34"/>
        <v>14370</v>
      </c>
      <c r="BA44" s="131">
        <f t="shared" si="35"/>
        <v>17120</v>
      </c>
      <c r="BB44" s="131">
        <v>3000000</v>
      </c>
      <c r="BC44" s="130">
        <v>14150000</v>
      </c>
      <c r="BD44" s="131">
        <f t="shared" si="82"/>
        <v>174440</v>
      </c>
      <c r="BE44" s="132">
        <f t="shared" si="188"/>
        <v>9840.2850363393718</v>
      </c>
      <c r="BF44" s="132">
        <f t="shared" si="189"/>
        <v>9540.2292883275404</v>
      </c>
      <c r="BG44" s="132">
        <f t="shared" si="190"/>
        <v>32677.633875676478</v>
      </c>
      <c r="BH44" s="132">
        <f t="shared" si="191"/>
        <v>56657.572285794311</v>
      </c>
      <c r="BI44" s="132">
        <f t="shared" si="192"/>
        <v>46787.733885497299</v>
      </c>
      <c r="BJ44" s="132">
        <f t="shared" si="193"/>
        <v>17348.499441655458</v>
      </c>
      <c r="BK44" s="132">
        <f t="shared" si="194"/>
        <v>14615.947529985728</v>
      </c>
      <c r="BL44" s="132">
        <f t="shared" si="195"/>
        <v>30214.816227098814</v>
      </c>
      <c r="BM44" s="132">
        <f t="shared" si="196"/>
        <v>33007.508933168341</v>
      </c>
      <c r="BN44" s="132">
        <f t="shared" si="197"/>
        <v>31463.669257965565</v>
      </c>
      <c r="BO44" s="132">
        <f t="shared" si="198"/>
        <v>25541.483085662483</v>
      </c>
      <c r="BP44" s="132">
        <f t="shared" si="199"/>
        <v>24790.27248529033</v>
      </c>
      <c r="BQ44" s="133">
        <f t="shared" si="37"/>
        <v>332485.65133246168</v>
      </c>
      <c r="BR44" s="130">
        <f t="shared" si="200"/>
        <v>655163.92187525448</v>
      </c>
      <c r="BS44" s="130">
        <f t="shared" si="38"/>
        <v>987649.57320771622</v>
      </c>
      <c r="BT44" s="130">
        <f t="shared" si="201"/>
        <v>1162089.5732077162</v>
      </c>
      <c r="BU44" s="134">
        <f t="shared" si="211"/>
        <v>5977000</v>
      </c>
      <c r="BV44" s="135">
        <v>38</v>
      </c>
      <c r="BW44" s="135" t="s">
        <v>667</v>
      </c>
    </row>
    <row r="45" spans="1:76" s="135" customFormat="1" ht="13.5" customHeight="1" x14ac:dyDescent="0.2">
      <c r="A45" s="128">
        <v>38</v>
      </c>
      <c r="B45" s="128">
        <v>56</v>
      </c>
      <c r="C45" s="129" t="s">
        <v>45</v>
      </c>
      <c r="D45" s="130">
        <v>100000</v>
      </c>
      <c r="E45" s="130">
        <f t="shared" ref="E45:G45" si="222">+F45-25000</f>
        <v>2078000</v>
      </c>
      <c r="F45" s="130">
        <f t="shared" si="222"/>
        <v>2103000</v>
      </c>
      <c r="G45" s="130">
        <f t="shared" si="222"/>
        <v>2128000</v>
      </c>
      <c r="H45" s="130">
        <f t="shared" ref="H45:O45" si="223">+I45-50000</f>
        <v>2153000</v>
      </c>
      <c r="I45" s="130">
        <f t="shared" si="223"/>
        <v>2203000</v>
      </c>
      <c r="J45" s="130">
        <f t="shared" si="223"/>
        <v>2253000</v>
      </c>
      <c r="K45" s="130">
        <f t="shared" si="223"/>
        <v>2303000</v>
      </c>
      <c r="L45" s="130">
        <f t="shared" si="223"/>
        <v>2353000</v>
      </c>
      <c r="M45" s="130">
        <f t="shared" si="223"/>
        <v>2403000</v>
      </c>
      <c r="N45" s="130">
        <f t="shared" si="223"/>
        <v>2453000</v>
      </c>
      <c r="O45" s="130">
        <f t="shared" si="223"/>
        <v>2503000</v>
      </c>
      <c r="P45" s="130">
        <v>2553000</v>
      </c>
      <c r="Q45" s="130">
        <v>900000</v>
      </c>
      <c r="R45" s="130">
        <f>+Q45+150000</f>
        <v>1050000</v>
      </c>
      <c r="S45" s="130">
        <f t="shared" ref="S45:U45" si="224">+R45+150000</f>
        <v>1200000</v>
      </c>
      <c r="T45" s="130">
        <f t="shared" si="224"/>
        <v>1350000</v>
      </c>
      <c r="U45" s="130">
        <f t="shared" si="224"/>
        <v>1500000</v>
      </c>
      <c r="V45" s="130">
        <v>0</v>
      </c>
      <c r="W45" s="130">
        <f t="shared" ref="W45" si="225">+V45+200000</f>
        <v>200000</v>
      </c>
      <c r="X45" s="130">
        <f t="shared" ref="X45:X46" si="226">+W45+200000</f>
        <v>400000</v>
      </c>
      <c r="Y45" s="130">
        <f t="shared" ref="Y45:Y46" si="227">+X45+200000</f>
        <v>600000</v>
      </c>
      <c r="Z45" s="130">
        <f t="shared" ref="Z45:Z46" si="228">+Y45+200000</f>
        <v>800000</v>
      </c>
      <c r="AA45" s="130">
        <f t="shared" ref="AA45:AA46" si="229">+Z45+200000</f>
        <v>1000000</v>
      </c>
      <c r="AB45" s="130">
        <v>1200000</v>
      </c>
      <c r="AC45" s="130">
        <f>9798000+10000</f>
        <v>9808000</v>
      </c>
      <c r="AD45" s="130">
        <f>+AC45+10000+1000000</f>
        <v>10818000</v>
      </c>
      <c r="AE45" s="130">
        <f t="shared" ref="AE45:AM45" si="230">+AD45+10000</f>
        <v>10828000</v>
      </c>
      <c r="AF45" s="130">
        <f>+AE45+10000-1000000</f>
        <v>9838000</v>
      </c>
      <c r="AG45" s="130">
        <f t="shared" si="230"/>
        <v>9848000</v>
      </c>
      <c r="AH45" s="130">
        <f t="shared" si="230"/>
        <v>9858000</v>
      </c>
      <c r="AI45" s="130">
        <f t="shared" si="230"/>
        <v>9868000</v>
      </c>
      <c r="AJ45" s="130">
        <f t="shared" si="230"/>
        <v>9878000</v>
      </c>
      <c r="AK45" s="130">
        <f>+AJ45+10000-5000000</f>
        <v>4888000</v>
      </c>
      <c r="AL45" s="130">
        <f t="shared" si="230"/>
        <v>4898000</v>
      </c>
      <c r="AM45" s="130">
        <f t="shared" si="230"/>
        <v>4908000</v>
      </c>
      <c r="AN45" s="130">
        <v>4918000</v>
      </c>
      <c r="AO45" s="130">
        <f t="shared" si="23"/>
        <v>8771000</v>
      </c>
      <c r="AP45" s="131">
        <f t="shared" si="24"/>
        <v>53540</v>
      </c>
      <c r="AQ45" s="131">
        <f t="shared" si="25"/>
        <v>59340</v>
      </c>
      <c r="AR45" s="131">
        <f t="shared" si="26"/>
        <v>60140</v>
      </c>
      <c r="AS45" s="131">
        <f t="shared" si="27"/>
        <v>55940</v>
      </c>
      <c r="AT45" s="131">
        <f t="shared" si="28"/>
        <v>56740</v>
      </c>
      <c r="AU45" s="131">
        <f t="shared" si="29"/>
        <v>49290</v>
      </c>
      <c r="AV45" s="131">
        <f t="shared" si="30"/>
        <v>50340</v>
      </c>
      <c r="AW45" s="131">
        <f t="shared" si="31"/>
        <v>51390</v>
      </c>
      <c r="AX45" s="131">
        <f t="shared" si="32"/>
        <v>27440</v>
      </c>
      <c r="AY45" s="131">
        <f t="shared" si="33"/>
        <v>28490</v>
      </c>
      <c r="AZ45" s="131">
        <f t="shared" si="34"/>
        <v>29540</v>
      </c>
      <c r="BA45" s="131">
        <f t="shared" si="35"/>
        <v>30590</v>
      </c>
      <c r="BB45" s="131">
        <v>3000000</v>
      </c>
      <c r="BC45" s="130">
        <v>4997000</v>
      </c>
      <c r="BD45" s="131">
        <f t="shared" si="82"/>
        <v>552780</v>
      </c>
      <c r="BE45" s="132">
        <f t="shared" si="188"/>
        <v>22838.961271302076</v>
      </c>
      <c r="BF45" s="132">
        <f t="shared" si="189"/>
        <v>22648.990436318007</v>
      </c>
      <c r="BG45" s="132">
        <f t="shared" si="190"/>
        <v>71647.546682812041</v>
      </c>
      <c r="BH45" s="132">
        <f t="shared" si="191"/>
        <v>107606.95620932052</v>
      </c>
      <c r="BI45" s="132">
        <f t="shared" si="192"/>
        <v>83196.477174797925</v>
      </c>
      <c r="BJ45" s="132">
        <f t="shared" si="193"/>
        <v>76284.669312947357</v>
      </c>
      <c r="BK45" s="132">
        <f t="shared" si="194"/>
        <v>53975.564597705663</v>
      </c>
      <c r="BL45" s="132">
        <f t="shared" si="195"/>
        <v>96722.359916317568</v>
      </c>
      <c r="BM45" s="132">
        <f t="shared" si="196"/>
        <v>61670.096769920092</v>
      </c>
      <c r="BN45" s="132">
        <f t="shared" si="197"/>
        <v>53230.82531217426</v>
      </c>
      <c r="BO45" s="132">
        <f t="shared" si="198"/>
        <v>39690.261555974692</v>
      </c>
      <c r="BP45" s="132">
        <f t="shared" si="199"/>
        <v>35780.069107862677</v>
      </c>
      <c r="BQ45" s="133">
        <f t="shared" si="37"/>
        <v>725292.77834745287</v>
      </c>
      <c r="BR45" s="130">
        <f t="shared" si="200"/>
        <v>655163.92187525448</v>
      </c>
      <c r="BS45" s="130">
        <f t="shared" si="38"/>
        <v>1380456.7002227074</v>
      </c>
      <c r="BT45" s="130">
        <f t="shared" si="201"/>
        <v>1933236.7002227074</v>
      </c>
      <c r="BU45" s="134">
        <f t="shared" si="211"/>
        <v>8671000</v>
      </c>
      <c r="BV45" s="135">
        <v>39</v>
      </c>
      <c r="BW45" s="135" t="s">
        <v>667</v>
      </c>
    </row>
    <row r="46" spans="1:76" s="135" customFormat="1" ht="13.5" customHeight="1" x14ac:dyDescent="0.2">
      <c r="A46" s="128">
        <v>39</v>
      </c>
      <c r="B46" s="128">
        <v>58</v>
      </c>
      <c r="C46" s="129" t="s">
        <v>46</v>
      </c>
      <c r="D46" s="130">
        <v>100000</v>
      </c>
      <c r="E46" s="130">
        <f t="shared" ref="E46:G46" si="231">+F46-25000</f>
        <v>2078000</v>
      </c>
      <c r="F46" s="130">
        <f t="shared" si="231"/>
        <v>2103000</v>
      </c>
      <c r="G46" s="130">
        <f t="shared" si="231"/>
        <v>2128000</v>
      </c>
      <c r="H46" s="130">
        <f t="shared" ref="H46:O46" si="232">+I46-50000</f>
        <v>2153000</v>
      </c>
      <c r="I46" s="130">
        <f t="shared" si="232"/>
        <v>2203000</v>
      </c>
      <c r="J46" s="130">
        <f t="shared" si="232"/>
        <v>2253000</v>
      </c>
      <c r="K46" s="130">
        <f t="shared" si="232"/>
        <v>2303000</v>
      </c>
      <c r="L46" s="130">
        <f t="shared" si="232"/>
        <v>2353000</v>
      </c>
      <c r="M46" s="130">
        <f t="shared" si="232"/>
        <v>2403000</v>
      </c>
      <c r="N46" s="130">
        <f t="shared" si="232"/>
        <v>2453000</v>
      </c>
      <c r="O46" s="130">
        <f t="shared" si="232"/>
        <v>2503000</v>
      </c>
      <c r="P46" s="130">
        <v>2553000</v>
      </c>
      <c r="Q46" s="130">
        <v>1200000</v>
      </c>
      <c r="R46" s="130">
        <f>+Q46+200000</f>
        <v>1400000</v>
      </c>
      <c r="S46" s="130">
        <f t="shared" ref="S46:S47" si="233">+R46+200000</f>
        <v>1600000</v>
      </c>
      <c r="T46" s="130">
        <f t="shared" ref="T46:T47" si="234">+S46+200000</f>
        <v>1800000</v>
      </c>
      <c r="U46" s="130">
        <f t="shared" ref="U46:U47" si="235">+T46+200000</f>
        <v>2000000</v>
      </c>
      <c r="V46" s="130">
        <v>0</v>
      </c>
      <c r="W46" s="130">
        <f>+V46+200000</f>
        <v>200000</v>
      </c>
      <c r="X46" s="130">
        <f t="shared" si="226"/>
        <v>400000</v>
      </c>
      <c r="Y46" s="130">
        <f t="shared" si="227"/>
        <v>600000</v>
      </c>
      <c r="Z46" s="130">
        <f t="shared" si="228"/>
        <v>800000</v>
      </c>
      <c r="AA46" s="130">
        <f t="shared" si="229"/>
        <v>1000000</v>
      </c>
      <c r="AB46" s="130">
        <v>1200000</v>
      </c>
      <c r="AC46" s="130">
        <v>10000</v>
      </c>
      <c r="AD46" s="130">
        <f>+AC46+100000</f>
        <v>110000</v>
      </c>
      <c r="AE46" s="130">
        <v>10000</v>
      </c>
      <c r="AF46" s="130">
        <f t="shared" ref="AF46:AL46" si="236">+AE46+100000</f>
        <v>110000</v>
      </c>
      <c r="AG46" s="130">
        <v>10000</v>
      </c>
      <c r="AH46" s="130">
        <f t="shared" si="236"/>
        <v>110000</v>
      </c>
      <c r="AI46" s="130">
        <f t="shared" si="236"/>
        <v>210000</v>
      </c>
      <c r="AJ46" s="130">
        <f t="shared" si="236"/>
        <v>310000</v>
      </c>
      <c r="AK46" s="130">
        <f>+AJ46+100000-300000</f>
        <v>110000</v>
      </c>
      <c r="AL46" s="130">
        <f t="shared" si="236"/>
        <v>210000</v>
      </c>
      <c r="AM46" s="130">
        <v>10000</v>
      </c>
      <c r="AN46" s="130">
        <v>110000</v>
      </c>
      <c r="AO46" s="130">
        <f t="shared" si="23"/>
        <v>3963000</v>
      </c>
      <c r="AP46" s="131">
        <f t="shared" si="24"/>
        <v>6050</v>
      </c>
      <c r="AQ46" s="131">
        <f t="shared" si="25"/>
        <v>7550</v>
      </c>
      <c r="AR46" s="131">
        <f t="shared" si="26"/>
        <v>8050</v>
      </c>
      <c r="AS46" s="131">
        <f t="shared" si="27"/>
        <v>9550</v>
      </c>
      <c r="AT46" s="131">
        <f t="shared" si="28"/>
        <v>10050</v>
      </c>
      <c r="AU46" s="131">
        <f t="shared" si="29"/>
        <v>550</v>
      </c>
      <c r="AV46" s="131">
        <f t="shared" si="30"/>
        <v>2050</v>
      </c>
      <c r="AW46" s="131">
        <f t="shared" si="31"/>
        <v>3550</v>
      </c>
      <c r="AX46" s="131">
        <f t="shared" si="32"/>
        <v>3550</v>
      </c>
      <c r="AY46" s="131">
        <f t="shared" si="33"/>
        <v>5050</v>
      </c>
      <c r="AZ46" s="131">
        <f t="shared" si="34"/>
        <v>5050</v>
      </c>
      <c r="BA46" s="131">
        <f t="shared" si="35"/>
        <v>6550</v>
      </c>
      <c r="BB46" s="131">
        <v>2700000</v>
      </c>
      <c r="BC46" s="130">
        <v>7500000</v>
      </c>
      <c r="BD46" s="131">
        <f t="shared" si="82"/>
        <v>67600</v>
      </c>
      <c r="BE46" s="132">
        <f t="shared" si="188"/>
        <v>6004.8425257776998</v>
      </c>
      <c r="BF46" s="132">
        <f t="shared" si="189"/>
        <v>5976.5262945098975</v>
      </c>
      <c r="BG46" s="132">
        <f t="shared" si="190"/>
        <v>19288.95090969645</v>
      </c>
      <c r="BH46" s="132">
        <f t="shared" si="191"/>
        <v>33328.454631307293</v>
      </c>
      <c r="BI46" s="132">
        <f t="shared" si="192"/>
        <v>26285.723101230931</v>
      </c>
      <c r="BJ46" s="132">
        <f t="shared" si="193"/>
        <v>15386.875810153906</v>
      </c>
      <c r="BK46" s="132">
        <f t="shared" si="194"/>
        <v>12174.90684093866</v>
      </c>
      <c r="BL46" s="132">
        <f t="shared" si="195"/>
        <v>24030.54154546481</v>
      </c>
      <c r="BM46" s="132">
        <f t="shared" si="196"/>
        <v>24796.148282036447</v>
      </c>
      <c r="BN46" s="132">
        <f t="shared" si="197"/>
        <v>22986.478073842794</v>
      </c>
      <c r="BO46" s="132">
        <f t="shared" si="198"/>
        <v>16848.891434818066</v>
      </c>
      <c r="BP46" s="132">
        <f t="shared" si="199"/>
        <v>16166.504831200522</v>
      </c>
      <c r="BQ46" s="133">
        <f t="shared" si="37"/>
        <v>223274.84428097747</v>
      </c>
      <c r="BR46" s="130">
        <f t="shared" si="200"/>
        <v>589647.52968772908</v>
      </c>
      <c r="BS46" s="130">
        <f t="shared" si="38"/>
        <v>812922.37396870658</v>
      </c>
      <c r="BT46" s="130">
        <f t="shared" si="201"/>
        <v>880522.37396870658</v>
      </c>
      <c r="BU46" s="134">
        <f t="shared" si="211"/>
        <v>3863000</v>
      </c>
      <c r="BV46" s="135">
        <v>40</v>
      </c>
      <c r="BW46" s="135" t="s">
        <v>667</v>
      </c>
    </row>
    <row r="47" spans="1:76" s="135" customFormat="1" ht="13.5" customHeight="1" x14ac:dyDescent="0.2">
      <c r="A47" s="128">
        <v>40</v>
      </c>
      <c r="B47" s="128">
        <v>59</v>
      </c>
      <c r="C47" s="129" t="s">
        <v>47</v>
      </c>
      <c r="D47" s="130">
        <v>100000</v>
      </c>
      <c r="E47" s="130">
        <f t="shared" ref="E47:G47" si="237">+F47-25000</f>
        <v>2078000</v>
      </c>
      <c r="F47" s="130">
        <f t="shared" si="237"/>
        <v>2103000</v>
      </c>
      <c r="G47" s="130">
        <f t="shared" si="237"/>
        <v>2128000</v>
      </c>
      <c r="H47" s="130">
        <f t="shared" ref="H47:O47" si="238">+I47-50000</f>
        <v>2153000</v>
      </c>
      <c r="I47" s="130">
        <f t="shared" si="238"/>
        <v>2203000</v>
      </c>
      <c r="J47" s="130">
        <f t="shared" si="238"/>
        <v>2253000</v>
      </c>
      <c r="K47" s="130">
        <f t="shared" si="238"/>
        <v>2303000</v>
      </c>
      <c r="L47" s="130">
        <f t="shared" si="238"/>
        <v>2353000</v>
      </c>
      <c r="M47" s="130">
        <f t="shared" si="238"/>
        <v>2403000</v>
      </c>
      <c r="N47" s="130">
        <f t="shared" si="238"/>
        <v>2453000</v>
      </c>
      <c r="O47" s="130">
        <f t="shared" si="238"/>
        <v>2503000</v>
      </c>
      <c r="P47" s="130">
        <v>2553000</v>
      </c>
      <c r="Q47" s="130">
        <v>1200000</v>
      </c>
      <c r="R47" s="130">
        <f>+Q47+200000</f>
        <v>1400000</v>
      </c>
      <c r="S47" s="130">
        <f t="shared" si="233"/>
        <v>1600000</v>
      </c>
      <c r="T47" s="130">
        <f t="shared" si="234"/>
        <v>1800000</v>
      </c>
      <c r="U47" s="130">
        <f t="shared" si="235"/>
        <v>2000000</v>
      </c>
      <c r="V47" s="130">
        <v>0</v>
      </c>
      <c r="W47" s="130">
        <f t="shared" ref="W47:AA48" si="239">+V47+300000</f>
        <v>300000</v>
      </c>
      <c r="X47" s="130">
        <f t="shared" si="239"/>
        <v>600000</v>
      </c>
      <c r="Y47" s="130">
        <f t="shared" si="239"/>
        <v>900000</v>
      </c>
      <c r="Z47" s="130">
        <f t="shared" si="239"/>
        <v>1200000</v>
      </c>
      <c r="AA47" s="130">
        <f t="shared" si="239"/>
        <v>1500000</v>
      </c>
      <c r="AB47" s="130">
        <v>1800000</v>
      </c>
      <c r="AC47" s="130">
        <v>1166000</v>
      </c>
      <c r="AD47" s="130">
        <f>+AC47+500000</f>
        <v>1666000</v>
      </c>
      <c r="AE47" s="130">
        <f>+AD47+500000-500000</f>
        <v>1666000</v>
      </c>
      <c r="AF47" s="130">
        <f>+AE47+500000-500000</f>
        <v>1666000</v>
      </c>
      <c r="AG47" s="130">
        <v>166000</v>
      </c>
      <c r="AH47" s="130">
        <f t="shared" ref="AH47:AM47" si="240">+AG47+500000</f>
        <v>666000</v>
      </c>
      <c r="AI47" s="130">
        <f t="shared" si="240"/>
        <v>1166000</v>
      </c>
      <c r="AJ47" s="130">
        <f t="shared" si="240"/>
        <v>1666000</v>
      </c>
      <c r="AK47" s="130">
        <f>+AJ47+500000-1000000</f>
        <v>1166000</v>
      </c>
      <c r="AL47" s="130">
        <f>+AK47+500000-500000</f>
        <v>1166000</v>
      </c>
      <c r="AM47" s="130">
        <f t="shared" si="240"/>
        <v>1666000</v>
      </c>
      <c r="AN47" s="130">
        <v>1166000</v>
      </c>
      <c r="AO47" s="130">
        <f t="shared" si="23"/>
        <v>5619000</v>
      </c>
      <c r="AP47" s="131">
        <f t="shared" si="24"/>
        <v>11830</v>
      </c>
      <c r="AQ47" s="131">
        <f t="shared" si="25"/>
        <v>15330</v>
      </c>
      <c r="AR47" s="131">
        <f t="shared" si="26"/>
        <v>16330</v>
      </c>
      <c r="AS47" s="131">
        <f t="shared" si="27"/>
        <v>17330</v>
      </c>
      <c r="AT47" s="131">
        <f t="shared" si="28"/>
        <v>10830</v>
      </c>
      <c r="AU47" s="131">
        <f t="shared" si="29"/>
        <v>3330</v>
      </c>
      <c r="AV47" s="131">
        <f t="shared" si="30"/>
        <v>7330</v>
      </c>
      <c r="AW47" s="131">
        <f t="shared" si="31"/>
        <v>11330</v>
      </c>
      <c r="AX47" s="131">
        <f t="shared" si="32"/>
        <v>10330</v>
      </c>
      <c r="AY47" s="131">
        <f t="shared" si="33"/>
        <v>11830</v>
      </c>
      <c r="AZ47" s="131">
        <f t="shared" si="34"/>
        <v>15830</v>
      </c>
      <c r="BA47" s="131">
        <f t="shared" si="35"/>
        <v>14830</v>
      </c>
      <c r="BB47" s="131">
        <v>0</v>
      </c>
      <c r="BC47" s="130">
        <v>0</v>
      </c>
      <c r="BD47" s="131">
        <f t="shared" si="82"/>
        <v>146460</v>
      </c>
      <c r="BE47" s="132">
        <f t="shared" si="188"/>
        <v>8053.7203179261714</v>
      </c>
      <c r="BF47" s="132">
        <f t="shared" si="189"/>
        <v>8481.0980462624957</v>
      </c>
      <c r="BG47" s="132">
        <f t="shared" si="190"/>
        <v>27611.645726386738</v>
      </c>
      <c r="BH47" s="132">
        <f t="shared" si="191"/>
        <v>45785.595012358011</v>
      </c>
      <c r="BI47" s="132">
        <f t="shared" si="192"/>
        <v>27236.470331416887</v>
      </c>
      <c r="BJ47" s="132">
        <f t="shared" si="193"/>
        <v>18860.324023895511</v>
      </c>
      <c r="BK47" s="132">
        <f t="shared" si="194"/>
        <v>16745.366003409767</v>
      </c>
      <c r="BL47" s="132">
        <f t="shared" si="195"/>
        <v>35852.078897580919</v>
      </c>
      <c r="BM47" s="132">
        <f t="shared" si="196"/>
        <v>35261.002645697023</v>
      </c>
      <c r="BN47" s="132">
        <f t="shared" si="197"/>
        <v>31734.629706773139</v>
      </c>
      <c r="BO47" s="132">
        <f t="shared" si="198"/>
        <v>26903.198086760429</v>
      </c>
      <c r="BP47" s="132">
        <f t="shared" si="199"/>
        <v>22921.925472247221</v>
      </c>
      <c r="BQ47" s="133">
        <f t="shared" si="37"/>
        <v>305447.05427071429</v>
      </c>
      <c r="BR47" s="130">
        <f t="shared" si="200"/>
        <v>0</v>
      </c>
      <c r="BS47" s="130">
        <f t="shared" si="38"/>
        <v>305447.05427071429</v>
      </c>
      <c r="BT47" s="130">
        <f t="shared" si="201"/>
        <v>451907.05427071429</v>
      </c>
      <c r="BU47" s="134">
        <f t="shared" si="211"/>
        <v>5519000</v>
      </c>
      <c r="BV47" s="135">
        <v>41</v>
      </c>
      <c r="BW47" s="135" t="s">
        <v>667</v>
      </c>
    </row>
    <row r="48" spans="1:76" s="135" customFormat="1" ht="13.5" customHeight="1" x14ac:dyDescent="0.2">
      <c r="A48" s="128">
        <v>41</v>
      </c>
      <c r="B48" s="128">
        <v>60</v>
      </c>
      <c r="C48" s="129" t="s">
        <v>48</v>
      </c>
      <c r="D48" s="130">
        <v>100000</v>
      </c>
      <c r="E48" s="130">
        <f t="shared" ref="E48:G48" si="241">+F48-25000</f>
        <v>2078000</v>
      </c>
      <c r="F48" s="130">
        <f t="shared" si="241"/>
        <v>2103000</v>
      </c>
      <c r="G48" s="130">
        <f t="shared" si="241"/>
        <v>2128000</v>
      </c>
      <c r="H48" s="130">
        <f t="shared" ref="H48:O48" si="242">+I48-50000</f>
        <v>2153000</v>
      </c>
      <c r="I48" s="130">
        <f t="shared" si="242"/>
        <v>2203000</v>
      </c>
      <c r="J48" s="130">
        <f t="shared" si="242"/>
        <v>2253000</v>
      </c>
      <c r="K48" s="130">
        <f t="shared" si="242"/>
        <v>2303000</v>
      </c>
      <c r="L48" s="130">
        <f t="shared" si="242"/>
        <v>2353000</v>
      </c>
      <c r="M48" s="130">
        <f t="shared" si="242"/>
        <v>2403000</v>
      </c>
      <c r="N48" s="130">
        <f t="shared" si="242"/>
        <v>2453000</v>
      </c>
      <c r="O48" s="130">
        <f t="shared" si="242"/>
        <v>2503000</v>
      </c>
      <c r="P48" s="130">
        <v>2553000</v>
      </c>
      <c r="Q48" s="130">
        <v>2100000</v>
      </c>
      <c r="R48" s="130">
        <f>+Q48+300000</f>
        <v>2400000</v>
      </c>
      <c r="S48" s="130">
        <f t="shared" ref="S48:U48" si="243">+R48+300000</f>
        <v>2700000</v>
      </c>
      <c r="T48" s="130">
        <f t="shared" si="243"/>
        <v>3000000</v>
      </c>
      <c r="U48" s="130">
        <f t="shared" si="243"/>
        <v>3300000</v>
      </c>
      <c r="V48" s="130">
        <v>0</v>
      </c>
      <c r="W48" s="130">
        <f t="shared" si="239"/>
        <v>300000</v>
      </c>
      <c r="X48" s="130">
        <f t="shared" si="239"/>
        <v>600000</v>
      </c>
      <c r="Y48" s="130">
        <f t="shared" si="239"/>
        <v>900000</v>
      </c>
      <c r="Z48" s="130">
        <f t="shared" si="239"/>
        <v>1200000</v>
      </c>
      <c r="AA48" s="130">
        <f t="shared" si="239"/>
        <v>1500000</v>
      </c>
      <c r="AB48" s="130">
        <v>1800000</v>
      </c>
      <c r="AC48" s="130">
        <v>160000</v>
      </c>
      <c r="AD48" s="130">
        <v>160000</v>
      </c>
      <c r="AE48" s="130">
        <f t="shared" ref="AE48:AL48" si="244">+AD48+100000</f>
        <v>260000</v>
      </c>
      <c r="AF48" s="130">
        <v>10000</v>
      </c>
      <c r="AG48" s="130">
        <v>10000</v>
      </c>
      <c r="AH48" s="130">
        <v>10000</v>
      </c>
      <c r="AI48" s="130">
        <f t="shared" si="244"/>
        <v>110000</v>
      </c>
      <c r="AJ48" s="130">
        <v>110000</v>
      </c>
      <c r="AK48" s="130">
        <v>10000</v>
      </c>
      <c r="AL48" s="130">
        <f t="shared" si="244"/>
        <v>110000</v>
      </c>
      <c r="AM48" s="130">
        <v>110000</v>
      </c>
      <c r="AN48" s="130">
        <v>10000</v>
      </c>
      <c r="AO48" s="130">
        <f t="shared" si="23"/>
        <v>4463000</v>
      </c>
      <c r="AP48" s="131">
        <f t="shared" si="24"/>
        <v>11300</v>
      </c>
      <c r="AQ48" s="131">
        <f t="shared" si="25"/>
        <v>12800</v>
      </c>
      <c r="AR48" s="131">
        <f t="shared" si="26"/>
        <v>14800</v>
      </c>
      <c r="AS48" s="131">
        <f t="shared" si="27"/>
        <v>15050</v>
      </c>
      <c r="AT48" s="131">
        <f t="shared" si="28"/>
        <v>16550</v>
      </c>
      <c r="AU48" s="131">
        <f t="shared" si="29"/>
        <v>50</v>
      </c>
      <c r="AV48" s="131">
        <f t="shared" si="30"/>
        <v>2050</v>
      </c>
      <c r="AW48" s="131">
        <f t="shared" si="31"/>
        <v>3550</v>
      </c>
      <c r="AX48" s="131">
        <f t="shared" si="32"/>
        <v>4550</v>
      </c>
      <c r="AY48" s="131">
        <f t="shared" si="33"/>
        <v>6550</v>
      </c>
      <c r="AZ48" s="131">
        <f t="shared" si="34"/>
        <v>8050</v>
      </c>
      <c r="BA48" s="131">
        <f t="shared" si="35"/>
        <v>9050</v>
      </c>
      <c r="BB48" s="131">
        <v>1800000</v>
      </c>
      <c r="BC48" s="130">
        <v>16000000</v>
      </c>
      <c r="BD48" s="131">
        <f t="shared" si="82"/>
        <v>104350</v>
      </c>
      <c r="BE48" s="132">
        <f t="shared" si="188"/>
        <v>7865.84744079145</v>
      </c>
      <c r="BF48" s="132">
        <f t="shared" si="189"/>
        <v>7666.6293403583732</v>
      </c>
      <c r="BG48" s="132">
        <f t="shared" si="190"/>
        <v>26073.756466780924</v>
      </c>
      <c r="BH48" s="132">
        <f t="shared" si="191"/>
        <v>42134.916340276315</v>
      </c>
      <c r="BI48" s="132">
        <f t="shared" si="192"/>
        <v>34208.616686113892</v>
      </c>
      <c r="BJ48" s="132">
        <f t="shared" si="193"/>
        <v>14762.154908401819</v>
      </c>
      <c r="BK48" s="132">
        <f t="shared" si="194"/>
        <v>12174.90684093866</v>
      </c>
      <c r="BL48" s="132">
        <f t="shared" si="195"/>
        <v>24030.54154546481</v>
      </c>
      <c r="BM48" s="132">
        <f t="shared" si="196"/>
        <v>26339.637126234171</v>
      </c>
      <c r="BN48" s="132">
        <f t="shared" si="197"/>
        <v>24921.909851039771</v>
      </c>
      <c r="BO48" s="132">
        <f t="shared" si="198"/>
        <v>19646.935957622063</v>
      </c>
      <c r="BP48" s="132">
        <f t="shared" si="199"/>
        <v>18206.184976444092</v>
      </c>
      <c r="BQ48" s="133">
        <f t="shared" si="37"/>
        <v>258032.03748046633</v>
      </c>
      <c r="BR48" s="130">
        <f t="shared" si="200"/>
        <v>393098.3531251527</v>
      </c>
      <c r="BS48" s="130">
        <f t="shared" si="38"/>
        <v>651130.39060561906</v>
      </c>
      <c r="BT48" s="130">
        <f t="shared" si="201"/>
        <v>755480.39060561906</v>
      </c>
      <c r="BU48" s="134">
        <f t="shared" si="211"/>
        <v>4363000</v>
      </c>
      <c r="BV48" s="135">
        <v>42</v>
      </c>
      <c r="BW48" s="135" t="s">
        <v>667</v>
      </c>
    </row>
    <row r="49" spans="1:76" s="135" customFormat="1" ht="13.5" customHeight="1" x14ac:dyDescent="0.2">
      <c r="A49" s="128">
        <v>42</v>
      </c>
      <c r="B49" s="128">
        <v>61</v>
      </c>
      <c r="C49" s="129" t="s">
        <v>49</v>
      </c>
      <c r="D49" s="130">
        <v>100000</v>
      </c>
      <c r="E49" s="130">
        <f t="shared" ref="E49:G49" si="245">+F49-25000</f>
        <v>2078000</v>
      </c>
      <c r="F49" s="130">
        <f t="shared" si="245"/>
        <v>2103000</v>
      </c>
      <c r="G49" s="130">
        <f t="shared" si="245"/>
        <v>2128000</v>
      </c>
      <c r="H49" s="130">
        <f t="shared" ref="H49:O49" si="246">+I49-50000</f>
        <v>2153000</v>
      </c>
      <c r="I49" s="130">
        <f t="shared" si="246"/>
        <v>2203000</v>
      </c>
      <c r="J49" s="130">
        <f t="shared" si="246"/>
        <v>2253000</v>
      </c>
      <c r="K49" s="130">
        <f t="shared" si="246"/>
        <v>2303000</v>
      </c>
      <c r="L49" s="130">
        <f t="shared" si="246"/>
        <v>2353000</v>
      </c>
      <c r="M49" s="130">
        <f t="shared" si="246"/>
        <v>2403000</v>
      </c>
      <c r="N49" s="130">
        <f t="shared" si="246"/>
        <v>2453000</v>
      </c>
      <c r="O49" s="130">
        <f t="shared" si="246"/>
        <v>2503000</v>
      </c>
      <c r="P49" s="130">
        <v>2553000</v>
      </c>
      <c r="Q49" s="130">
        <v>900000</v>
      </c>
      <c r="R49" s="130">
        <f>+Q49+150000</f>
        <v>1050000</v>
      </c>
      <c r="S49" s="130">
        <f t="shared" ref="S49:AA49" si="247">+R49+150000</f>
        <v>1200000</v>
      </c>
      <c r="T49" s="130">
        <f t="shared" si="247"/>
        <v>1350000</v>
      </c>
      <c r="U49" s="130">
        <f t="shared" si="247"/>
        <v>1500000</v>
      </c>
      <c r="V49" s="130">
        <v>0</v>
      </c>
      <c r="W49" s="130">
        <f t="shared" si="247"/>
        <v>150000</v>
      </c>
      <c r="X49" s="130">
        <f t="shared" si="247"/>
        <v>300000</v>
      </c>
      <c r="Y49" s="130">
        <f t="shared" si="247"/>
        <v>450000</v>
      </c>
      <c r="Z49" s="130">
        <f t="shared" si="247"/>
        <v>600000</v>
      </c>
      <c r="AA49" s="130">
        <f t="shared" si="247"/>
        <v>750000</v>
      </c>
      <c r="AB49" s="130">
        <v>900000</v>
      </c>
      <c r="AC49" s="130">
        <v>36000</v>
      </c>
      <c r="AD49" s="130">
        <f>+AC49+25000</f>
        <v>61000</v>
      </c>
      <c r="AE49" s="130">
        <f t="shared" ref="AE49:AM49" si="248">+AD49+25000</f>
        <v>86000</v>
      </c>
      <c r="AF49" s="130">
        <f t="shared" si="248"/>
        <v>111000</v>
      </c>
      <c r="AG49" s="130">
        <f t="shared" si="248"/>
        <v>136000</v>
      </c>
      <c r="AH49" s="130">
        <f t="shared" si="248"/>
        <v>161000</v>
      </c>
      <c r="AI49" s="130">
        <f t="shared" si="248"/>
        <v>186000</v>
      </c>
      <c r="AJ49" s="130">
        <f t="shared" si="248"/>
        <v>211000</v>
      </c>
      <c r="AK49" s="130">
        <v>36000</v>
      </c>
      <c r="AL49" s="130">
        <f t="shared" si="248"/>
        <v>61000</v>
      </c>
      <c r="AM49" s="130">
        <f t="shared" si="248"/>
        <v>86000</v>
      </c>
      <c r="AN49" s="130">
        <v>111000</v>
      </c>
      <c r="AO49" s="130">
        <f t="shared" si="23"/>
        <v>3664000</v>
      </c>
      <c r="AP49" s="131">
        <f t="shared" si="24"/>
        <v>4680</v>
      </c>
      <c r="AQ49" s="131">
        <f t="shared" si="25"/>
        <v>5555</v>
      </c>
      <c r="AR49" s="131">
        <f t="shared" si="26"/>
        <v>6430</v>
      </c>
      <c r="AS49" s="131">
        <f t="shared" si="27"/>
        <v>7305</v>
      </c>
      <c r="AT49" s="131">
        <f t="shared" si="28"/>
        <v>8180</v>
      </c>
      <c r="AU49" s="131">
        <f t="shared" si="29"/>
        <v>805</v>
      </c>
      <c r="AV49" s="131">
        <f t="shared" si="30"/>
        <v>1680</v>
      </c>
      <c r="AW49" s="131">
        <f t="shared" si="31"/>
        <v>2555</v>
      </c>
      <c r="AX49" s="131">
        <f t="shared" si="32"/>
        <v>2430</v>
      </c>
      <c r="AY49" s="131">
        <f t="shared" si="33"/>
        <v>3305</v>
      </c>
      <c r="AZ49" s="131">
        <f t="shared" si="34"/>
        <v>4180</v>
      </c>
      <c r="BA49" s="131">
        <f t="shared" si="35"/>
        <v>5055</v>
      </c>
      <c r="BB49" s="131">
        <v>2700000</v>
      </c>
      <c r="BC49" s="130">
        <v>4375000</v>
      </c>
      <c r="BD49" s="131">
        <f t="shared" si="82"/>
        <v>52160</v>
      </c>
      <c r="BE49" s="132">
        <f t="shared" si="188"/>
        <v>5519.2088622407782</v>
      </c>
      <c r="BF49" s="132">
        <f t="shared" si="189"/>
        <v>5334.2871370874764</v>
      </c>
      <c r="BG49" s="132">
        <f t="shared" si="190"/>
        <v>17660.597575996177</v>
      </c>
      <c r="BH49" s="132">
        <f t="shared" si="191"/>
        <v>29733.817079191758</v>
      </c>
      <c r="BI49" s="132">
        <f t="shared" si="192"/>
        <v>24006.36756219537</v>
      </c>
      <c r="BJ49" s="132">
        <f t="shared" si="193"/>
        <v>15705.483470047469</v>
      </c>
      <c r="BK49" s="132">
        <f t="shared" si="194"/>
        <v>11854.628452659434</v>
      </c>
      <c r="BL49" s="132">
        <f t="shared" si="195"/>
        <v>22518.661125753304</v>
      </c>
      <c r="BM49" s="132">
        <f t="shared" si="196"/>
        <v>23067.440776534997</v>
      </c>
      <c r="BN49" s="132">
        <f t="shared" si="197"/>
        <v>20734.925773036972</v>
      </c>
      <c r="BO49" s="132">
        <f t="shared" si="198"/>
        <v>16037.458523204908</v>
      </c>
      <c r="BP49" s="132">
        <f t="shared" si="199"/>
        <v>14946.776104344868</v>
      </c>
      <c r="BQ49" s="133">
        <f t="shared" si="37"/>
        <v>207119.65244229353</v>
      </c>
      <c r="BR49" s="130">
        <f t="shared" si="200"/>
        <v>589647.52968772908</v>
      </c>
      <c r="BS49" s="130">
        <f t="shared" si="38"/>
        <v>796767.18213002267</v>
      </c>
      <c r="BT49" s="130">
        <f t="shared" si="201"/>
        <v>848927.18213002267</v>
      </c>
      <c r="BU49" s="134">
        <f t="shared" si="211"/>
        <v>3564000</v>
      </c>
      <c r="BV49" s="135">
        <v>43</v>
      </c>
      <c r="BW49" s="135" t="s">
        <v>667</v>
      </c>
    </row>
    <row r="50" spans="1:76" s="135" customFormat="1" ht="13.5" customHeight="1" x14ac:dyDescent="0.2">
      <c r="A50" s="128">
        <v>43</v>
      </c>
      <c r="B50" s="128">
        <v>62</v>
      </c>
      <c r="C50" s="129" t="s">
        <v>50</v>
      </c>
      <c r="D50" s="130">
        <v>100000</v>
      </c>
      <c r="E50" s="130">
        <f t="shared" ref="E50:G50" si="249">+F50-25000</f>
        <v>2078000</v>
      </c>
      <c r="F50" s="130">
        <f t="shared" si="249"/>
        <v>2103000</v>
      </c>
      <c r="G50" s="130">
        <f t="shared" si="249"/>
        <v>2128000</v>
      </c>
      <c r="H50" s="130">
        <f t="shared" ref="H50:O50" si="250">+I50-50000</f>
        <v>2153000</v>
      </c>
      <c r="I50" s="130">
        <f t="shared" si="250"/>
        <v>2203000</v>
      </c>
      <c r="J50" s="130">
        <f t="shared" si="250"/>
        <v>2253000</v>
      </c>
      <c r="K50" s="130">
        <f t="shared" si="250"/>
        <v>2303000</v>
      </c>
      <c r="L50" s="130">
        <f t="shared" si="250"/>
        <v>2353000</v>
      </c>
      <c r="M50" s="130">
        <f t="shared" si="250"/>
        <v>2403000</v>
      </c>
      <c r="N50" s="130">
        <f t="shared" si="250"/>
        <v>2453000</v>
      </c>
      <c r="O50" s="130">
        <f t="shared" si="250"/>
        <v>2503000</v>
      </c>
      <c r="P50" s="130">
        <v>2553000</v>
      </c>
      <c r="Q50" s="130">
        <v>600000</v>
      </c>
      <c r="R50" s="130">
        <f>+Q50+100000</f>
        <v>700000</v>
      </c>
      <c r="S50" s="130">
        <f t="shared" ref="S50:AA50" si="251">+R50+100000</f>
        <v>800000</v>
      </c>
      <c r="T50" s="130">
        <f t="shared" si="251"/>
        <v>900000</v>
      </c>
      <c r="U50" s="130">
        <f t="shared" si="251"/>
        <v>1000000</v>
      </c>
      <c r="V50" s="130">
        <v>0</v>
      </c>
      <c r="W50" s="130">
        <f t="shared" si="251"/>
        <v>100000</v>
      </c>
      <c r="X50" s="130">
        <f t="shared" si="251"/>
        <v>200000</v>
      </c>
      <c r="Y50" s="130">
        <f t="shared" si="251"/>
        <v>300000</v>
      </c>
      <c r="Z50" s="130">
        <f t="shared" si="251"/>
        <v>400000</v>
      </c>
      <c r="AA50" s="130">
        <f t="shared" si="251"/>
        <v>500000</v>
      </c>
      <c r="AB50" s="130">
        <v>600000</v>
      </c>
      <c r="AC50" s="130">
        <v>4301000</v>
      </c>
      <c r="AD50" s="130">
        <f>+AC50+30000-600000</f>
        <v>3731000</v>
      </c>
      <c r="AE50" s="130">
        <f t="shared" ref="AE50:AM50" si="252">+AD50+30000</f>
        <v>3761000</v>
      </c>
      <c r="AF50" s="130">
        <f>+AE50+30000-3500000</f>
        <v>291000</v>
      </c>
      <c r="AG50" s="130">
        <f t="shared" si="252"/>
        <v>321000</v>
      </c>
      <c r="AH50" s="130">
        <f t="shared" si="252"/>
        <v>351000</v>
      </c>
      <c r="AI50" s="130">
        <f>+AH50+30000-250000</f>
        <v>131000</v>
      </c>
      <c r="AJ50" s="130">
        <f t="shared" si="252"/>
        <v>161000</v>
      </c>
      <c r="AK50" s="130">
        <f t="shared" si="252"/>
        <v>191000</v>
      </c>
      <c r="AL50" s="130">
        <v>21000</v>
      </c>
      <c r="AM50" s="130">
        <f t="shared" si="252"/>
        <v>51000</v>
      </c>
      <c r="AN50" s="130">
        <v>81000</v>
      </c>
      <c r="AO50" s="130">
        <f t="shared" si="23"/>
        <v>3334000</v>
      </c>
      <c r="AP50" s="131">
        <f t="shared" si="24"/>
        <v>24505</v>
      </c>
      <c r="AQ50" s="131">
        <f t="shared" si="25"/>
        <v>22155</v>
      </c>
      <c r="AR50" s="131">
        <f t="shared" si="26"/>
        <v>22805</v>
      </c>
      <c r="AS50" s="131">
        <f t="shared" si="27"/>
        <v>5955</v>
      </c>
      <c r="AT50" s="131">
        <f t="shared" si="28"/>
        <v>6605</v>
      </c>
      <c r="AU50" s="131">
        <f t="shared" si="29"/>
        <v>1755</v>
      </c>
      <c r="AV50" s="131">
        <f t="shared" si="30"/>
        <v>1155</v>
      </c>
      <c r="AW50" s="131">
        <f t="shared" si="31"/>
        <v>1805</v>
      </c>
      <c r="AX50" s="131">
        <f t="shared" si="32"/>
        <v>2455</v>
      </c>
      <c r="AY50" s="131">
        <f t="shared" si="33"/>
        <v>2105</v>
      </c>
      <c r="AZ50" s="131">
        <f t="shared" si="34"/>
        <v>2755</v>
      </c>
      <c r="BA50" s="131">
        <f t="shared" si="35"/>
        <v>3405</v>
      </c>
      <c r="BB50" s="131">
        <v>1365000</v>
      </c>
      <c r="BC50" s="130">
        <v>5662000</v>
      </c>
      <c r="BD50" s="131">
        <f t="shared" si="82"/>
        <v>97460</v>
      </c>
      <c r="BE50" s="132">
        <f t="shared" si="188"/>
        <v>12546.717898459367</v>
      </c>
      <c r="BF50" s="132">
        <f t="shared" si="189"/>
        <v>10678.232005865515</v>
      </c>
      <c r="BG50" s="132">
        <f t="shared" si="190"/>
        <v>34120.033279293697</v>
      </c>
      <c r="BH50" s="132">
        <f t="shared" si="191"/>
        <v>27572.23102335391</v>
      </c>
      <c r="BI50" s="132">
        <f t="shared" si="192"/>
        <v>22086.589501242961</v>
      </c>
      <c r="BJ50" s="132">
        <f t="shared" si="193"/>
        <v>16892.453183376434</v>
      </c>
      <c r="BK50" s="132">
        <f t="shared" si="194"/>
        <v>11400.179388209182</v>
      </c>
      <c r="BL50" s="132">
        <f t="shared" si="195"/>
        <v>21379.052769186841</v>
      </c>
      <c r="BM50" s="132">
        <f t="shared" si="196"/>
        <v>23106.02799763994</v>
      </c>
      <c r="BN50" s="132">
        <f t="shared" si="197"/>
        <v>19186.58035127939</v>
      </c>
      <c r="BO50" s="132">
        <f t="shared" si="198"/>
        <v>14708.387374873009</v>
      </c>
      <c r="BP50" s="132">
        <f t="shared" si="199"/>
        <v>13600.587208484114</v>
      </c>
      <c r="BQ50" s="133">
        <f t="shared" si="37"/>
        <v>227277.07198126437</v>
      </c>
      <c r="BR50" s="130">
        <f t="shared" si="200"/>
        <v>298099.58445324079</v>
      </c>
      <c r="BS50" s="130">
        <f t="shared" si="38"/>
        <v>525376.65643450513</v>
      </c>
      <c r="BT50" s="130">
        <f t="shared" si="201"/>
        <v>622836.65643450513</v>
      </c>
      <c r="BU50" s="134">
        <f t="shared" si="211"/>
        <v>3234000</v>
      </c>
      <c r="BV50" s="135">
        <v>44</v>
      </c>
      <c r="BW50" s="135" t="s">
        <v>667</v>
      </c>
    </row>
    <row r="51" spans="1:76" s="110" customFormat="1" ht="13.5" customHeight="1" x14ac:dyDescent="0.2">
      <c r="A51" s="24">
        <v>44</v>
      </c>
      <c r="B51" s="24">
        <v>63</v>
      </c>
      <c r="C51" s="25" t="s">
        <v>51</v>
      </c>
      <c r="D51" s="26">
        <v>100000</v>
      </c>
      <c r="E51" s="26">
        <f t="shared" ref="E51:G51" si="253">+F51-25000</f>
        <v>2078000</v>
      </c>
      <c r="F51" s="26">
        <f t="shared" si="253"/>
        <v>2103000</v>
      </c>
      <c r="G51" s="26">
        <f t="shared" si="253"/>
        <v>2128000</v>
      </c>
      <c r="H51" s="26">
        <f t="shared" ref="H51:O51" si="254">+I51-50000</f>
        <v>2153000</v>
      </c>
      <c r="I51" s="26">
        <f t="shared" si="254"/>
        <v>2203000</v>
      </c>
      <c r="J51" s="26">
        <f t="shared" si="254"/>
        <v>2253000</v>
      </c>
      <c r="K51" s="26">
        <f t="shared" si="254"/>
        <v>2303000</v>
      </c>
      <c r="L51" s="26">
        <f t="shared" si="254"/>
        <v>2353000</v>
      </c>
      <c r="M51" s="26">
        <f t="shared" si="254"/>
        <v>2403000</v>
      </c>
      <c r="N51" s="26">
        <f t="shared" si="254"/>
        <v>2453000</v>
      </c>
      <c r="O51" s="26">
        <f t="shared" si="254"/>
        <v>2503000</v>
      </c>
      <c r="P51" s="26">
        <v>2553000</v>
      </c>
      <c r="Q51" s="26">
        <v>900000</v>
      </c>
      <c r="R51" s="26">
        <f>+Q51+150000</f>
        <v>1050000</v>
      </c>
      <c r="S51" s="26">
        <f t="shared" ref="S51:U51" si="255">+R51+150000</f>
        <v>1200000</v>
      </c>
      <c r="T51" s="26">
        <f t="shared" si="255"/>
        <v>1350000</v>
      </c>
      <c r="U51" s="26">
        <f t="shared" si="255"/>
        <v>1500000</v>
      </c>
      <c r="V51" s="26">
        <v>0</v>
      </c>
      <c r="W51" s="26">
        <f>+V51+150000</f>
        <v>150000</v>
      </c>
      <c r="X51" s="26">
        <f t="shared" ref="X51:AA51" si="256">+W51+150000</f>
        <v>300000</v>
      </c>
      <c r="Y51" s="26">
        <f t="shared" si="256"/>
        <v>450000</v>
      </c>
      <c r="Z51" s="26">
        <f t="shared" si="256"/>
        <v>600000</v>
      </c>
      <c r="AA51" s="26">
        <f t="shared" si="256"/>
        <v>750000</v>
      </c>
      <c r="AB51" s="26">
        <v>900000</v>
      </c>
      <c r="AC51" s="26">
        <v>84000</v>
      </c>
      <c r="AD51" s="26">
        <f>+AC51+25000</f>
        <v>109000</v>
      </c>
      <c r="AE51" s="26">
        <v>34000</v>
      </c>
      <c r="AF51" s="26">
        <f t="shared" ref="AF51:AM51" si="257">+AE51+25000</f>
        <v>59000</v>
      </c>
      <c r="AG51" s="26">
        <f t="shared" si="257"/>
        <v>84000</v>
      </c>
      <c r="AH51" s="26">
        <f t="shared" si="257"/>
        <v>109000</v>
      </c>
      <c r="AI51" s="26">
        <f t="shared" si="257"/>
        <v>134000</v>
      </c>
      <c r="AJ51" s="26">
        <f t="shared" si="257"/>
        <v>159000</v>
      </c>
      <c r="AK51" s="26">
        <f t="shared" si="257"/>
        <v>184000</v>
      </c>
      <c r="AL51" s="26">
        <f>+AK51+25000</f>
        <v>209000</v>
      </c>
      <c r="AM51" s="26">
        <f t="shared" si="257"/>
        <v>234000</v>
      </c>
      <c r="AN51" s="26">
        <v>9000</v>
      </c>
      <c r="AO51" s="26">
        <f t="shared" si="23"/>
        <v>3562000</v>
      </c>
      <c r="AP51" s="27">
        <f t="shared" si="24"/>
        <v>4920</v>
      </c>
      <c r="AQ51" s="27">
        <f t="shared" si="25"/>
        <v>5795</v>
      </c>
      <c r="AR51" s="27">
        <f t="shared" si="26"/>
        <v>6170</v>
      </c>
      <c r="AS51" s="27">
        <f t="shared" si="27"/>
        <v>7045</v>
      </c>
      <c r="AT51" s="27">
        <f t="shared" si="28"/>
        <v>7920</v>
      </c>
      <c r="AU51" s="27">
        <f t="shared" si="29"/>
        <v>545</v>
      </c>
      <c r="AV51" s="27">
        <f t="shared" si="30"/>
        <v>1420</v>
      </c>
      <c r="AW51" s="27">
        <f t="shared" si="31"/>
        <v>2295</v>
      </c>
      <c r="AX51" s="27">
        <f t="shared" si="32"/>
        <v>3170</v>
      </c>
      <c r="AY51" s="27">
        <f t="shared" si="33"/>
        <v>4045</v>
      </c>
      <c r="AZ51" s="27">
        <f t="shared" si="34"/>
        <v>4920</v>
      </c>
      <c r="BA51" s="27">
        <f t="shared" si="35"/>
        <v>4545</v>
      </c>
      <c r="BB51" s="27">
        <v>2880000</v>
      </c>
      <c r="BC51" s="26">
        <v>14996000</v>
      </c>
      <c r="BD51" s="27">
        <f t="shared" ref="BD51:BD82" si="258">SUM(AP51:BA51)</f>
        <v>52790</v>
      </c>
      <c r="BE51" s="28">
        <f t="shared" si="188"/>
        <v>5604.2833726414065</v>
      </c>
      <c r="BF51" s="28">
        <f t="shared" si="189"/>
        <v>5411.5489906119783</v>
      </c>
      <c r="BG51" s="28">
        <f t="shared" si="190"/>
        <v>17399.256917501072</v>
      </c>
      <c r="BH51" s="28">
        <f t="shared" si="191"/>
        <v>29317.511616585951</v>
      </c>
      <c r="BI51" s="28">
        <f t="shared" si="192"/>
        <v>23689.451818800055</v>
      </c>
      <c r="BJ51" s="28">
        <f t="shared" si="193"/>
        <v>15380.628601136385</v>
      </c>
      <c r="BK51" s="28">
        <f t="shared" si="194"/>
        <v>11629.567963598358</v>
      </c>
      <c r="BL51" s="28">
        <f t="shared" si="195"/>
        <v>22123.596895476927</v>
      </c>
      <c r="BM51" s="28">
        <f t="shared" si="196"/>
        <v>24209.622521241312</v>
      </c>
      <c r="BN51" s="28">
        <f t="shared" si="197"/>
        <v>21689.738783120818</v>
      </c>
      <c r="BO51" s="28">
        <f t="shared" si="198"/>
        <v>16727.642838829895</v>
      </c>
      <c r="BP51" s="28">
        <f t="shared" si="199"/>
        <v>14530.681354715181</v>
      </c>
      <c r="BQ51" s="29">
        <f t="shared" si="37"/>
        <v>207713.53167425931</v>
      </c>
      <c r="BR51" s="26">
        <f t="shared" si="200"/>
        <v>628957.36500024435</v>
      </c>
      <c r="BS51" s="26">
        <f t="shared" si="38"/>
        <v>836670.89667450369</v>
      </c>
      <c r="BT51" s="26">
        <f t="shared" si="201"/>
        <v>889460.89667450369</v>
      </c>
      <c r="BU51" s="111">
        <f>AO51-100000</f>
        <v>3462000</v>
      </c>
      <c r="BV51" s="110">
        <v>45</v>
      </c>
      <c r="BW51" s="115" t="s">
        <v>667</v>
      </c>
      <c r="BX51" s="125"/>
    </row>
    <row r="52" spans="1:76" s="135" customFormat="1" ht="13.5" customHeight="1" x14ac:dyDescent="0.2">
      <c r="A52" s="128">
        <v>45</v>
      </c>
      <c r="B52" s="128">
        <v>64</v>
      </c>
      <c r="C52" s="129" t="s">
        <v>52</v>
      </c>
      <c r="D52" s="130">
        <v>100000</v>
      </c>
      <c r="E52" s="130">
        <f t="shared" ref="E52:G52" si="259">+F52-25000</f>
        <v>2078000</v>
      </c>
      <c r="F52" s="130">
        <f t="shared" si="259"/>
        <v>2103000</v>
      </c>
      <c r="G52" s="130">
        <f t="shared" si="259"/>
        <v>2128000</v>
      </c>
      <c r="H52" s="130">
        <f t="shared" ref="H52:O52" si="260">+I52-50000</f>
        <v>2153000</v>
      </c>
      <c r="I52" s="130">
        <f t="shared" si="260"/>
        <v>2203000</v>
      </c>
      <c r="J52" s="130">
        <f t="shared" si="260"/>
        <v>2253000</v>
      </c>
      <c r="K52" s="130">
        <f t="shared" si="260"/>
        <v>2303000</v>
      </c>
      <c r="L52" s="130">
        <f t="shared" si="260"/>
        <v>2353000</v>
      </c>
      <c r="M52" s="130">
        <f t="shared" si="260"/>
        <v>2403000</v>
      </c>
      <c r="N52" s="130">
        <f t="shared" si="260"/>
        <v>2453000</v>
      </c>
      <c r="O52" s="130">
        <f t="shared" si="260"/>
        <v>2503000</v>
      </c>
      <c r="P52" s="130">
        <v>2553000</v>
      </c>
      <c r="Q52" s="130">
        <v>1200000</v>
      </c>
      <c r="R52" s="130">
        <f>+Q52+200000</f>
        <v>1400000</v>
      </c>
      <c r="S52" s="130">
        <f t="shared" ref="S52" si="261">+R52+200000</f>
        <v>1600000</v>
      </c>
      <c r="T52" s="130">
        <f t="shared" ref="T52" si="262">+S52+200000</f>
        <v>1800000</v>
      </c>
      <c r="U52" s="130">
        <f t="shared" ref="U52" si="263">+T52+200000</f>
        <v>2000000</v>
      </c>
      <c r="V52" s="130">
        <v>0</v>
      </c>
      <c r="W52" s="130">
        <f>+V52+200000</f>
        <v>200000</v>
      </c>
      <c r="X52" s="130">
        <f t="shared" ref="X52" si="264">+W52+200000</f>
        <v>400000</v>
      </c>
      <c r="Y52" s="130">
        <f t="shared" ref="Y52" si="265">+X52+200000</f>
        <v>600000</v>
      </c>
      <c r="Z52" s="130">
        <f t="shared" ref="Z52" si="266">+Y52+200000</f>
        <v>800000</v>
      </c>
      <c r="AA52" s="130">
        <f t="shared" ref="AA52" si="267">+Z52+200000</f>
        <v>1000000</v>
      </c>
      <c r="AB52" s="130">
        <v>1200000</v>
      </c>
      <c r="AC52" s="130">
        <v>437000</v>
      </c>
      <c r="AD52" s="130">
        <f>+AC52+50000</f>
        <v>487000</v>
      </c>
      <c r="AE52" s="130">
        <f t="shared" ref="AE52:AM52" si="268">+AD52+50000</f>
        <v>537000</v>
      </c>
      <c r="AF52" s="130">
        <f>+AE52+50000-300000</f>
        <v>287000</v>
      </c>
      <c r="AG52" s="130">
        <f t="shared" si="268"/>
        <v>337000</v>
      </c>
      <c r="AH52" s="130">
        <f t="shared" si="268"/>
        <v>387000</v>
      </c>
      <c r="AI52" s="130">
        <f t="shared" si="268"/>
        <v>437000</v>
      </c>
      <c r="AJ52" s="130">
        <f t="shared" si="268"/>
        <v>487000</v>
      </c>
      <c r="AK52" s="130">
        <f t="shared" si="268"/>
        <v>537000</v>
      </c>
      <c r="AL52" s="130">
        <f t="shared" si="268"/>
        <v>587000</v>
      </c>
      <c r="AM52" s="130">
        <f t="shared" si="268"/>
        <v>637000</v>
      </c>
      <c r="AN52" s="130">
        <v>687000</v>
      </c>
      <c r="AO52" s="130">
        <f t="shared" si="23"/>
        <v>4540000</v>
      </c>
      <c r="AP52" s="131">
        <f t="shared" si="24"/>
        <v>8185</v>
      </c>
      <c r="AQ52" s="131">
        <f t="shared" si="25"/>
        <v>9435</v>
      </c>
      <c r="AR52" s="131">
        <f t="shared" si="26"/>
        <v>10685</v>
      </c>
      <c r="AS52" s="131">
        <f t="shared" si="27"/>
        <v>10435</v>
      </c>
      <c r="AT52" s="131">
        <f t="shared" si="28"/>
        <v>11685</v>
      </c>
      <c r="AU52" s="131">
        <f t="shared" si="29"/>
        <v>1935</v>
      </c>
      <c r="AV52" s="131">
        <f t="shared" si="30"/>
        <v>3185</v>
      </c>
      <c r="AW52" s="131">
        <f t="shared" si="31"/>
        <v>4435</v>
      </c>
      <c r="AX52" s="131">
        <f t="shared" si="32"/>
        <v>5685</v>
      </c>
      <c r="AY52" s="131">
        <f t="shared" si="33"/>
        <v>6935</v>
      </c>
      <c r="AZ52" s="131">
        <f t="shared" si="34"/>
        <v>8185</v>
      </c>
      <c r="BA52" s="131">
        <f t="shared" si="35"/>
        <v>9435</v>
      </c>
      <c r="BB52" s="131">
        <v>2700000</v>
      </c>
      <c r="BC52" s="130">
        <v>7500000</v>
      </c>
      <c r="BD52" s="131">
        <f t="shared" si="258"/>
        <v>90220</v>
      </c>
      <c r="BE52" s="132">
        <f t="shared" si="188"/>
        <v>6761.6511912166243</v>
      </c>
      <c r="BF52" s="132">
        <f t="shared" si="189"/>
        <v>6583.3537690669218</v>
      </c>
      <c r="BG52" s="132">
        <f t="shared" si="190"/>
        <v>21937.537967906464</v>
      </c>
      <c r="BH52" s="132">
        <f t="shared" si="191"/>
        <v>34745.494379023221</v>
      </c>
      <c r="BI52" s="132">
        <f t="shared" si="192"/>
        <v>28278.635564505337</v>
      </c>
      <c r="BJ52" s="132">
        <f t="shared" si="193"/>
        <v>17117.352708007187</v>
      </c>
      <c r="BK52" s="132">
        <f t="shared" si="194"/>
        <v>13157.382437416823</v>
      </c>
      <c r="BL52" s="132">
        <f t="shared" si="195"/>
        <v>25375.279406213234</v>
      </c>
      <c r="BM52" s="132">
        <f t="shared" si="196"/>
        <v>28091.49696439859</v>
      </c>
      <c r="BN52" s="132">
        <f t="shared" si="197"/>
        <v>25418.670673853663</v>
      </c>
      <c r="BO52" s="132">
        <f t="shared" si="198"/>
        <v>19772.847961148243</v>
      </c>
      <c r="BP52" s="132">
        <f t="shared" si="199"/>
        <v>18520.295718811602</v>
      </c>
      <c r="BQ52" s="133">
        <f t="shared" si="37"/>
        <v>245759.99874156792</v>
      </c>
      <c r="BR52" s="130">
        <f t="shared" si="200"/>
        <v>589647.52968772908</v>
      </c>
      <c r="BS52" s="130">
        <f t="shared" si="38"/>
        <v>835407.52842929703</v>
      </c>
      <c r="BT52" s="130">
        <f t="shared" si="201"/>
        <v>925627.52842929703</v>
      </c>
      <c r="BU52" s="134">
        <f>AO52-100000</f>
        <v>4440000</v>
      </c>
      <c r="BV52" s="135">
        <v>46</v>
      </c>
      <c r="BW52" s="135" t="s">
        <v>667</v>
      </c>
    </row>
    <row r="53" spans="1:76" s="110" customFormat="1" ht="13.5" customHeight="1" x14ac:dyDescent="0.2">
      <c r="A53" s="24">
        <v>46</v>
      </c>
      <c r="B53" s="24">
        <v>65</v>
      </c>
      <c r="C53" s="25" t="s">
        <v>53</v>
      </c>
      <c r="D53" s="26">
        <v>100000</v>
      </c>
      <c r="E53" s="26">
        <f t="shared" ref="E53:G53" si="269">+F53-25000</f>
        <v>2078000</v>
      </c>
      <c r="F53" s="26">
        <f t="shared" si="269"/>
        <v>2103000</v>
      </c>
      <c r="G53" s="26">
        <f t="shared" si="269"/>
        <v>2128000</v>
      </c>
      <c r="H53" s="26">
        <f t="shared" ref="H53:O53" si="270">+I53-50000</f>
        <v>2153000</v>
      </c>
      <c r="I53" s="26">
        <f t="shared" si="270"/>
        <v>2203000</v>
      </c>
      <c r="J53" s="26">
        <f t="shared" si="270"/>
        <v>2253000</v>
      </c>
      <c r="K53" s="26">
        <f t="shared" si="270"/>
        <v>2303000</v>
      </c>
      <c r="L53" s="26">
        <f t="shared" si="270"/>
        <v>2353000</v>
      </c>
      <c r="M53" s="26">
        <f t="shared" si="270"/>
        <v>2403000</v>
      </c>
      <c r="N53" s="26">
        <f t="shared" si="270"/>
        <v>2453000</v>
      </c>
      <c r="O53" s="26">
        <f t="shared" si="270"/>
        <v>2503000</v>
      </c>
      <c r="P53" s="26">
        <v>2553000</v>
      </c>
      <c r="Q53" s="26">
        <v>510000</v>
      </c>
      <c r="R53" s="26">
        <f>+Q53+85000</f>
        <v>595000</v>
      </c>
      <c r="S53" s="26">
        <f t="shared" ref="S53:AA53" si="271">+R53+85000</f>
        <v>680000</v>
      </c>
      <c r="T53" s="26">
        <f t="shared" si="271"/>
        <v>765000</v>
      </c>
      <c r="U53" s="26">
        <f t="shared" si="271"/>
        <v>850000</v>
      </c>
      <c r="V53" s="26">
        <v>0</v>
      </c>
      <c r="W53" s="26">
        <f t="shared" si="271"/>
        <v>85000</v>
      </c>
      <c r="X53" s="26">
        <f t="shared" si="271"/>
        <v>170000</v>
      </c>
      <c r="Y53" s="26">
        <f t="shared" si="271"/>
        <v>255000</v>
      </c>
      <c r="Z53" s="26">
        <f t="shared" si="271"/>
        <v>340000</v>
      </c>
      <c r="AA53" s="26">
        <f t="shared" si="271"/>
        <v>425000</v>
      </c>
      <c r="AB53" s="26">
        <v>510000</v>
      </c>
      <c r="AC53" s="26">
        <v>17528000</v>
      </c>
      <c r="AD53" s="26">
        <f>+AC53+50000</f>
        <v>17578000</v>
      </c>
      <c r="AE53" s="26">
        <f t="shared" ref="AE53:AM53" si="272">+AD53+50000</f>
        <v>17628000</v>
      </c>
      <c r="AF53" s="26">
        <f>+AE53+50000+10000000</f>
        <v>27678000</v>
      </c>
      <c r="AG53" s="26">
        <f t="shared" si="272"/>
        <v>27728000</v>
      </c>
      <c r="AH53" s="26">
        <f t="shared" si="272"/>
        <v>27778000</v>
      </c>
      <c r="AI53" s="26">
        <f t="shared" si="272"/>
        <v>27828000</v>
      </c>
      <c r="AJ53" s="26">
        <f t="shared" si="272"/>
        <v>27878000</v>
      </c>
      <c r="AK53" s="26">
        <f t="shared" si="272"/>
        <v>27928000</v>
      </c>
      <c r="AL53" s="26">
        <f t="shared" si="272"/>
        <v>27978000</v>
      </c>
      <c r="AM53" s="26">
        <f t="shared" si="272"/>
        <v>28028000</v>
      </c>
      <c r="AN53" s="26">
        <v>28078000</v>
      </c>
      <c r="AO53" s="26">
        <f t="shared" si="23"/>
        <v>31241000</v>
      </c>
      <c r="AP53" s="27">
        <f t="shared" si="24"/>
        <v>90190</v>
      </c>
      <c r="AQ53" s="27">
        <f t="shared" si="25"/>
        <v>90865</v>
      </c>
      <c r="AR53" s="27">
        <f t="shared" si="26"/>
        <v>91540</v>
      </c>
      <c r="AS53" s="27">
        <f t="shared" si="27"/>
        <v>142215</v>
      </c>
      <c r="AT53" s="27">
        <f t="shared" si="28"/>
        <v>142890</v>
      </c>
      <c r="AU53" s="27">
        <f t="shared" si="29"/>
        <v>138890</v>
      </c>
      <c r="AV53" s="27">
        <f t="shared" si="30"/>
        <v>139565</v>
      </c>
      <c r="AW53" s="27">
        <f t="shared" si="31"/>
        <v>140240</v>
      </c>
      <c r="AX53" s="27">
        <f t="shared" si="32"/>
        <v>140915</v>
      </c>
      <c r="AY53" s="27">
        <f t="shared" si="33"/>
        <v>141590</v>
      </c>
      <c r="AZ53" s="27">
        <f t="shared" si="34"/>
        <v>142265</v>
      </c>
      <c r="BA53" s="27">
        <f t="shared" si="35"/>
        <v>142940</v>
      </c>
      <c r="BB53" s="27">
        <v>1890000</v>
      </c>
      <c r="BC53" s="26">
        <v>2494000</v>
      </c>
      <c r="BD53" s="27">
        <f t="shared" si="258"/>
        <v>1544105</v>
      </c>
      <c r="BE53" s="28">
        <f t="shared" si="188"/>
        <v>35830.547963731398</v>
      </c>
      <c r="BF53" s="28">
        <f t="shared" si="189"/>
        <v>32797.656821151002</v>
      </c>
      <c r="BG53" s="28">
        <f t="shared" si="190"/>
        <v>103209.45697799018</v>
      </c>
      <c r="BH53" s="28">
        <f t="shared" si="191"/>
        <v>245748.3169259209</v>
      </c>
      <c r="BI53" s="28">
        <f t="shared" si="192"/>
        <v>188205.28984213131</v>
      </c>
      <c r="BJ53" s="28">
        <f t="shared" si="193"/>
        <v>188234.65490692138</v>
      </c>
      <c r="BK53" s="28">
        <f t="shared" si="194"/>
        <v>131210.26512260805</v>
      </c>
      <c r="BL53" s="28">
        <f t="shared" si="195"/>
        <v>231727.96322422451</v>
      </c>
      <c r="BM53" s="28">
        <f t="shared" si="196"/>
        <v>236817.4933652569</v>
      </c>
      <c r="BN53" s="28">
        <f t="shared" si="197"/>
        <v>199162.3813128265</v>
      </c>
      <c r="BO53" s="28">
        <f t="shared" si="198"/>
        <v>144826.78450033488</v>
      </c>
      <c r="BP53" s="28">
        <f t="shared" si="199"/>
        <v>127443.29483510864</v>
      </c>
      <c r="BQ53" s="29">
        <f t="shared" si="37"/>
        <v>1865214.1057982054</v>
      </c>
      <c r="BR53" s="26">
        <f t="shared" si="200"/>
        <v>412753.27078141033</v>
      </c>
      <c r="BS53" s="26">
        <f t="shared" si="38"/>
        <v>2277967.3765796158</v>
      </c>
      <c r="BT53" s="26">
        <f t="shared" si="201"/>
        <v>3822072.3765796158</v>
      </c>
      <c r="BU53" s="111">
        <f t="shared" ref="BU53:BU61" si="273">AO53-100000</f>
        <v>31141000</v>
      </c>
      <c r="BV53" s="110">
        <v>47</v>
      </c>
      <c r="BW53" s="115" t="s">
        <v>667</v>
      </c>
      <c r="BX53" s="125"/>
    </row>
    <row r="54" spans="1:76" s="110" customFormat="1" ht="13.5" customHeight="1" x14ac:dyDescent="0.2">
      <c r="A54" s="24">
        <v>47</v>
      </c>
      <c r="B54" s="24">
        <v>66</v>
      </c>
      <c r="C54" s="25" t="s">
        <v>54</v>
      </c>
      <c r="D54" s="26">
        <v>100000</v>
      </c>
      <c r="E54" s="26">
        <f t="shared" ref="E54:G54" si="274">+F54-25000</f>
        <v>2078000</v>
      </c>
      <c r="F54" s="26">
        <f t="shared" si="274"/>
        <v>2103000</v>
      </c>
      <c r="G54" s="26">
        <f t="shared" si="274"/>
        <v>2128000</v>
      </c>
      <c r="H54" s="26">
        <f t="shared" ref="H54:O54" si="275">+I54-50000</f>
        <v>2153000</v>
      </c>
      <c r="I54" s="26">
        <f t="shared" si="275"/>
        <v>2203000</v>
      </c>
      <c r="J54" s="26">
        <f t="shared" si="275"/>
        <v>2253000</v>
      </c>
      <c r="K54" s="26">
        <f t="shared" si="275"/>
        <v>2303000</v>
      </c>
      <c r="L54" s="26">
        <f t="shared" si="275"/>
        <v>2353000</v>
      </c>
      <c r="M54" s="26">
        <f t="shared" si="275"/>
        <v>2403000</v>
      </c>
      <c r="N54" s="26">
        <f t="shared" si="275"/>
        <v>2453000</v>
      </c>
      <c r="O54" s="26">
        <f t="shared" si="275"/>
        <v>2503000</v>
      </c>
      <c r="P54" s="26">
        <v>2553000</v>
      </c>
      <c r="Q54" s="26">
        <v>1020000</v>
      </c>
      <c r="R54" s="26">
        <f>+Q54+170000</f>
        <v>1190000</v>
      </c>
      <c r="S54" s="26">
        <f t="shared" ref="S54:AA54" si="276">+R54+170000</f>
        <v>1360000</v>
      </c>
      <c r="T54" s="26">
        <f t="shared" si="276"/>
        <v>1530000</v>
      </c>
      <c r="U54" s="26">
        <f t="shared" si="276"/>
        <v>1700000</v>
      </c>
      <c r="V54" s="26">
        <v>0</v>
      </c>
      <c r="W54" s="26">
        <f t="shared" si="276"/>
        <v>170000</v>
      </c>
      <c r="X54" s="26">
        <f t="shared" si="276"/>
        <v>340000</v>
      </c>
      <c r="Y54" s="26">
        <f t="shared" si="276"/>
        <v>510000</v>
      </c>
      <c r="Z54" s="26">
        <f t="shared" si="276"/>
        <v>680000</v>
      </c>
      <c r="AA54" s="26">
        <f t="shared" si="276"/>
        <v>850000</v>
      </c>
      <c r="AB54" s="26">
        <v>1020000</v>
      </c>
      <c r="AC54" s="26">
        <v>3677000</v>
      </c>
      <c r="AD54" s="26">
        <f>+AC54+10000</f>
        <v>3687000</v>
      </c>
      <c r="AE54" s="26">
        <f t="shared" ref="AE54:AM54" si="277">+AD54+10000</f>
        <v>3697000</v>
      </c>
      <c r="AF54" s="26">
        <f t="shared" si="277"/>
        <v>3707000</v>
      </c>
      <c r="AG54" s="26">
        <f t="shared" si="277"/>
        <v>3717000</v>
      </c>
      <c r="AH54" s="26">
        <f>+AG54+10000+10000000</f>
        <v>13727000</v>
      </c>
      <c r="AI54" s="26">
        <f t="shared" si="277"/>
        <v>13737000</v>
      </c>
      <c r="AJ54" s="26">
        <f t="shared" si="277"/>
        <v>13747000</v>
      </c>
      <c r="AK54" s="26">
        <f t="shared" si="277"/>
        <v>13757000</v>
      </c>
      <c r="AL54" s="26">
        <f t="shared" si="277"/>
        <v>13767000</v>
      </c>
      <c r="AM54" s="26">
        <f t="shared" si="277"/>
        <v>13777000</v>
      </c>
      <c r="AN54" s="26">
        <v>13787000</v>
      </c>
      <c r="AO54" s="26">
        <f t="shared" si="23"/>
        <v>17460000</v>
      </c>
      <c r="AP54" s="27">
        <f t="shared" si="24"/>
        <v>23485</v>
      </c>
      <c r="AQ54" s="27">
        <f t="shared" si="25"/>
        <v>24385</v>
      </c>
      <c r="AR54" s="27">
        <f t="shared" si="26"/>
        <v>25285</v>
      </c>
      <c r="AS54" s="27">
        <f t="shared" si="27"/>
        <v>26185</v>
      </c>
      <c r="AT54" s="27">
        <f t="shared" si="28"/>
        <v>27085</v>
      </c>
      <c r="AU54" s="27">
        <f t="shared" si="29"/>
        <v>68635</v>
      </c>
      <c r="AV54" s="27">
        <f t="shared" si="30"/>
        <v>69535</v>
      </c>
      <c r="AW54" s="27">
        <f t="shared" si="31"/>
        <v>70435</v>
      </c>
      <c r="AX54" s="27">
        <f t="shared" si="32"/>
        <v>71335</v>
      </c>
      <c r="AY54" s="27">
        <f t="shared" si="33"/>
        <v>72235</v>
      </c>
      <c r="AZ54" s="27">
        <f t="shared" si="34"/>
        <v>73135</v>
      </c>
      <c r="BA54" s="27">
        <f t="shared" si="35"/>
        <v>74035</v>
      </c>
      <c r="BB54" s="27">
        <v>2160000</v>
      </c>
      <c r="BC54" s="26">
        <v>9375000</v>
      </c>
      <c r="BD54" s="27">
        <f t="shared" si="258"/>
        <v>625770</v>
      </c>
      <c r="BE54" s="28">
        <f t="shared" si="188"/>
        <v>12185.151229256697</v>
      </c>
      <c r="BF54" s="28">
        <f t="shared" si="189"/>
        <v>11396.123394864011</v>
      </c>
      <c r="BG54" s="28">
        <f t="shared" si="190"/>
        <v>36612.821098785469</v>
      </c>
      <c r="BH54" s="28">
        <f t="shared" si="191"/>
        <v>59963.998363798135</v>
      </c>
      <c r="BI54" s="28">
        <f t="shared" si="192"/>
        <v>47049.79882715112</v>
      </c>
      <c r="BJ54" s="28">
        <f t="shared" si="193"/>
        <v>100455.12100173561</v>
      </c>
      <c r="BK54" s="28">
        <f t="shared" si="194"/>
        <v>70591.088011272499</v>
      </c>
      <c r="BL54" s="28">
        <f t="shared" si="195"/>
        <v>125660.81478406195</v>
      </c>
      <c r="BM54" s="28">
        <f t="shared" si="196"/>
        <v>129421.53958597922</v>
      </c>
      <c r="BN54" s="28">
        <f t="shared" si="197"/>
        <v>109674.46737449551</v>
      </c>
      <c r="BO54" s="28">
        <f t="shared" si="198"/>
        <v>80350.511879854777</v>
      </c>
      <c r="BP54" s="28">
        <f t="shared" si="199"/>
        <v>71225.630671905412</v>
      </c>
      <c r="BQ54" s="29">
        <f t="shared" si="37"/>
        <v>854587.06622316036</v>
      </c>
      <c r="BR54" s="26">
        <f t="shared" si="200"/>
        <v>471718.02375018329</v>
      </c>
      <c r="BS54" s="26">
        <f t="shared" si="38"/>
        <v>1326305.0899733435</v>
      </c>
      <c r="BT54" s="26">
        <f t="shared" si="201"/>
        <v>1952075.0899733435</v>
      </c>
      <c r="BU54" s="111">
        <f t="shared" si="273"/>
        <v>17360000</v>
      </c>
      <c r="BV54" s="110">
        <v>48</v>
      </c>
      <c r="BW54" s="115" t="s">
        <v>667</v>
      </c>
      <c r="BX54" s="125"/>
    </row>
    <row r="55" spans="1:76" s="110" customFormat="1" ht="13.5" customHeight="1" x14ac:dyDescent="0.2">
      <c r="A55" s="24">
        <v>48</v>
      </c>
      <c r="B55" s="24">
        <v>67</v>
      </c>
      <c r="C55" s="25" t="s">
        <v>57</v>
      </c>
      <c r="D55" s="26">
        <v>100000</v>
      </c>
      <c r="E55" s="26">
        <f t="shared" ref="E55:G55" si="278">+F55-25000</f>
        <v>2078000</v>
      </c>
      <c r="F55" s="26">
        <f t="shared" si="278"/>
        <v>2103000</v>
      </c>
      <c r="G55" s="26">
        <f t="shared" si="278"/>
        <v>2128000</v>
      </c>
      <c r="H55" s="26">
        <f t="shared" ref="H55:O55" si="279">+I55-50000</f>
        <v>2153000</v>
      </c>
      <c r="I55" s="26">
        <f t="shared" si="279"/>
        <v>2203000</v>
      </c>
      <c r="J55" s="26">
        <f t="shared" si="279"/>
        <v>2253000</v>
      </c>
      <c r="K55" s="26">
        <f t="shared" si="279"/>
        <v>2303000</v>
      </c>
      <c r="L55" s="26">
        <f t="shared" si="279"/>
        <v>2353000</v>
      </c>
      <c r="M55" s="26">
        <f t="shared" si="279"/>
        <v>2403000</v>
      </c>
      <c r="N55" s="26">
        <f t="shared" si="279"/>
        <v>2453000</v>
      </c>
      <c r="O55" s="26">
        <f t="shared" si="279"/>
        <v>2503000</v>
      </c>
      <c r="P55" s="26">
        <v>2553000</v>
      </c>
      <c r="Q55" s="26">
        <v>900000</v>
      </c>
      <c r="R55" s="26">
        <f>+Q55+150000</f>
        <v>1050000</v>
      </c>
      <c r="S55" s="26">
        <f t="shared" ref="S55:U55" si="280">+R55+150000</f>
        <v>1200000</v>
      </c>
      <c r="T55" s="26">
        <f t="shared" si="280"/>
        <v>1350000</v>
      </c>
      <c r="U55" s="26">
        <f t="shared" si="280"/>
        <v>1500000</v>
      </c>
      <c r="V55" s="26">
        <v>0</v>
      </c>
      <c r="W55" s="26">
        <f t="shared" ref="W55" si="281">+V55+200000</f>
        <v>200000</v>
      </c>
      <c r="X55" s="26">
        <f t="shared" ref="X55" si="282">+W55+200000</f>
        <v>400000</v>
      </c>
      <c r="Y55" s="26">
        <f t="shared" ref="Y55" si="283">+X55+200000</f>
        <v>600000</v>
      </c>
      <c r="Z55" s="26">
        <f t="shared" ref="Z55" si="284">+Y55+200000</f>
        <v>800000</v>
      </c>
      <c r="AA55" s="26">
        <f t="shared" ref="AA55" si="285">+Z55+200000</f>
        <v>1000000</v>
      </c>
      <c r="AB55" s="26">
        <v>1200000</v>
      </c>
      <c r="AC55" s="26">
        <v>1047000</v>
      </c>
      <c r="AD55" s="26">
        <f>+AC55+10000</f>
        <v>1057000</v>
      </c>
      <c r="AE55" s="26">
        <f t="shared" ref="AE55:AM55" si="286">+AD55+10000</f>
        <v>1067000</v>
      </c>
      <c r="AF55" s="26">
        <f t="shared" si="286"/>
        <v>1077000</v>
      </c>
      <c r="AG55" s="26">
        <f t="shared" si="286"/>
        <v>1087000</v>
      </c>
      <c r="AH55" s="26">
        <f t="shared" si="286"/>
        <v>1097000</v>
      </c>
      <c r="AI55" s="26">
        <f t="shared" si="286"/>
        <v>1107000</v>
      </c>
      <c r="AJ55" s="26">
        <f t="shared" si="286"/>
        <v>1117000</v>
      </c>
      <c r="AK55" s="26">
        <f t="shared" si="286"/>
        <v>1127000</v>
      </c>
      <c r="AL55" s="26">
        <f t="shared" si="286"/>
        <v>1137000</v>
      </c>
      <c r="AM55" s="26">
        <f t="shared" si="286"/>
        <v>1147000</v>
      </c>
      <c r="AN55" s="26">
        <v>1157000</v>
      </c>
      <c r="AO55" s="26">
        <f t="shared" si="23"/>
        <v>5010000</v>
      </c>
      <c r="AP55" s="27">
        <f t="shared" si="24"/>
        <v>9735</v>
      </c>
      <c r="AQ55" s="27">
        <f t="shared" si="25"/>
        <v>10535</v>
      </c>
      <c r="AR55" s="27">
        <f t="shared" si="26"/>
        <v>11335</v>
      </c>
      <c r="AS55" s="27">
        <f t="shared" si="27"/>
        <v>12135</v>
      </c>
      <c r="AT55" s="27">
        <f t="shared" si="28"/>
        <v>12935</v>
      </c>
      <c r="AU55" s="27">
        <f t="shared" si="29"/>
        <v>5485</v>
      </c>
      <c r="AV55" s="27">
        <f t="shared" si="30"/>
        <v>6535</v>
      </c>
      <c r="AW55" s="27">
        <f t="shared" si="31"/>
        <v>7585</v>
      </c>
      <c r="AX55" s="27">
        <f t="shared" si="32"/>
        <v>8635</v>
      </c>
      <c r="AY55" s="27">
        <f t="shared" si="33"/>
        <v>9685</v>
      </c>
      <c r="AZ55" s="27">
        <f t="shared" si="34"/>
        <v>10735</v>
      </c>
      <c r="BA55" s="27">
        <f t="shared" si="35"/>
        <v>11785</v>
      </c>
      <c r="BB55" s="27">
        <v>180000</v>
      </c>
      <c r="BC55" s="26">
        <v>0</v>
      </c>
      <c r="BD55" s="27">
        <f t="shared" si="258"/>
        <v>117120</v>
      </c>
      <c r="BE55" s="28">
        <f t="shared" si="188"/>
        <v>7311.0907375540173</v>
      </c>
      <c r="BF55" s="28">
        <f t="shared" si="189"/>
        <v>6937.4705977208878</v>
      </c>
      <c r="BG55" s="28">
        <f t="shared" si="190"/>
        <v>22590.889614144227</v>
      </c>
      <c r="BH55" s="28">
        <f t="shared" si="191"/>
        <v>37467.491634522732</v>
      </c>
      <c r="BI55" s="28">
        <f t="shared" si="192"/>
        <v>29802.2689462136</v>
      </c>
      <c r="BJ55" s="28">
        <f t="shared" si="193"/>
        <v>21552.871110447006</v>
      </c>
      <c r="BK55" s="28">
        <f t="shared" si="194"/>
        <v>16057.200277242242</v>
      </c>
      <c r="BL55" s="28">
        <f t="shared" si="195"/>
        <v>30161.634503792378</v>
      </c>
      <c r="BM55" s="28">
        <f t="shared" si="196"/>
        <v>32644.789054781879</v>
      </c>
      <c r="BN55" s="28">
        <f t="shared" si="197"/>
        <v>28966.962265381459</v>
      </c>
      <c r="BO55" s="28">
        <f t="shared" si="198"/>
        <v>22151.185805531641</v>
      </c>
      <c r="BP55" s="28">
        <f t="shared" si="199"/>
        <v>20437.595055340556</v>
      </c>
      <c r="BQ55" s="29">
        <f t="shared" si="37"/>
        <v>276081.4496026726</v>
      </c>
      <c r="BR55" s="26">
        <f t="shared" si="200"/>
        <v>39309.835312515272</v>
      </c>
      <c r="BS55" s="26">
        <f t="shared" si="38"/>
        <v>315391.28491518786</v>
      </c>
      <c r="BT55" s="26">
        <f t="shared" si="201"/>
        <v>432511.28491518786</v>
      </c>
      <c r="BU55" s="111">
        <f t="shared" si="273"/>
        <v>4910000</v>
      </c>
      <c r="BV55" s="113">
        <v>52</v>
      </c>
      <c r="BX55" s="126"/>
    </row>
    <row r="56" spans="1:76" s="110" customFormat="1" ht="13.5" customHeight="1" x14ac:dyDescent="0.2">
      <c r="A56" s="24">
        <v>49</v>
      </c>
      <c r="B56" s="24">
        <v>70</v>
      </c>
      <c r="C56" s="25" t="s">
        <v>58</v>
      </c>
      <c r="D56" s="26">
        <v>100000</v>
      </c>
      <c r="E56" s="26">
        <f t="shared" ref="E56:G56" si="287">+F56-15000</f>
        <v>1704000</v>
      </c>
      <c r="F56" s="26">
        <f t="shared" si="287"/>
        <v>1719000</v>
      </c>
      <c r="G56" s="26">
        <f t="shared" si="287"/>
        <v>1734000</v>
      </c>
      <c r="H56" s="26">
        <f t="shared" ref="H56:O56" si="288">+I56-20000</f>
        <v>1749000</v>
      </c>
      <c r="I56" s="26">
        <f t="shared" si="288"/>
        <v>1769000</v>
      </c>
      <c r="J56" s="26">
        <f t="shared" si="288"/>
        <v>1789000</v>
      </c>
      <c r="K56" s="26">
        <f t="shared" si="288"/>
        <v>1809000</v>
      </c>
      <c r="L56" s="26">
        <f t="shared" si="288"/>
        <v>1829000</v>
      </c>
      <c r="M56" s="26">
        <f t="shared" si="288"/>
        <v>1849000</v>
      </c>
      <c r="N56" s="26">
        <f t="shared" si="288"/>
        <v>1869000</v>
      </c>
      <c r="O56" s="26">
        <f t="shared" si="288"/>
        <v>1889000</v>
      </c>
      <c r="P56" s="26">
        <v>1909000</v>
      </c>
      <c r="Q56" s="26">
        <v>700000</v>
      </c>
      <c r="R56" s="26">
        <f>+Q56+100000</f>
        <v>800000</v>
      </c>
      <c r="S56" s="26">
        <f t="shared" ref="S56:AA56" si="289">+R56+100000</f>
        <v>900000</v>
      </c>
      <c r="T56" s="26">
        <f t="shared" si="289"/>
        <v>1000000</v>
      </c>
      <c r="U56" s="26">
        <f t="shared" si="289"/>
        <v>1100000</v>
      </c>
      <c r="V56" s="26">
        <v>0</v>
      </c>
      <c r="W56" s="26">
        <f t="shared" si="289"/>
        <v>100000</v>
      </c>
      <c r="X56" s="26">
        <f t="shared" si="289"/>
        <v>200000</v>
      </c>
      <c r="Y56" s="26">
        <f t="shared" si="289"/>
        <v>300000</v>
      </c>
      <c r="Z56" s="26">
        <f t="shared" si="289"/>
        <v>400000</v>
      </c>
      <c r="AA56" s="26">
        <f t="shared" si="289"/>
        <v>500000</v>
      </c>
      <c r="AB56" s="26">
        <v>600000</v>
      </c>
      <c r="AC56" s="26">
        <v>1104000</v>
      </c>
      <c r="AD56" s="26">
        <f>+AC56+55000</f>
        <v>1159000</v>
      </c>
      <c r="AE56" s="26">
        <f t="shared" ref="AE56" si="290">+AD56+55000</f>
        <v>1214000</v>
      </c>
      <c r="AF56" s="26">
        <f>+AE56+50000</f>
        <v>1264000</v>
      </c>
      <c r="AG56" s="26">
        <f t="shared" ref="AG56:AI56" si="291">+AF56+50000</f>
        <v>1314000</v>
      </c>
      <c r="AH56" s="26">
        <f t="shared" si="291"/>
        <v>1364000</v>
      </c>
      <c r="AI56" s="26">
        <f t="shared" si="291"/>
        <v>1414000</v>
      </c>
      <c r="AJ56" s="26">
        <v>1414000</v>
      </c>
      <c r="AK56" s="26">
        <f>+AJ56+100000</f>
        <v>1514000</v>
      </c>
      <c r="AL56" s="26">
        <f>+AK56+50000</f>
        <v>1564000</v>
      </c>
      <c r="AM56" s="26">
        <f>+AL56+50000</f>
        <v>1614000</v>
      </c>
      <c r="AN56" s="26">
        <v>794000</v>
      </c>
      <c r="AO56" s="26">
        <f t="shared" si="23"/>
        <v>3403000</v>
      </c>
      <c r="AP56" s="27">
        <f t="shared" si="24"/>
        <v>9020</v>
      </c>
      <c r="AQ56" s="27">
        <f t="shared" si="25"/>
        <v>9795</v>
      </c>
      <c r="AR56" s="27">
        <f t="shared" si="26"/>
        <v>10570</v>
      </c>
      <c r="AS56" s="27">
        <f t="shared" si="27"/>
        <v>11320</v>
      </c>
      <c r="AT56" s="27">
        <f t="shared" si="28"/>
        <v>12070</v>
      </c>
      <c r="AU56" s="27">
        <f t="shared" si="29"/>
        <v>6820</v>
      </c>
      <c r="AV56" s="27">
        <f t="shared" si="30"/>
        <v>7570</v>
      </c>
      <c r="AW56" s="27">
        <f t="shared" si="31"/>
        <v>8070</v>
      </c>
      <c r="AX56" s="27">
        <f t="shared" si="32"/>
        <v>9070</v>
      </c>
      <c r="AY56" s="27">
        <f t="shared" si="33"/>
        <v>9820</v>
      </c>
      <c r="AZ56" s="27">
        <f t="shared" si="34"/>
        <v>10570</v>
      </c>
      <c r="BA56" s="27">
        <f t="shared" si="35"/>
        <v>6970</v>
      </c>
      <c r="BB56" s="27">
        <v>330000</v>
      </c>
      <c r="BC56" s="26">
        <v>0</v>
      </c>
      <c r="BD56" s="27">
        <f t="shared" si="258"/>
        <v>111665</v>
      </c>
      <c r="BE56" s="28">
        <f t="shared" si="188"/>
        <v>6394.7673651139139</v>
      </c>
      <c r="BF56" s="28">
        <f t="shared" si="189"/>
        <v>6081.1517211576602</v>
      </c>
      <c r="BG56" s="28">
        <f t="shared" si="190"/>
        <v>19841.786918051483</v>
      </c>
      <c r="BH56" s="28">
        <f t="shared" si="191"/>
        <v>32928.160917263245</v>
      </c>
      <c r="BI56" s="28">
        <f t="shared" si="192"/>
        <v>26102.88709542594</v>
      </c>
      <c r="BJ56" s="28">
        <f t="shared" si="193"/>
        <v>20322.170933995392</v>
      </c>
      <c r="BK56" s="28">
        <f t="shared" si="194"/>
        <v>14815.039501078219</v>
      </c>
      <c r="BL56" s="28">
        <f t="shared" si="195"/>
        <v>26917.549382099849</v>
      </c>
      <c r="BM56" s="28">
        <f t="shared" si="196"/>
        <v>29040.742603580191</v>
      </c>
      <c r="BN56" s="28">
        <f t="shared" si="197"/>
        <v>25373.510599052403</v>
      </c>
      <c r="BO56" s="28">
        <f t="shared" si="198"/>
        <v>19133.961128441333</v>
      </c>
      <c r="BP56" s="28">
        <f t="shared" si="199"/>
        <v>13882.063068527727</v>
      </c>
      <c r="BQ56" s="29">
        <f t="shared" si="37"/>
        <v>240833.79123378737</v>
      </c>
      <c r="BR56" s="26">
        <f t="shared" si="200"/>
        <v>72068.031406277994</v>
      </c>
      <c r="BS56" s="26">
        <f t="shared" si="38"/>
        <v>312901.82264006534</v>
      </c>
      <c r="BT56" s="26">
        <f t="shared" si="201"/>
        <v>424566.82264006534</v>
      </c>
      <c r="BU56" s="111">
        <f t="shared" si="273"/>
        <v>3303000</v>
      </c>
      <c r="BV56" s="110">
        <v>50</v>
      </c>
      <c r="BX56" s="126"/>
    </row>
    <row r="57" spans="1:76" s="110" customFormat="1" ht="13.5" customHeight="1" x14ac:dyDescent="0.2">
      <c r="A57" s="24">
        <v>50</v>
      </c>
      <c r="B57" s="24">
        <v>73</v>
      </c>
      <c r="C57" s="25" t="s">
        <v>59</v>
      </c>
      <c r="D57" s="26">
        <v>100000</v>
      </c>
      <c r="E57" s="26">
        <f t="shared" ref="E57:G57" si="292">+F57-15000</f>
        <v>1695000</v>
      </c>
      <c r="F57" s="26">
        <f t="shared" si="292"/>
        <v>1710000</v>
      </c>
      <c r="G57" s="26">
        <f t="shared" si="292"/>
        <v>1725000</v>
      </c>
      <c r="H57" s="26">
        <f t="shared" ref="H57:O57" si="293">+I57-20000</f>
        <v>1740000</v>
      </c>
      <c r="I57" s="26">
        <f t="shared" si="293"/>
        <v>1760000</v>
      </c>
      <c r="J57" s="26">
        <f t="shared" si="293"/>
        <v>1780000</v>
      </c>
      <c r="K57" s="26">
        <f t="shared" si="293"/>
        <v>1800000</v>
      </c>
      <c r="L57" s="26">
        <f t="shared" si="293"/>
        <v>1820000</v>
      </c>
      <c r="M57" s="26">
        <f t="shared" si="293"/>
        <v>1840000</v>
      </c>
      <c r="N57" s="26">
        <f t="shared" si="293"/>
        <v>1860000</v>
      </c>
      <c r="O57" s="26">
        <f t="shared" si="293"/>
        <v>1880000</v>
      </c>
      <c r="P57" s="26">
        <v>1900000</v>
      </c>
      <c r="Q57" s="26">
        <v>525000</v>
      </c>
      <c r="R57" s="26">
        <f>+Q57+75000</f>
        <v>600000</v>
      </c>
      <c r="S57" s="26">
        <f t="shared" ref="S57:AA57" si="294">+R57+75000</f>
        <v>675000</v>
      </c>
      <c r="T57" s="26">
        <f t="shared" si="294"/>
        <v>750000</v>
      </c>
      <c r="U57" s="26">
        <f t="shared" si="294"/>
        <v>825000</v>
      </c>
      <c r="V57" s="26">
        <v>0</v>
      </c>
      <c r="W57" s="26">
        <f t="shared" si="294"/>
        <v>75000</v>
      </c>
      <c r="X57" s="26">
        <f t="shared" si="294"/>
        <v>150000</v>
      </c>
      <c r="Y57" s="26">
        <f t="shared" si="294"/>
        <v>225000</v>
      </c>
      <c r="Z57" s="26">
        <f t="shared" si="294"/>
        <v>300000</v>
      </c>
      <c r="AA57" s="26">
        <f t="shared" si="294"/>
        <v>375000</v>
      </c>
      <c r="AB57" s="26">
        <v>450000</v>
      </c>
      <c r="AC57" s="26">
        <v>354000</v>
      </c>
      <c r="AD57" s="26">
        <f>+AC57+37500-300000</f>
        <v>91500</v>
      </c>
      <c r="AE57" s="26">
        <f>+AD57+37500</f>
        <v>129000</v>
      </c>
      <c r="AF57" s="26">
        <f t="shared" ref="AF57:AM57" si="295">+AE57+32500</f>
        <v>161500</v>
      </c>
      <c r="AG57" s="26">
        <f>+AF57+32500-150000</f>
        <v>44000</v>
      </c>
      <c r="AH57" s="26">
        <f t="shared" si="295"/>
        <v>76500</v>
      </c>
      <c r="AI57" s="26">
        <f t="shared" si="295"/>
        <v>109000</v>
      </c>
      <c r="AJ57" s="26">
        <f t="shared" si="295"/>
        <v>141500</v>
      </c>
      <c r="AK57" s="26">
        <f t="shared" si="295"/>
        <v>174000</v>
      </c>
      <c r="AL57" s="26">
        <f t="shared" si="295"/>
        <v>206500</v>
      </c>
      <c r="AM57" s="26">
        <f t="shared" si="295"/>
        <v>239000</v>
      </c>
      <c r="AN57" s="26">
        <v>344000</v>
      </c>
      <c r="AO57" s="26">
        <f t="shared" si="23"/>
        <v>2794000</v>
      </c>
      <c r="AP57" s="27">
        <f t="shared" si="24"/>
        <v>4395</v>
      </c>
      <c r="AQ57" s="27">
        <f t="shared" si="25"/>
        <v>3457.5</v>
      </c>
      <c r="AR57" s="27">
        <f t="shared" si="26"/>
        <v>4020</v>
      </c>
      <c r="AS57" s="27">
        <f t="shared" si="27"/>
        <v>4557.5</v>
      </c>
      <c r="AT57" s="27">
        <f t="shared" si="28"/>
        <v>4345</v>
      </c>
      <c r="AU57" s="27">
        <f t="shared" si="29"/>
        <v>382.5</v>
      </c>
      <c r="AV57" s="27">
        <f t="shared" si="30"/>
        <v>920</v>
      </c>
      <c r="AW57" s="27">
        <f t="shared" si="31"/>
        <v>1457.5</v>
      </c>
      <c r="AX57" s="27">
        <f t="shared" si="32"/>
        <v>1995</v>
      </c>
      <c r="AY57" s="27">
        <f t="shared" si="33"/>
        <v>2532.5</v>
      </c>
      <c r="AZ57" s="27">
        <f t="shared" si="34"/>
        <v>3070</v>
      </c>
      <c r="BA57" s="27">
        <f t="shared" si="35"/>
        <v>3970</v>
      </c>
      <c r="BB57" s="27">
        <v>225000</v>
      </c>
      <c r="BC57" s="26">
        <v>3000000</v>
      </c>
      <c r="BD57" s="27">
        <f t="shared" si="258"/>
        <v>35102.5</v>
      </c>
      <c r="BE57" s="28">
        <f t="shared" si="188"/>
        <v>4739.3591835683501</v>
      </c>
      <c r="BF57" s="28">
        <f t="shared" si="189"/>
        <v>4026.4693039904409</v>
      </c>
      <c r="BG57" s="28">
        <f t="shared" si="190"/>
        <v>13212.780599685244</v>
      </c>
      <c r="BH57" s="28">
        <f t="shared" si="191"/>
        <v>22028.163083843869</v>
      </c>
      <c r="BI57" s="28">
        <f t="shared" si="192"/>
        <v>16631.981994727386</v>
      </c>
      <c r="BJ57" s="28">
        <f t="shared" si="193"/>
        <v>12222.664442779584</v>
      </c>
      <c r="BK57" s="28">
        <f t="shared" si="194"/>
        <v>9019.7319077554803</v>
      </c>
      <c r="BL57" s="28">
        <f t="shared" si="195"/>
        <v>16801.625870311549</v>
      </c>
      <c r="BM57" s="28">
        <f t="shared" si="196"/>
        <v>18051.102032892391</v>
      </c>
      <c r="BN57" s="28">
        <f t="shared" si="197"/>
        <v>15912.474928187832</v>
      </c>
      <c r="BO57" s="28">
        <f t="shared" si="198"/>
        <v>12096.87915358928</v>
      </c>
      <c r="BP57" s="28">
        <f t="shared" si="199"/>
        <v>11397.73265162106</v>
      </c>
      <c r="BQ57" s="29">
        <f t="shared" si="37"/>
        <v>156140.96515295247</v>
      </c>
      <c r="BR57" s="26">
        <f t="shared" si="200"/>
        <v>49137.294140644088</v>
      </c>
      <c r="BS57" s="26">
        <f t="shared" si="38"/>
        <v>205278.25929359655</v>
      </c>
      <c r="BT57" s="26">
        <f t="shared" si="201"/>
        <v>240380.75929359655</v>
      </c>
      <c r="BU57" s="111">
        <f t="shared" si="273"/>
        <v>2694000</v>
      </c>
      <c r="BV57" s="113">
        <v>65</v>
      </c>
      <c r="BX57" s="126"/>
    </row>
    <row r="58" spans="1:76" s="110" customFormat="1" ht="13.5" customHeight="1" x14ac:dyDescent="0.2">
      <c r="A58" s="24">
        <v>51</v>
      </c>
      <c r="B58" s="24">
        <v>75</v>
      </c>
      <c r="C58" s="25" t="s">
        <v>60</v>
      </c>
      <c r="D58" s="26">
        <v>100000</v>
      </c>
      <c r="E58" s="26">
        <f t="shared" ref="E58:G58" si="296">+F58-15000</f>
        <v>1696000</v>
      </c>
      <c r="F58" s="26">
        <f t="shared" si="296"/>
        <v>1711000</v>
      </c>
      <c r="G58" s="26">
        <f t="shared" si="296"/>
        <v>1726000</v>
      </c>
      <c r="H58" s="26">
        <f t="shared" ref="H58:O58" si="297">+I58-20000</f>
        <v>1741000</v>
      </c>
      <c r="I58" s="26">
        <f t="shared" si="297"/>
        <v>1761000</v>
      </c>
      <c r="J58" s="26">
        <f t="shared" si="297"/>
        <v>1781000</v>
      </c>
      <c r="K58" s="26">
        <f t="shared" si="297"/>
        <v>1801000</v>
      </c>
      <c r="L58" s="26">
        <f t="shared" si="297"/>
        <v>1821000</v>
      </c>
      <c r="M58" s="26">
        <f t="shared" si="297"/>
        <v>1841000</v>
      </c>
      <c r="N58" s="26">
        <f t="shared" si="297"/>
        <v>1861000</v>
      </c>
      <c r="O58" s="26">
        <f t="shared" si="297"/>
        <v>1881000</v>
      </c>
      <c r="P58" s="26">
        <v>1901000</v>
      </c>
      <c r="Q58" s="26">
        <v>600000</v>
      </c>
      <c r="R58" s="26">
        <f>+Q58+100000</f>
        <v>700000</v>
      </c>
      <c r="S58" s="26">
        <f t="shared" ref="S58:U58" si="298">+R58+100000</f>
        <v>800000</v>
      </c>
      <c r="T58" s="26">
        <f t="shared" si="298"/>
        <v>900000</v>
      </c>
      <c r="U58" s="26">
        <f t="shared" si="298"/>
        <v>1000000</v>
      </c>
      <c r="V58" s="26">
        <v>0</v>
      </c>
      <c r="W58" s="26">
        <f>+V58+200000</f>
        <v>200000</v>
      </c>
      <c r="X58" s="26">
        <f t="shared" ref="X58:AA58" si="299">+W58+200000</f>
        <v>400000</v>
      </c>
      <c r="Y58" s="26">
        <f t="shared" si="299"/>
        <v>600000</v>
      </c>
      <c r="Z58" s="26">
        <f t="shared" si="299"/>
        <v>800000</v>
      </c>
      <c r="AA58" s="26">
        <f t="shared" si="299"/>
        <v>1000000</v>
      </c>
      <c r="AB58" s="26">
        <v>1200000</v>
      </c>
      <c r="AC58" s="26">
        <v>390000</v>
      </c>
      <c r="AD58" s="26">
        <f>+AC58+10000</f>
        <v>400000</v>
      </c>
      <c r="AE58" s="26">
        <f t="shared" ref="AE58:AM58" si="300">+AD58+10000</f>
        <v>410000</v>
      </c>
      <c r="AF58" s="26">
        <f t="shared" si="300"/>
        <v>420000</v>
      </c>
      <c r="AG58" s="26">
        <f t="shared" si="300"/>
        <v>430000</v>
      </c>
      <c r="AH58" s="26">
        <f t="shared" si="300"/>
        <v>440000</v>
      </c>
      <c r="AI58" s="26">
        <f t="shared" si="300"/>
        <v>450000</v>
      </c>
      <c r="AJ58" s="26">
        <f t="shared" si="300"/>
        <v>460000</v>
      </c>
      <c r="AK58" s="26">
        <f t="shared" si="300"/>
        <v>470000</v>
      </c>
      <c r="AL58" s="26">
        <f t="shared" si="300"/>
        <v>480000</v>
      </c>
      <c r="AM58" s="26">
        <f t="shared" si="300"/>
        <v>490000</v>
      </c>
      <c r="AN58" s="26">
        <v>500000</v>
      </c>
      <c r="AO58" s="26">
        <f t="shared" si="23"/>
        <v>3701000</v>
      </c>
      <c r="AP58" s="27">
        <f t="shared" si="24"/>
        <v>4950</v>
      </c>
      <c r="AQ58" s="27">
        <f t="shared" si="25"/>
        <v>5500</v>
      </c>
      <c r="AR58" s="27">
        <f t="shared" si="26"/>
        <v>6050</v>
      </c>
      <c r="AS58" s="27">
        <f t="shared" si="27"/>
        <v>6600</v>
      </c>
      <c r="AT58" s="27">
        <f t="shared" si="28"/>
        <v>7150</v>
      </c>
      <c r="AU58" s="27">
        <f t="shared" si="29"/>
        <v>2200</v>
      </c>
      <c r="AV58" s="27">
        <f t="shared" si="30"/>
        <v>3250</v>
      </c>
      <c r="AW58" s="27">
        <f t="shared" si="31"/>
        <v>4300</v>
      </c>
      <c r="AX58" s="27">
        <f t="shared" si="32"/>
        <v>5350</v>
      </c>
      <c r="AY58" s="27">
        <f t="shared" si="33"/>
        <v>6400</v>
      </c>
      <c r="AZ58" s="27">
        <f t="shared" si="34"/>
        <v>7450</v>
      </c>
      <c r="BA58" s="27">
        <f t="shared" si="35"/>
        <v>8500</v>
      </c>
      <c r="BB58" s="27">
        <v>270000</v>
      </c>
      <c r="BC58" s="26">
        <v>1500000</v>
      </c>
      <c r="BD58" s="27">
        <f t="shared" si="258"/>
        <v>67700</v>
      </c>
      <c r="BE58" s="28">
        <f t="shared" si="188"/>
        <v>4937.8663745031499</v>
      </c>
      <c r="BF58" s="28">
        <f t="shared" si="189"/>
        <v>4685.609491871347</v>
      </c>
      <c r="BG58" s="28">
        <f t="shared" si="190"/>
        <v>15258.273830598859</v>
      </c>
      <c r="BH58" s="28">
        <f t="shared" si="191"/>
        <v>25306.568601864605</v>
      </c>
      <c r="BI58" s="28">
        <f t="shared" si="192"/>
        <v>20057.109836807558</v>
      </c>
      <c r="BJ58" s="28">
        <f t="shared" si="193"/>
        <v>14499.772129665942</v>
      </c>
      <c r="BK58" s="28">
        <f t="shared" si="194"/>
        <v>11040.948222977078</v>
      </c>
      <c r="BL58" s="28">
        <f t="shared" si="195"/>
        <v>21128.338930742219</v>
      </c>
      <c r="BM58" s="28">
        <f t="shared" si="196"/>
        <v>23237.224549396746</v>
      </c>
      <c r="BN58" s="28">
        <f t="shared" si="197"/>
        <v>20909.114632984703</v>
      </c>
      <c r="BO58" s="28">
        <f t="shared" si="198"/>
        <v>16186.687564421121</v>
      </c>
      <c r="BP58" s="28">
        <f t="shared" si="199"/>
        <v>15097.712435092893</v>
      </c>
      <c r="BQ58" s="29">
        <f t="shared" si="37"/>
        <v>192345.22660092622</v>
      </c>
      <c r="BR58" s="26">
        <f t="shared" si="200"/>
        <v>58964.752968772911</v>
      </c>
      <c r="BS58" s="26">
        <f t="shared" si="38"/>
        <v>251309.97956969915</v>
      </c>
      <c r="BT58" s="26">
        <f t="shared" si="201"/>
        <v>319009.97956969915</v>
      </c>
      <c r="BU58" s="111">
        <f t="shared" si="273"/>
        <v>3601000</v>
      </c>
      <c r="BV58" s="110">
        <v>51</v>
      </c>
      <c r="BX58" s="126"/>
    </row>
    <row r="59" spans="1:76" s="124" customFormat="1" ht="13.5" customHeight="1" x14ac:dyDescent="0.2">
      <c r="A59" s="117">
        <v>52</v>
      </c>
      <c r="B59" s="117">
        <v>76</v>
      </c>
      <c r="C59" s="118" t="s">
        <v>61</v>
      </c>
      <c r="D59" s="119">
        <v>100000</v>
      </c>
      <c r="E59" s="119">
        <f t="shared" ref="E59:G59" si="301">+F59-15000</f>
        <v>1699000</v>
      </c>
      <c r="F59" s="119">
        <f t="shared" si="301"/>
        <v>1714000</v>
      </c>
      <c r="G59" s="119">
        <f t="shared" si="301"/>
        <v>1729000</v>
      </c>
      <c r="H59" s="119">
        <f t="shared" ref="H59:O59" si="302">+I59-20000</f>
        <v>1744000</v>
      </c>
      <c r="I59" s="119">
        <f t="shared" si="302"/>
        <v>1764000</v>
      </c>
      <c r="J59" s="119">
        <f t="shared" si="302"/>
        <v>1784000</v>
      </c>
      <c r="K59" s="119">
        <f t="shared" si="302"/>
        <v>1804000</v>
      </c>
      <c r="L59" s="119">
        <f t="shared" si="302"/>
        <v>1824000</v>
      </c>
      <c r="M59" s="119">
        <f t="shared" si="302"/>
        <v>1844000</v>
      </c>
      <c r="N59" s="119">
        <f t="shared" si="302"/>
        <v>1864000</v>
      </c>
      <c r="O59" s="119">
        <f t="shared" si="302"/>
        <v>1884000</v>
      </c>
      <c r="P59" s="119">
        <v>1904000</v>
      </c>
      <c r="Q59" s="119">
        <v>1100000</v>
      </c>
      <c r="R59" s="119">
        <f>+Q59+200000</f>
        <v>1300000</v>
      </c>
      <c r="S59" s="119">
        <f t="shared" ref="S59:U59" si="303">+R59+200000</f>
        <v>1500000</v>
      </c>
      <c r="T59" s="119">
        <f t="shared" si="303"/>
        <v>1700000</v>
      </c>
      <c r="U59" s="119">
        <f t="shared" si="303"/>
        <v>1900000</v>
      </c>
      <c r="V59" s="119">
        <v>0</v>
      </c>
      <c r="W59" s="119">
        <f>+V59+300000</f>
        <v>300000</v>
      </c>
      <c r="X59" s="119">
        <f>+W59+150000</f>
        <v>450000</v>
      </c>
      <c r="Y59" s="119">
        <f t="shared" ref="Y59:AA59" si="304">+X59+150000</f>
        <v>600000</v>
      </c>
      <c r="Z59" s="119">
        <f t="shared" si="304"/>
        <v>750000</v>
      </c>
      <c r="AA59" s="119">
        <f t="shared" si="304"/>
        <v>900000</v>
      </c>
      <c r="AB59" s="119">
        <v>900000</v>
      </c>
      <c r="AC59" s="119">
        <v>150000</v>
      </c>
      <c r="AD59" s="119">
        <f>+AC59+50000</f>
        <v>200000</v>
      </c>
      <c r="AE59" s="119">
        <f t="shared" ref="AE59:AI59" si="305">+AD59+50000</f>
        <v>250000</v>
      </c>
      <c r="AF59" s="119">
        <f>+AE59+50000-150000</f>
        <v>150000</v>
      </c>
      <c r="AG59" s="119">
        <f t="shared" si="305"/>
        <v>200000</v>
      </c>
      <c r="AH59" s="119">
        <f>+AG59+50000-150000</f>
        <v>100000</v>
      </c>
      <c r="AI59" s="119">
        <f t="shared" si="305"/>
        <v>150000</v>
      </c>
      <c r="AJ59" s="119">
        <f>+AI59-100000</f>
        <v>50000</v>
      </c>
      <c r="AK59" s="119">
        <v>50000</v>
      </c>
      <c r="AL59" s="119">
        <v>50000</v>
      </c>
      <c r="AM59" s="119">
        <v>50000</v>
      </c>
      <c r="AN59" s="119">
        <v>50000</v>
      </c>
      <c r="AO59" s="119">
        <f t="shared" si="23"/>
        <v>2954000</v>
      </c>
      <c r="AP59" s="120">
        <f t="shared" si="24"/>
        <v>6250</v>
      </c>
      <c r="AQ59" s="120">
        <f t="shared" si="25"/>
        <v>7500</v>
      </c>
      <c r="AR59" s="120">
        <f t="shared" si="26"/>
        <v>8750</v>
      </c>
      <c r="AS59" s="120">
        <f t="shared" si="27"/>
        <v>9250</v>
      </c>
      <c r="AT59" s="120">
        <f t="shared" si="28"/>
        <v>10500</v>
      </c>
      <c r="AU59" s="120">
        <f t="shared" si="29"/>
        <v>500</v>
      </c>
      <c r="AV59" s="120">
        <f t="shared" si="30"/>
        <v>2250</v>
      </c>
      <c r="AW59" s="120">
        <f t="shared" si="31"/>
        <v>2500</v>
      </c>
      <c r="AX59" s="120">
        <f t="shared" si="32"/>
        <v>3250</v>
      </c>
      <c r="AY59" s="120">
        <f t="shared" si="33"/>
        <v>4000</v>
      </c>
      <c r="AZ59" s="120">
        <f t="shared" si="34"/>
        <v>4750</v>
      </c>
      <c r="BA59" s="120">
        <f t="shared" si="35"/>
        <v>4750</v>
      </c>
      <c r="BB59" s="120">
        <v>900000</v>
      </c>
      <c r="BC59" s="119">
        <v>250000</v>
      </c>
      <c r="BD59" s="120">
        <f t="shared" si="258"/>
        <v>64250</v>
      </c>
      <c r="BE59" s="121">
        <f t="shared" si="188"/>
        <v>5404.0037960732607</v>
      </c>
      <c r="BF59" s="121">
        <f t="shared" si="189"/>
        <v>5334.2871370874764</v>
      </c>
      <c r="BG59" s="121">
        <f t="shared" si="190"/>
        <v>17987.27339911506</v>
      </c>
      <c r="BH59" s="121">
        <f t="shared" si="191"/>
        <v>29573.69959357414</v>
      </c>
      <c r="BI59" s="121">
        <f t="shared" si="192"/>
        <v>24158.730900366198</v>
      </c>
      <c r="BJ59" s="121">
        <f t="shared" si="193"/>
        <v>12394.462690761407</v>
      </c>
      <c r="BK59" s="121">
        <f t="shared" si="194"/>
        <v>10188.315216341844</v>
      </c>
      <c r="BL59" s="121">
        <f t="shared" si="195"/>
        <v>18416.071042114036</v>
      </c>
      <c r="BM59" s="121">
        <f t="shared" si="196"/>
        <v>20019.050309244489</v>
      </c>
      <c r="BN59" s="121">
        <f t="shared" si="197"/>
        <v>17831.778107241505</v>
      </c>
      <c r="BO59" s="121">
        <f t="shared" si="198"/>
        <v>13682.437716511544</v>
      </c>
      <c r="BP59" s="121">
        <f t="shared" si="199"/>
        <v>12050.430298099001</v>
      </c>
      <c r="BQ59" s="122">
        <f t="shared" si="37"/>
        <v>187040.54020652996</v>
      </c>
      <c r="BR59" s="119">
        <f t="shared" si="200"/>
        <v>196549.17656257635</v>
      </c>
      <c r="BS59" s="119">
        <f t="shared" si="38"/>
        <v>383589.71676910634</v>
      </c>
      <c r="BT59" s="119">
        <f t="shared" si="201"/>
        <v>447839.71676910634</v>
      </c>
      <c r="BU59" s="123">
        <f t="shared" si="273"/>
        <v>2854000</v>
      </c>
      <c r="BX59" s="126"/>
    </row>
    <row r="60" spans="1:76" s="110" customFormat="1" ht="13.5" customHeight="1" x14ac:dyDescent="0.2">
      <c r="A60" s="24">
        <v>53</v>
      </c>
      <c r="B60" s="24">
        <v>79</v>
      </c>
      <c r="C60" s="25" t="s">
        <v>62</v>
      </c>
      <c r="D60" s="26">
        <v>100000</v>
      </c>
      <c r="E60" s="26">
        <f t="shared" ref="E60:G60" si="306">+F60-15000</f>
        <v>1689000</v>
      </c>
      <c r="F60" s="26">
        <f t="shared" si="306"/>
        <v>1704000</v>
      </c>
      <c r="G60" s="26">
        <f t="shared" si="306"/>
        <v>1719000</v>
      </c>
      <c r="H60" s="26">
        <f t="shared" ref="H60:O60" si="307">+I60-20000</f>
        <v>1734000</v>
      </c>
      <c r="I60" s="26">
        <f t="shared" si="307"/>
        <v>1754000</v>
      </c>
      <c r="J60" s="26">
        <f t="shared" si="307"/>
        <v>1774000</v>
      </c>
      <c r="K60" s="26">
        <f t="shared" si="307"/>
        <v>1794000</v>
      </c>
      <c r="L60" s="26">
        <f t="shared" si="307"/>
        <v>1814000</v>
      </c>
      <c r="M60" s="26">
        <f t="shared" si="307"/>
        <v>1834000</v>
      </c>
      <c r="N60" s="26">
        <f t="shared" si="307"/>
        <v>1854000</v>
      </c>
      <c r="O60" s="26">
        <f t="shared" si="307"/>
        <v>1874000</v>
      </c>
      <c r="P60" s="26">
        <v>1894000</v>
      </c>
      <c r="Q60" s="26">
        <v>111000</v>
      </c>
      <c r="R60" s="26">
        <v>111000</v>
      </c>
      <c r="S60" s="26">
        <v>111000</v>
      </c>
      <c r="T60" s="26">
        <v>211000</v>
      </c>
      <c r="U60" s="26">
        <f>+T60+65000</f>
        <v>276000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187000</v>
      </c>
      <c r="AD60" s="26">
        <v>187000</v>
      </c>
      <c r="AE60" s="26">
        <v>187000</v>
      </c>
      <c r="AF60" s="26">
        <v>187000</v>
      </c>
      <c r="AG60" s="26">
        <v>187000</v>
      </c>
      <c r="AH60" s="26">
        <v>187000</v>
      </c>
      <c r="AI60" s="26">
        <v>187000</v>
      </c>
      <c r="AJ60" s="26">
        <v>187000</v>
      </c>
      <c r="AK60" s="26">
        <v>187000</v>
      </c>
      <c r="AL60" s="26">
        <v>187000</v>
      </c>
      <c r="AM60" s="26">
        <v>187000</v>
      </c>
      <c r="AN60" s="26">
        <v>187000</v>
      </c>
      <c r="AO60" s="26">
        <f t="shared" si="23"/>
        <v>2181000</v>
      </c>
      <c r="AP60" s="27">
        <f t="shared" si="24"/>
        <v>1490</v>
      </c>
      <c r="AQ60" s="27">
        <f t="shared" si="25"/>
        <v>1490</v>
      </c>
      <c r="AR60" s="27">
        <f t="shared" si="26"/>
        <v>1490</v>
      </c>
      <c r="AS60" s="27">
        <f t="shared" si="27"/>
        <v>1990</v>
      </c>
      <c r="AT60" s="27">
        <f t="shared" si="28"/>
        <v>2315</v>
      </c>
      <c r="AU60" s="27">
        <f t="shared" si="29"/>
        <v>935</v>
      </c>
      <c r="AV60" s="27">
        <f t="shared" si="30"/>
        <v>935</v>
      </c>
      <c r="AW60" s="27">
        <f t="shared" si="31"/>
        <v>935</v>
      </c>
      <c r="AX60" s="27">
        <f t="shared" si="32"/>
        <v>935</v>
      </c>
      <c r="AY60" s="27">
        <f t="shared" si="33"/>
        <v>935</v>
      </c>
      <c r="AZ60" s="27">
        <f t="shared" si="34"/>
        <v>935</v>
      </c>
      <c r="BA60" s="27">
        <f t="shared" si="35"/>
        <v>935</v>
      </c>
      <c r="BB60" s="27">
        <v>900000</v>
      </c>
      <c r="BC60" s="26">
        <v>2062000</v>
      </c>
      <c r="BD60" s="27">
        <f t="shared" si="258"/>
        <v>15320</v>
      </c>
      <c r="BE60" s="28">
        <f t="shared" si="188"/>
        <v>3698.9688167939962</v>
      </c>
      <c r="BF60" s="28">
        <f t="shared" si="189"/>
        <v>3383.4253355938067</v>
      </c>
      <c r="BG60" s="28">
        <f t="shared" si="190"/>
        <v>10639.580269887281</v>
      </c>
      <c r="BH60" s="28">
        <f t="shared" si="191"/>
        <v>17869.111394926225</v>
      </c>
      <c r="BI60" s="28">
        <f t="shared" si="192"/>
        <v>14121.03418167217</v>
      </c>
      <c r="BJ60" s="28">
        <f t="shared" si="193"/>
        <v>12875.497785110516</v>
      </c>
      <c r="BK60" s="28">
        <f t="shared" si="194"/>
        <v>9006.7476487711883</v>
      </c>
      <c r="BL60" s="28">
        <f t="shared" si="195"/>
        <v>15962.114380974253</v>
      </c>
      <c r="BM60" s="28">
        <f t="shared" si="196"/>
        <v>16368.699192716871</v>
      </c>
      <c r="BN60" s="28">
        <f t="shared" si="197"/>
        <v>13812.531449929111</v>
      </c>
      <c r="BO60" s="28">
        <f t="shared" si="198"/>
        <v>10077.623689632395</v>
      </c>
      <c r="BP60" s="28">
        <f t="shared" si="199"/>
        <v>8897.0847935524453</v>
      </c>
      <c r="BQ60" s="29">
        <f t="shared" si="37"/>
        <v>136712.41893956024</v>
      </c>
      <c r="BR60" s="26">
        <f t="shared" si="200"/>
        <v>196549.17656257635</v>
      </c>
      <c r="BS60" s="26">
        <f t="shared" si="38"/>
        <v>333261.59550213662</v>
      </c>
      <c r="BT60" s="26">
        <f t="shared" si="201"/>
        <v>348581.59550213662</v>
      </c>
      <c r="BU60" s="111">
        <f t="shared" si="273"/>
        <v>2081000</v>
      </c>
      <c r="BV60" s="110">
        <v>54</v>
      </c>
      <c r="BX60" s="126"/>
    </row>
    <row r="61" spans="1:76" ht="13.5" customHeight="1" x14ac:dyDescent="0.2">
      <c r="A61" s="15">
        <v>54</v>
      </c>
      <c r="B61" s="15">
        <v>80</v>
      </c>
      <c r="C61" s="14" t="s">
        <v>63</v>
      </c>
      <c r="D61" s="8">
        <v>100000</v>
      </c>
      <c r="E61" s="8">
        <f t="shared" ref="E61:G61" si="308">+F61-15000</f>
        <v>1689000</v>
      </c>
      <c r="F61" s="8">
        <f t="shared" si="308"/>
        <v>1704000</v>
      </c>
      <c r="G61" s="8">
        <f t="shared" si="308"/>
        <v>1719000</v>
      </c>
      <c r="H61" s="8">
        <f t="shared" ref="H61:O61" si="309">+I61-20000</f>
        <v>1734000</v>
      </c>
      <c r="I61" s="8">
        <f t="shared" si="309"/>
        <v>1754000</v>
      </c>
      <c r="J61" s="8">
        <f t="shared" si="309"/>
        <v>1774000</v>
      </c>
      <c r="K61" s="8">
        <f t="shared" si="309"/>
        <v>1794000</v>
      </c>
      <c r="L61" s="8">
        <f t="shared" si="309"/>
        <v>1814000</v>
      </c>
      <c r="M61" s="8">
        <f t="shared" si="309"/>
        <v>1834000</v>
      </c>
      <c r="N61" s="8">
        <f t="shared" si="309"/>
        <v>1854000</v>
      </c>
      <c r="O61" s="8">
        <f t="shared" si="309"/>
        <v>1874000</v>
      </c>
      <c r="P61" s="8">
        <v>1894000</v>
      </c>
      <c r="Q61" s="8">
        <v>2200000</v>
      </c>
      <c r="R61" s="8">
        <f>+Q61+100000</f>
        <v>2300000</v>
      </c>
      <c r="S61" s="8">
        <f>+R61+300000</f>
        <v>2600000</v>
      </c>
      <c r="T61" s="8">
        <f t="shared" ref="T61" si="310">+S61+100000</f>
        <v>2700000</v>
      </c>
      <c r="U61" s="8">
        <f>+T61+200000</f>
        <v>2900000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100000</v>
      </c>
      <c r="AB61" s="8">
        <v>200000</v>
      </c>
      <c r="AC61" s="8">
        <v>754000</v>
      </c>
      <c r="AD61" s="8">
        <f>+AC61+30000</f>
        <v>784000</v>
      </c>
      <c r="AE61" s="8">
        <f>+AD61+30000</f>
        <v>814000</v>
      </c>
      <c r="AF61" s="8">
        <f>+AE61+25000</f>
        <v>839000</v>
      </c>
      <c r="AG61" s="8">
        <f t="shared" ref="AG61:AH61" si="311">+AF61+25000</f>
        <v>864000</v>
      </c>
      <c r="AH61" s="8">
        <f t="shared" si="311"/>
        <v>889000</v>
      </c>
      <c r="AI61" s="8">
        <f>+AH61+30000</f>
        <v>919000</v>
      </c>
      <c r="AJ61" s="8">
        <v>919000</v>
      </c>
      <c r="AK61" s="8">
        <v>919000</v>
      </c>
      <c r="AL61" s="8">
        <v>919000</v>
      </c>
      <c r="AM61" s="8">
        <f>+AL61+5000</f>
        <v>924000</v>
      </c>
      <c r="AN61" s="8">
        <v>949000</v>
      </c>
      <c r="AO61" s="26">
        <f t="shared" si="23"/>
        <v>3143000</v>
      </c>
      <c r="AP61" s="16">
        <f t="shared" si="24"/>
        <v>14770</v>
      </c>
      <c r="AQ61" s="16">
        <f t="shared" si="25"/>
        <v>15420</v>
      </c>
      <c r="AR61" s="16">
        <f t="shared" si="26"/>
        <v>17070</v>
      </c>
      <c r="AS61" s="16">
        <f t="shared" si="27"/>
        <v>17695</v>
      </c>
      <c r="AT61" s="16">
        <f t="shared" si="28"/>
        <v>18820</v>
      </c>
      <c r="AU61" s="16">
        <f t="shared" si="29"/>
        <v>4445</v>
      </c>
      <c r="AV61" s="16">
        <f t="shared" si="30"/>
        <v>4595</v>
      </c>
      <c r="AW61" s="16">
        <f t="shared" si="31"/>
        <v>4595</v>
      </c>
      <c r="AX61" s="16">
        <f t="shared" si="32"/>
        <v>4595</v>
      </c>
      <c r="AY61" s="16">
        <f t="shared" si="33"/>
        <v>4595</v>
      </c>
      <c r="AZ61" s="16">
        <f t="shared" si="34"/>
        <v>5120</v>
      </c>
      <c r="BA61" s="16">
        <f t="shared" si="35"/>
        <v>5745</v>
      </c>
      <c r="BB61" s="16">
        <v>0</v>
      </c>
      <c r="BC61" s="8">
        <v>0</v>
      </c>
      <c r="BD61" s="16">
        <f t="shared" si="258"/>
        <v>117465</v>
      </c>
      <c r="BE61" s="23">
        <f t="shared" si="188"/>
        <v>8406.4250589621097</v>
      </c>
      <c r="BF61" s="23">
        <f t="shared" si="189"/>
        <v>7867.8320839117632</v>
      </c>
      <c r="BG61" s="23">
        <f t="shared" si="190"/>
        <v>26299.916652017073</v>
      </c>
      <c r="BH61" s="23">
        <f t="shared" si="191"/>
        <v>43015.562511173215</v>
      </c>
      <c r="BI61" s="23">
        <f t="shared" si="192"/>
        <v>34239.089353748059</v>
      </c>
      <c r="BJ61" s="23">
        <f t="shared" si="193"/>
        <v>17261.038515410168</v>
      </c>
      <c r="BK61" s="23">
        <f t="shared" si="194"/>
        <v>12174.90684093866</v>
      </c>
      <c r="BL61" s="23">
        <f t="shared" si="195"/>
        <v>21523.403161018592</v>
      </c>
      <c r="BM61" s="23">
        <f t="shared" si="196"/>
        <v>22017.868362480542</v>
      </c>
      <c r="BN61" s="23">
        <f t="shared" si="197"/>
        <v>18534.984986289739</v>
      </c>
      <c r="BO61" s="23">
        <f t="shared" si="198"/>
        <v>13980.895798943971</v>
      </c>
      <c r="BP61" s="23">
        <f t="shared" si="199"/>
        <v>12821.42939300107</v>
      </c>
      <c r="BQ61" s="22">
        <f t="shared" si="37"/>
        <v>238143.35271789497</v>
      </c>
      <c r="BR61" s="8">
        <f t="shared" si="200"/>
        <v>0</v>
      </c>
      <c r="BS61" s="8">
        <f t="shared" si="38"/>
        <v>238143.35271789497</v>
      </c>
      <c r="BT61" s="8">
        <f t="shared" si="201"/>
        <v>355608.35271789494</v>
      </c>
      <c r="BU61" s="6">
        <f t="shared" si="273"/>
        <v>3043000</v>
      </c>
      <c r="BX61" s="126"/>
    </row>
    <row r="62" spans="1:76" s="110" customFormat="1" ht="13.5" customHeight="1" x14ac:dyDescent="0.2">
      <c r="A62" s="24">
        <v>55</v>
      </c>
      <c r="B62" s="24">
        <v>82</v>
      </c>
      <c r="C62" s="25" t="s">
        <v>64</v>
      </c>
      <c r="D62" s="26">
        <v>100000</v>
      </c>
      <c r="E62" s="26">
        <f t="shared" ref="E62:G62" si="312">+F62-15000</f>
        <v>1699000</v>
      </c>
      <c r="F62" s="26">
        <f t="shared" si="312"/>
        <v>1714000</v>
      </c>
      <c r="G62" s="26">
        <f t="shared" si="312"/>
        <v>1729000</v>
      </c>
      <c r="H62" s="26">
        <f t="shared" ref="H62:O62" si="313">+I62-20000</f>
        <v>1744000</v>
      </c>
      <c r="I62" s="26">
        <f t="shared" si="313"/>
        <v>1764000</v>
      </c>
      <c r="J62" s="26">
        <f t="shared" si="313"/>
        <v>1784000</v>
      </c>
      <c r="K62" s="26">
        <f t="shared" si="313"/>
        <v>1804000</v>
      </c>
      <c r="L62" s="26">
        <f t="shared" si="313"/>
        <v>1824000</v>
      </c>
      <c r="M62" s="26">
        <f t="shared" si="313"/>
        <v>1844000</v>
      </c>
      <c r="N62" s="26">
        <f t="shared" si="313"/>
        <v>1864000</v>
      </c>
      <c r="O62" s="26">
        <f t="shared" si="313"/>
        <v>1884000</v>
      </c>
      <c r="P62" s="26">
        <v>1904000</v>
      </c>
      <c r="Q62" s="26">
        <v>145000</v>
      </c>
      <c r="R62" s="26">
        <f>+Q62+15000</f>
        <v>160000</v>
      </c>
      <c r="S62" s="26">
        <f t="shared" ref="S62:Z62" si="314">+R62+15000</f>
        <v>175000</v>
      </c>
      <c r="T62" s="26">
        <f t="shared" si="314"/>
        <v>190000</v>
      </c>
      <c r="U62" s="26">
        <f>+T62+30000</f>
        <v>220000</v>
      </c>
      <c r="V62" s="26">
        <v>0</v>
      </c>
      <c r="W62" s="26">
        <f t="shared" si="314"/>
        <v>15000</v>
      </c>
      <c r="X62" s="26">
        <f t="shared" si="314"/>
        <v>30000</v>
      </c>
      <c r="Y62" s="26">
        <f>+X62+30000</f>
        <v>60000</v>
      </c>
      <c r="Z62" s="26">
        <f t="shared" si="314"/>
        <v>75000</v>
      </c>
      <c r="AA62" s="26">
        <f>+Z62+30000</f>
        <v>105000</v>
      </c>
      <c r="AB62" s="26">
        <v>135000</v>
      </c>
      <c r="AC62" s="26">
        <v>7618000</v>
      </c>
      <c r="AD62" s="26">
        <f>+AC62+15000</f>
        <v>7633000</v>
      </c>
      <c r="AE62" s="26">
        <f>+AD62+15000-5000000</f>
        <v>2648000</v>
      </c>
      <c r="AF62" s="26">
        <f t="shared" ref="AF62:AL62" si="315">+AE62+15000</f>
        <v>2663000</v>
      </c>
      <c r="AG62" s="26">
        <f>+AF62+250000</f>
        <v>2913000</v>
      </c>
      <c r="AH62" s="26">
        <f>+AG62+250000</f>
        <v>3163000</v>
      </c>
      <c r="AI62" s="26">
        <f t="shared" si="315"/>
        <v>3178000</v>
      </c>
      <c r="AJ62" s="26">
        <f t="shared" si="315"/>
        <v>3193000</v>
      </c>
      <c r="AK62" s="26">
        <f>+AJ62+1750000</f>
        <v>4943000</v>
      </c>
      <c r="AL62" s="26">
        <f t="shared" si="315"/>
        <v>4958000</v>
      </c>
      <c r="AM62" s="26">
        <f>+AL62+150000</f>
        <v>5108000</v>
      </c>
      <c r="AN62" s="26">
        <v>5308000</v>
      </c>
      <c r="AO62" s="26">
        <f t="shared" si="23"/>
        <v>7447000</v>
      </c>
      <c r="AP62" s="27">
        <f t="shared" si="24"/>
        <v>38815</v>
      </c>
      <c r="AQ62" s="27">
        <f t="shared" si="25"/>
        <v>38965</v>
      </c>
      <c r="AR62" s="27">
        <f t="shared" si="26"/>
        <v>14115</v>
      </c>
      <c r="AS62" s="27">
        <f t="shared" si="27"/>
        <v>14265</v>
      </c>
      <c r="AT62" s="27">
        <f t="shared" si="28"/>
        <v>15665</v>
      </c>
      <c r="AU62" s="27">
        <f t="shared" si="29"/>
        <v>15815</v>
      </c>
      <c r="AV62" s="27">
        <f t="shared" si="30"/>
        <v>15965</v>
      </c>
      <c r="AW62" s="27">
        <f t="shared" si="31"/>
        <v>16115</v>
      </c>
      <c r="AX62" s="27">
        <f t="shared" si="32"/>
        <v>25015</v>
      </c>
      <c r="AY62" s="27">
        <f t="shared" si="33"/>
        <v>25165</v>
      </c>
      <c r="AZ62" s="27">
        <f t="shared" si="34"/>
        <v>26065</v>
      </c>
      <c r="BA62" s="27">
        <f t="shared" si="35"/>
        <v>27215</v>
      </c>
      <c r="BB62" s="27">
        <v>0</v>
      </c>
      <c r="BC62" s="26">
        <v>0</v>
      </c>
      <c r="BD62" s="27">
        <f t="shared" si="258"/>
        <v>273180</v>
      </c>
      <c r="BE62" s="28">
        <f t="shared" si="188"/>
        <v>16947.551426058548</v>
      </c>
      <c r="BF62" s="28">
        <f t="shared" si="189"/>
        <v>15463.638058539344</v>
      </c>
      <c r="BG62" s="28">
        <f t="shared" si="190"/>
        <v>23379.93737152368</v>
      </c>
      <c r="BH62" s="28">
        <f t="shared" si="191"/>
        <v>37603.591497297712</v>
      </c>
      <c r="BI62" s="28">
        <f t="shared" si="192"/>
        <v>30454.384033584734</v>
      </c>
      <c r="BJ62" s="28">
        <f t="shared" si="193"/>
        <v>31529.663911427837</v>
      </c>
      <c r="BK62" s="28">
        <f t="shared" si="194"/>
        <v>22060.256014313669</v>
      </c>
      <c r="BL62" s="28">
        <f t="shared" si="195"/>
        <v>39103.761408317223</v>
      </c>
      <c r="BM62" s="28">
        <f t="shared" si="196"/>
        <v>53613.085003207969</v>
      </c>
      <c r="BN62" s="28">
        <f t="shared" si="197"/>
        <v>45140.720483490884</v>
      </c>
      <c r="BO62" s="28">
        <f t="shared" si="198"/>
        <v>33562.544051033939</v>
      </c>
      <c r="BP62" s="28">
        <f t="shared" si="199"/>
        <v>30378.996083257705</v>
      </c>
      <c r="BQ62" s="29">
        <f t="shared" si="37"/>
        <v>379238.12934205332</v>
      </c>
      <c r="BR62" s="26">
        <f t="shared" si="200"/>
        <v>0</v>
      </c>
      <c r="BS62" s="26">
        <f t="shared" si="38"/>
        <v>379238.12934205332</v>
      </c>
      <c r="BT62" s="26">
        <f t="shared" si="201"/>
        <v>652418.12934205332</v>
      </c>
      <c r="BU62" s="111">
        <f>AO62-100000</f>
        <v>7347000</v>
      </c>
      <c r="BV62" s="110">
        <v>55</v>
      </c>
      <c r="BX62" s="126"/>
    </row>
    <row r="63" spans="1:76" s="110" customFormat="1" ht="13.5" customHeight="1" x14ac:dyDescent="0.2">
      <c r="A63" s="24">
        <v>56</v>
      </c>
      <c r="B63" s="24">
        <v>83</v>
      </c>
      <c r="C63" s="25" t="s">
        <v>65</v>
      </c>
      <c r="D63" s="26">
        <v>100000</v>
      </c>
      <c r="E63" s="26">
        <f t="shared" ref="E63:G63" si="316">+F63-15000</f>
        <v>1686000</v>
      </c>
      <c r="F63" s="26">
        <f t="shared" si="316"/>
        <v>1701000</v>
      </c>
      <c r="G63" s="26">
        <f t="shared" si="316"/>
        <v>1716000</v>
      </c>
      <c r="H63" s="26">
        <f t="shared" ref="H63:O63" si="317">+I63-20000</f>
        <v>1731000</v>
      </c>
      <c r="I63" s="26">
        <f t="shared" si="317"/>
        <v>1751000</v>
      </c>
      <c r="J63" s="26">
        <f t="shared" si="317"/>
        <v>1771000</v>
      </c>
      <c r="K63" s="26">
        <f t="shared" si="317"/>
        <v>1791000</v>
      </c>
      <c r="L63" s="26">
        <f t="shared" si="317"/>
        <v>1811000</v>
      </c>
      <c r="M63" s="26">
        <f t="shared" si="317"/>
        <v>1831000</v>
      </c>
      <c r="N63" s="26">
        <f t="shared" si="317"/>
        <v>1851000</v>
      </c>
      <c r="O63" s="26">
        <f t="shared" si="317"/>
        <v>1871000</v>
      </c>
      <c r="P63" s="26">
        <v>1891000</v>
      </c>
      <c r="Q63" s="26">
        <v>400000</v>
      </c>
      <c r="R63" s="26">
        <f>+Q63+20000</f>
        <v>420000</v>
      </c>
      <c r="S63" s="26">
        <f>+R63+50000</f>
        <v>470000</v>
      </c>
      <c r="T63" s="26">
        <f t="shared" ref="T63:AA63" si="318">+S63+50000</f>
        <v>520000</v>
      </c>
      <c r="U63" s="26">
        <f t="shared" si="318"/>
        <v>570000</v>
      </c>
      <c r="V63" s="26">
        <v>0</v>
      </c>
      <c r="W63" s="26">
        <f t="shared" si="318"/>
        <v>50000</v>
      </c>
      <c r="X63" s="26">
        <f t="shared" si="318"/>
        <v>100000</v>
      </c>
      <c r="Y63" s="26">
        <f t="shared" si="318"/>
        <v>150000</v>
      </c>
      <c r="Z63" s="26">
        <f t="shared" si="318"/>
        <v>200000</v>
      </c>
      <c r="AA63" s="26">
        <f t="shared" si="318"/>
        <v>250000</v>
      </c>
      <c r="AB63" s="26">
        <v>300000</v>
      </c>
      <c r="AC63" s="26">
        <v>344500</v>
      </c>
      <c r="AD63" s="26">
        <f>+AC63+10000</f>
        <v>354500</v>
      </c>
      <c r="AE63" s="26">
        <f t="shared" ref="AE63:AM63" si="319">+AD63+20000</f>
        <v>374500</v>
      </c>
      <c r="AF63" s="26">
        <f>+AE63+15000</f>
        <v>389500</v>
      </c>
      <c r="AG63" s="26">
        <f t="shared" si="319"/>
        <v>409500</v>
      </c>
      <c r="AH63" s="26">
        <f t="shared" si="319"/>
        <v>429500</v>
      </c>
      <c r="AI63" s="26">
        <f t="shared" si="319"/>
        <v>449500</v>
      </c>
      <c r="AJ63" s="26">
        <f t="shared" si="319"/>
        <v>469500</v>
      </c>
      <c r="AK63" s="26">
        <f t="shared" si="319"/>
        <v>489500</v>
      </c>
      <c r="AL63" s="26">
        <f t="shared" si="319"/>
        <v>509500</v>
      </c>
      <c r="AM63" s="26">
        <f t="shared" si="319"/>
        <v>529500</v>
      </c>
      <c r="AN63" s="26">
        <v>549500</v>
      </c>
      <c r="AO63" s="26">
        <f t="shared" si="23"/>
        <v>2840500</v>
      </c>
      <c r="AP63" s="27">
        <f t="shared" si="24"/>
        <v>3722.5</v>
      </c>
      <c r="AQ63" s="27">
        <f t="shared" si="25"/>
        <v>3872.5</v>
      </c>
      <c r="AR63" s="27">
        <f t="shared" si="26"/>
        <v>4222.5</v>
      </c>
      <c r="AS63" s="27">
        <f t="shared" si="27"/>
        <v>4547.5</v>
      </c>
      <c r="AT63" s="27">
        <f t="shared" si="28"/>
        <v>4897.5</v>
      </c>
      <c r="AU63" s="27">
        <f t="shared" si="29"/>
        <v>2147.5</v>
      </c>
      <c r="AV63" s="27">
        <f t="shared" si="30"/>
        <v>2497.5</v>
      </c>
      <c r="AW63" s="27">
        <f t="shared" si="31"/>
        <v>2847.5</v>
      </c>
      <c r="AX63" s="27">
        <f t="shared" si="32"/>
        <v>3197.5</v>
      </c>
      <c r="AY63" s="27">
        <f t="shared" si="33"/>
        <v>3547.5</v>
      </c>
      <c r="AZ63" s="27">
        <f t="shared" si="34"/>
        <v>3897.5</v>
      </c>
      <c r="BA63" s="27">
        <f t="shared" si="35"/>
        <v>4247.5</v>
      </c>
      <c r="BB63" s="27">
        <v>900000</v>
      </c>
      <c r="BC63" s="26">
        <v>2500000</v>
      </c>
      <c r="BD63" s="27">
        <f t="shared" si="258"/>
        <v>43645</v>
      </c>
      <c r="BE63" s="28">
        <f t="shared" si="188"/>
        <v>4485.021845183137</v>
      </c>
      <c r="BF63" s="28">
        <f t="shared" si="189"/>
        <v>4145.5813281740475</v>
      </c>
      <c r="BG63" s="28">
        <f t="shared" si="190"/>
        <v>13371.092729350548</v>
      </c>
      <c r="BH63" s="28">
        <f t="shared" si="191"/>
        <v>21940.098466754178</v>
      </c>
      <c r="BI63" s="28">
        <f t="shared" si="192"/>
        <v>17250.57714770094</v>
      </c>
      <c r="BJ63" s="28">
        <f t="shared" si="193"/>
        <v>14371.704344806763</v>
      </c>
      <c r="BK63" s="28">
        <f t="shared" si="194"/>
        <v>10346.290367317408</v>
      </c>
      <c r="BL63" s="28">
        <f t="shared" si="195"/>
        <v>18845.323523087405</v>
      </c>
      <c r="BM63" s="28">
        <f t="shared" si="196"/>
        <v>19837.690370051256</v>
      </c>
      <c r="BN63" s="28">
        <f t="shared" si="197"/>
        <v>17164.054144108548</v>
      </c>
      <c r="BO63" s="28">
        <f t="shared" si="198"/>
        <v>12826.702433287322</v>
      </c>
      <c r="BP63" s="28">
        <f t="shared" si="199"/>
        <v>11587.422905128711</v>
      </c>
      <c r="BQ63" s="29">
        <f t="shared" si="37"/>
        <v>166171.55960495025</v>
      </c>
      <c r="BR63" s="26">
        <f t="shared" si="200"/>
        <v>196549.17656257635</v>
      </c>
      <c r="BS63" s="26">
        <f t="shared" si="38"/>
        <v>362720.73616752657</v>
      </c>
      <c r="BT63" s="26">
        <f t="shared" si="201"/>
        <v>406365.73616752657</v>
      </c>
      <c r="BU63" s="111">
        <f>AO63-100000</f>
        <v>2740500</v>
      </c>
      <c r="BV63" s="110">
        <v>56</v>
      </c>
      <c r="BX63" s="126"/>
    </row>
    <row r="64" spans="1:76" s="110" customFormat="1" ht="13.5" customHeight="1" x14ac:dyDescent="0.2">
      <c r="A64" s="24">
        <v>57</v>
      </c>
      <c r="B64" s="24">
        <v>88</v>
      </c>
      <c r="C64" s="25" t="s">
        <v>66</v>
      </c>
      <c r="D64" s="26">
        <v>100000</v>
      </c>
      <c r="E64" s="26">
        <f t="shared" ref="E64:G64" si="320">+F64-15000</f>
        <v>1694000</v>
      </c>
      <c r="F64" s="26">
        <f t="shared" si="320"/>
        <v>1709000</v>
      </c>
      <c r="G64" s="26">
        <f t="shared" si="320"/>
        <v>1724000</v>
      </c>
      <c r="H64" s="26">
        <f t="shared" ref="H64:O64" si="321">+I64-20000</f>
        <v>1739000</v>
      </c>
      <c r="I64" s="26">
        <f t="shared" si="321"/>
        <v>1759000</v>
      </c>
      <c r="J64" s="26">
        <f t="shared" si="321"/>
        <v>1779000</v>
      </c>
      <c r="K64" s="26">
        <f t="shared" si="321"/>
        <v>1799000</v>
      </c>
      <c r="L64" s="26">
        <f t="shared" si="321"/>
        <v>1819000</v>
      </c>
      <c r="M64" s="26">
        <f t="shared" si="321"/>
        <v>1839000</v>
      </c>
      <c r="N64" s="26">
        <f t="shared" si="321"/>
        <v>1859000</v>
      </c>
      <c r="O64" s="26">
        <f t="shared" si="321"/>
        <v>1879000</v>
      </c>
      <c r="P64" s="26">
        <v>1899000</v>
      </c>
      <c r="Q64" s="26">
        <v>155000</v>
      </c>
      <c r="R64" s="26">
        <f>+Q64+20000</f>
        <v>175000</v>
      </c>
      <c r="S64" s="26">
        <f t="shared" ref="S64:AA64" si="322">+R64+30000</f>
        <v>205000</v>
      </c>
      <c r="T64" s="26">
        <v>205000</v>
      </c>
      <c r="U64" s="26">
        <v>205000</v>
      </c>
      <c r="V64" s="26">
        <v>0</v>
      </c>
      <c r="W64" s="26">
        <f>+V64+50000</f>
        <v>50000</v>
      </c>
      <c r="X64" s="26">
        <f t="shared" ref="X64:Y64" si="323">+W64+50000</f>
        <v>100000</v>
      </c>
      <c r="Y64" s="26">
        <f t="shared" si="323"/>
        <v>150000</v>
      </c>
      <c r="Z64" s="26">
        <f t="shared" si="322"/>
        <v>180000</v>
      </c>
      <c r="AA64" s="26">
        <f t="shared" si="322"/>
        <v>210000</v>
      </c>
      <c r="AB64" s="26">
        <v>240000</v>
      </c>
      <c r="AC64" s="26">
        <v>15000</v>
      </c>
      <c r="AD64" s="26">
        <v>15000</v>
      </c>
      <c r="AE64" s="26">
        <v>15000</v>
      </c>
      <c r="AF64" s="26">
        <v>15000</v>
      </c>
      <c r="AG64" s="26">
        <v>15000</v>
      </c>
      <c r="AH64" s="26">
        <v>15000</v>
      </c>
      <c r="AI64" s="26">
        <v>15000</v>
      </c>
      <c r="AJ64" s="26">
        <v>15000</v>
      </c>
      <c r="AK64" s="26">
        <v>15000</v>
      </c>
      <c r="AL64" s="26">
        <v>15000</v>
      </c>
      <c r="AM64" s="26">
        <v>15000</v>
      </c>
      <c r="AN64" s="26">
        <v>15000</v>
      </c>
      <c r="AO64" s="26">
        <f t="shared" si="23"/>
        <v>2254000</v>
      </c>
      <c r="AP64" s="27">
        <f t="shared" si="24"/>
        <v>850</v>
      </c>
      <c r="AQ64" s="27">
        <f t="shared" si="25"/>
        <v>950</v>
      </c>
      <c r="AR64" s="27">
        <f t="shared" si="26"/>
        <v>1100</v>
      </c>
      <c r="AS64" s="27">
        <f t="shared" si="27"/>
        <v>1100</v>
      </c>
      <c r="AT64" s="27">
        <f t="shared" si="28"/>
        <v>1100</v>
      </c>
      <c r="AU64" s="27">
        <f t="shared" si="29"/>
        <v>75</v>
      </c>
      <c r="AV64" s="27">
        <f t="shared" si="30"/>
        <v>325</v>
      </c>
      <c r="AW64" s="27">
        <f t="shared" si="31"/>
        <v>575</v>
      </c>
      <c r="AX64" s="27">
        <f t="shared" si="32"/>
        <v>825</v>
      </c>
      <c r="AY64" s="27">
        <f t="shared" si="33"/>
        <v>975</v>
      </c>
      <c r="AZ64" s="27">
        <f t="shared" si="34"/>
        <v>1125</v>
      </c>
      <c r="BA64" s="27">
        <f t="shared" si="35"/>
        <v>1275</v>
      </c>
      <c r="BB64" s="27">
        <v>150000</v>
      </c>
      <c r="BC64" s="26">
        <v>3000000</v>
      </c>
      <c r="BD64" s="27">
        <f t="shared" si="258"/>
        <v>10275</v>
      </c>
      <c r="BE64" s="28">
        <f t="shared" si="188"/>
        <v>3480.9653838923855</v>
      </c>
      <c r="BF64" s="28">
        <f t="shared" si="189"/>
        <v>3217.6342749058131</v>
      </c>
      <c r="BG64" s="28">
        <f t="shared" si="190"/>
        <v>10272.698191615305</v>
      </c>
      <c r="BH64" s="28">
        <f t="shared" si="191"/>
        <v>16484.095144333827</v>
      </c>
      <c r="BI64" s="28">
        <f t="shared" si="192"/>
        <v>12670.535202285904</v>
      </c>
      <c r="BJ64" s="28">
        <f t="shared" si="193"/>
        <v>11832.21387918453</v>
      </c>
      <c r="BK64" s="28">
        <f t="shared" si="194"/>
        <v>8500.3615483837639</v>
      </c>
      <c r="BL64" s="28">
        <f t="shared" si="195"/>
        <v>15453.089315041234</v>
      </c>
      <c r="BM64" s="28">
        <f t="shared" si="196"/>
        <v>16237.502640960063</v>
      </c>
      <c r="BN64" s="28">
        <f t="shared" si="197"/>
        <v>13896.400160274312</v>
      </c>
      <c r="BO64" s="28">
        <f t="shared" si="198"/>
        <v>10278.150213766681</v>
      </c>
      <c r="BP64" s="28">
        <f t="shared" si="199"/>
        <v>9194.8780947580053</v>
      </c>
      <c r="BQ64" s="29">
        <f t="shared" si="37"/>
        <v>131518.52404940181</v>
      </c>
      <c r="BR64" s="26">
        <f t="shared" si="200"/>
        <v>32758.196093762726</v>
      </c>
      <c r="BS64" s="26">
        <f t="shared" si="38"/>
        <v>164276.72014316454</v>
      </c>
      <c r="BT64" s="26">
        <f t="shared" si="201"/>
        <v>174551.72014316454</v>
      </c>
      <c r="BU64" s="111">
        <f t="shared" ref="BU64:BU71" si="324">AO64-100000</f>
        <v>2154000</v>
      </c>
      <c r="BV64" s="110">
        <v>57</v>
      </c>
      <c r="BX64" s="126"/>
    </row>
    <row r="65" spans="1:82" ht="13.5" customHeight="1" x14ac:dyDescent="0.2">
      <c r="A65" s="15">
        <v>58</v>
      </c>
      <c r="B65" s="15">
        <v>95</v>
      </c>
      <c r="C65" s="14" t="s">
        <v>67</v>
      </c>
      <c r="D65" s="8">
        <v>100000</v>
      </c>
      <c r="E65" s="8">
        <f t="shared" ref="E65:G65" si="325">+F65-15000</f>
        <v>1699000</v>
      </c>
      <c r="F65" s="8">
        <f t="shared" si="325"/>
        <v>1714000</v>
      </c>
      <c r="G65" s="8">
        <f t="shared" si="325"/>
        <v>1729000</v>
      </c>
      <c r="H65" s="8">
        <f t="shared" ref="H65:O65" si="326">+I65-20000</f>
        <v>1744000</v>
      </c>
      <c r="I65" s="8">
        <f t="shared" si="326"/>
        <v>1764000</v>
      </c>
      <c r="J65" s="8">
        <f t="shared" si="326"/>
        <v>1784000</v>
      </c>
      <c r="K65" s="8">
        <f t="shared" si="326"/>
        <v>1804000</v>
      </c>
      <c r="L65" s="8">
        <f t="shared" si="326"/>
        <v>1824000</v>
      </c>
      <c r="M65" s="8">
        <f t="shared" si="326"/>
        <v>1844000</v>
      </c>
      <c r="N65" s="8">
        <f t="shared" si="326"/>
        <v>1864000</v>
      </c>
      <c r="O65" s="8">
        <f t="shared" si="326"/>
        <v>1884000</v>
      </c>
      <c r="P65" s="8">
        <v>1904000</v>
      </c>
      <c r="Q65" s="8">
        <v>1500000</v>
      </c>
      <c r="R65" s="8">
        <f>+Q65+250000</f>
        <v>1750000</v>
      </c>
      <c r="S65" s="8">
        <f t="shared" ref="S65:X65" si="327">+R65+250000</f>
        <v>2000000</v>
      </c>
      <c r="T65" s="8">
        <f t="shared" si="327"/>
        <v>2250000</v>
      </c>
      <c r="U65" s="8">
        <f t="shared" si="327"/>
        <v>2500000</v>
      </c>
      <c r="V65" s="8">
        <v>0</v>
      </c>
      <c r="W65" s="8">
        <f t="shared" si="327"/>
        <v>250000</v>
      </c>
      <c r="X65" s="8">
        <f t="shared" si="327"/>
        <v>500000</v>
      </c>
      <c r="Y65" s="8">
        <f>+X65+300000</f>
        <v>800000</v>
      </c>
      <c r="Z65" s="8">
        <f t="shared" ref="Z65:AA65" si="328">+Y65+300000</f>
        <v>1100000</v>
      </c>
      <c r="AA65" s="8">
        <f t="shared" si="328"/>
        <v>1400000</v>
      </c>
      <c r="AB65" s="8">
        <v>1700000</v>
      </c>
      <c r="AC65" s="8">
        <v>785000</v>
      </c>
      <c r="AD65" s="8">
        <f>+AC65+35000</f>
        <v>820000</v>
      </c>
      <c r="AE65" s="8">
        <f t="shared" ref="AE65:AJ65" si="329">+AD65+35000</f>
        <v>855000</v>
      </c>
      <c r="AF65" s="8">
        <f t="shared" si="329"/>
        <v>890000</v>
      </c>
      <c r="AG65" s="8">
        <f t="shared" si="329"/>
        <v>925000</v>
      </c>
      <c r="AH65" s="8">
        <f>+AG65+35000-900000</f>
        <v>60000</v>
      </c>
      <c r="AI65" s="8">
        <f t="shared" si="329"/>
        <v>95000</v>
      </c>
      <c r="AJ65" s="8">
        <f t="shared" si="329"/>
        <v>130000</v>
      </c>
      <c r="AK65" s="8">
        <f>+AJ65+200000</f>
        <v>330000</v>
      </c>
      <c r="AL65" s="8">
        <f t="shared" ref="AL65:AM65" si="330">+AK65+200000</f>
        <v>530000</v>
      </c>
      <c r="AM65" s="8">
        <f t="shared" si="330"/>
        <v>730000</v>
      </c>
      <c r="AN65" s="8">
        <v>630000</v>
      </c>
      <c r="AO65" s="8">
        <f t="shared" si="23"/>
        <v>4334000</v>
      </c>
      <c r="AP65" s="16">
        <f t="shared" si="24"/>
        <v>11425</v>
      </c>
      <c r="AQ65" s="16">
        <f t="shared" si="25"/>
        <v>12850</v>
      </c>
      <c r="AR65" s="16">
        <f t="shared" si="26"/>
        <v>14275</v>
      </c>
      <c r="AS65" s="16">
        <f t="shared" si="27"/>
        <v>15700</v>
      </c>
      <c r="AT65" s="16">
        <f t="shared" si="28"/>
        <v>17125</v>
      </c>
      <c r="AU65" s="16">
        <f t="shared" si="29"/>
        <v>300</v>
      </c>
      <c r="AV65" s="16">
        <f t="shared" si="30"/>
        <v>1725</v>
      </c>
      <c r="AW65" s="16">
        <f t="shared" si="31"/>
        <v>3150</v>
      </c>
      <c r="AX65" s="16">
        <f t="shared" si="32"/>
        <v>5650</v>
      </c>
      <c r="AY65" s="16">
        <f t="shared" si="33"/>
        <v>8150</v>
      </c>
      <c r="AZ65" s="16">
        <f t="shared" si="34"/>
        <v>10650</v>
      </c>
      <c r="BA65" s="16">
        <f t="shared" si="35"/>
        <v>11650</v>
      </c>
      <c r="BB65" s="16">
        <v>675000</v>
      </c>
      <c r="BC65" s="8">
        <v>2750000</v>
      </c>
      <c r="BD65" s="16">
        <f t="shared" si="258"/>
        <v>112650</v>
      </c>
      <c r="BE65" s="23">
        <f t="shared" si="188"/>
        <v>7238.4229265868144</v>
      </c>
      <c r="BF65" s="23">
        <f t="shared" si="189"/>
        <v>7056.5826219044948</v>
      </c>
      <c r="BG65" s="23">
        <f t="shared" si="190"/>
        <v>23540.762392136054</v>
      </c>
      <c r="BH65" s="23">
        <f t="shared" si="191"/>
        <v>39901.277415910532</v>
      </c>
      <c r="BI65" s="23">
        <f t="shared" si="192"/>
        <v>32233.987823419986</v>
      </c>
      <c r="BJ65" s="23">
        <f t="shared" si="193"/>
        <v>12144.574330060574</v>
      </c>
      <c r="BK65" s="23">
        <f t="shared" si="194"/>
        <v>9733.8661518915906</v>
      </c>
      <c r="BL65" s="23">
        <f t="shared" si="195"/>
        <v>19403.73161780497</v>
      </c>
      <c r="BM65" s="23">
        <f t="shared" si="196"/>
        <v>23723.423535319031</v>
      </c>
      <c r="BN65" s="23">
        <f t="shared" si="197"/>
        <v>23186.472690819814</v>
      </c>
      <c r="BO65" s="23">
        <f t="shared" si="198"/>
        <v>19185.258611359404</v>
      </c>
      <c r="BP65" s="23">
        <f t="shared" si="199"/>
        <v>17679.947498971251</v>
      </c>
      <c r="BQ65" s="22">
        <f t="shared" si="37"/>
        <v>235028.30761618452</v>
      </c>
      <c r="BR65" s="8">
        <f t="shared" si="200"/>
        <v>147411.88242193227</v>
      </c>
      <c r="BS65" s="8">
        <f t="shared" si="38"/>
        <v>382440.19003811677</v>
      </c>
      <c r="BT65" s="8">
        <f t="shared" si="201"/>
        <v>495090.19003811677</v>
      </c>
      <c r="BU65" s="6">
        <f t="shared" si="324"/>
        <v>4234000</v>
      </c>
      <c r="BX65" s="126"/>
    </row>
    <row r="66" spans="1:82" s="110" customFormat="1" ht="13.5" customHeight="1" x14ac:dyDescent="0.2">
      <c r="A66" s="24">
        <v>59</v>
      </c>
      <c r="B66" s="24">
        <v>98</v>
      </c>
      <c r="C66" s="25" t="s">
        <v>68</v>
      </c>
      <c r="D66" s="26">
        <v>100000</v>
      </c>
      <c r="E66" s="26">
        <f t="shared" ref="E66:G66" si="331">+F66-15000</f>
        <v>1699000</v>
      </c>
      <c r="F66" s="26">
        <f t="shared" si="331"/>
        <v>1714000</v>
      </c>
      <c r="G66" s="26">
        <f t="shared" si="331"/>
        <v>1729000</v>
      </c>
      <c r="H66" s="26">
        <f t="shared" ref="H66:O66" si="332">+I66-20000</f>
        <v>1744000</v>
      </c>
      <c r="I66" s="26">
        <f t="shared" si="332"/>
        <v>1764000</v>
      </c>
      <c r="J66" s="26">
        <f t="shared" si="332"/>
        <v>1784000</v>
      </c>
      <c r="K66" s="26">
        <f t="shared" si="332"/>
        <v>1804000</v>
      </c>
      <c r="L66" s="26">
        <f t="shared" si="332"/>
        <v>1824000</v>
      </c>
      <c r="M66" s="26">
        <f t="shared" si="332"/>
        <v>1844000</v>
      </c>
      <c r="N66" s="26">
        <f t="shared" si="332"/>
        <v>1864000</v>
      </c>
      <c r="O66" s="26">
        <f t="shared" si="332"/>
        <v>1884000</v>
      </c>
      <c r="P66" s="26">
        <v>1904000</v>
      </c>
      <c r="Q66" s="26">
        <v>850000</v>
      </c>
      <c r="R66" s="26">
        <f>+Q66+150000</f>
        <v>1000000</v>
      </c>
      <c r="S66" s="26">
        <f t="shared" ref="S66:U66" si="333">+R66+150000</f>
        <v>1150000</v>
      </c>
      <c r="T66" s="26">
        <f t="shared" si="333"/>
        <v>1300000</v>
      </c>
      <c r="U66" s="26">
        <f t="shared" si="333"/>
        <v>1450000</v>
      </c>
      <c r="V66" s="26">
        <v>0</v>
      </c>
      <c r="W66" s="26">
        <f>+V66+200000</f>
        <v>200000</v>
      </c>
      <c r="X66" s="26">
        <f t="shared" ref="X66:AA66" si="334">+W66+200000</f>
        <v>400000</v>
      </c>
      <c r="Y66" s="26">
        <f t="shared" si="334"/>
        <v>600000</v>
      </c>
      <c r="Z66" s="26">
        <f t="shared" si="334"/>
        <v>800000</v>
      </c>
      <c r="AA66" s="26">
        <f t="shared" si="334"/>
        <v>1000000</v>
      </c>
      <c r="AB66" s="26">
        <v>1200000</v>
      </c>
      <c r="AC66" s="26">
        <v>7480500</v>
      </c>
      <c r="AD66" s="26">
        <v>7480500</v>
      </c>
      <c r="AE66" s="26">
        <v>7480500</v>
      </c>
      <c r="AF66" s="26">
        <v>7480500</v>
      </c>
      <c r="AG66" s="26">
        <v>7480500</v>
      </c>
      <c r="AH66" s="26">
        <v>7480500</v>
      </c>
      <c r="AI66" s="26">
        <v>7480500</v>
      </c>
      <c r="AJ66" s="26">
        <v>7480500</v>
      </c>
      <c r="AK66" s="26">
        <v>7480500</v>
      </c>
      <c r="AL66" s="26">
        <v>7480500</v>
      </c>
      <c r="AM66" s="26">
        <v>7480500</v>
      </c>
      <c r="AN66" s="26">
        <v>7480500</v>
      </c>
      <c r="AO66" s="26">
        <f t="shared" si="23"/>
        <v>10684500</v>
      </c>
      <c r="AP66" s="27">
        <f t="shared" si="24"/>
        <v>41652.5</v>
      </c>
      <c r="AQ66" s="27">
        <f t="shared" si="25"/>
        <v>42402.5</v>
      </c>
      <c r="AR66" s="27">
        <f t="shared" si="26"/>
        <v>43152.5</v>
      </c>
      <c r="AS66" s="27">
        <f t="shared" si="27"/>
        <v>43902.5</v>
      </c>
      <c r="AT66" s="27">
        <f t="shared" si="28"/>
        <v>44652.5</v>
      </c>
      <c r="AU66" s="27">
        <f t="shared" si="29"/>
        <v>37402.5</v>
      </c>
      <c r="AV66" s="27">
        <f t="shared" si="30"/>
        <v>38402.5</v>
      </c>
      <c r="AW66" s="27">
        <f t="shared" si="31"/>
        <v>39402.5</v>
      </c>
      <c r="AX66" s="27">
        <f t="shared" si="32"/>
        <v>40402.5</v>
      </c>
      <c r="AY66" s="27">
        <f t="shared" si="33"/>
        <v>41402.5</v>
      </c>
      <c r="AZ66" s="27">
        <f t="shared" si="34"/>
        <v>42402.5</v>
      </c>
      <c r="BA66" s="27">
        <f t="shared" si="35"/>
        <v>43402.5</v>
      </c>
      <c r="BB66" s="27">
        <v>0</v>
      </c>
      <c r="BC66" s="26">
        <v>0</v>
      </c>
      <c r="BD66" s="27">
        <f t="shared" si="258"/>
        <v>498580</v>
      </c>
      <c r="BE66" s="28">
        <f t="shared" si="188"/>
        <v>17953.380272982646</v>
      </c>
      <c r="BF66" s="28">
        <f t="shared" si="189"/>
        <v>16570.253148082989</v>
      </c>
      <c r="BG66" s="28">
        <f t="shared" si="190"/>
        <v>52567.165721722253</v>
      </c>
      <c r="BH66" s="28">
        <f t="shared" si="191"/>
        <v>85058.411297219398</v>
      </c>
      <c r="BI66" s="28">
        <f t="shared" si="192"/>
        <v>65787.442155399331</v>
      </c>
      <c r="BJ66" s="28">
        <f t="shared" si="193"/>
        <v>58501.988844574196</v>
      </c>
      <c r="BK66" s="28">
        <f t="shared" si="194"/>
        <v>41482.543411651823</v>
      </c>
      <c r="BL66" s="28">
        <f t="shared" si="195"/>
        <v>74488.600879705889</v>
      </c>
      <c r="BM66" s="28">
        <f t="shared" si="196"/>
        <v>77363.519593300458</v>
      </c>
      <c r="BN66" s="28">
        <f t="shared" si="197"/>
        <v>66091.769471648193</v>
      </c>
      <c r="BO66" s="28">
        <f t="shared" si="198"/>
        <v>48800.228181470709</v>
      </c>
      <c r="BP66" s="28">
        <f t="shared" si="199"/>
        <v>43585.925023709809</v>
      </c>
      <c r="BQ66" s="29">
        <f t="shared" si="37"/>
        <v>648251.22800146777</v>
      </c>
      <c r="BR66" s="26">
        <f t="shared" si="200"/>
        <v>0</v>
      </c>
      <c r="BS66" s="26">
        <f t="shared" si="38"/>
        <v>648251.22800146777</v>
      </c>
      <c r="BT66" s="26">
        <f t="shared" si="201"/>
        <v>1146831.2280014679</v>
      </c>
      <c r="BU66" s="111">
        <f t="shared" si="324"/>
        <v>10584500</v>
      </c>
      <c r="BV66" s="110">
        <v>58</v>
      </c>
      <c r="BX66" s="126"/>
    </row>
    <row r="67" spans="1:82" ht="13.5" customHeight="1" x14ac:dyDescent="0.2">
      <c r="A67" s="15">
        <v>60</v>
      </c>
      <c r="B67" s="15">
        <v>102</v>
      </c>
      <c r="C67" s="14" t="s">
        <v>69</v>
      </c>
      <c r="D67" s="8">
        <v>100000</v>
      </c>
      <c r="E67" s="8">
        <f t="shared" ref="E67:G67" si="335">+F67-15000</f>
        <v>1699000</v>
      </c>
      <c r="F67" s="8">
        <f t="shared" si="335"/>
        <v>1714000</v>
      </c>
      <c r="G67" s="8">
        <f t="shared" si="335"/>
        <v>1729000</v>
      </c>
      <c r="H67" s="8">
        <f t="shared" ref="H67:O67" si="336">+I67-20000</f>
        <v>1744000</v>
      </c>
      <c r="I67" s="8">
        <f t="shared" si="336"/>
        <v>1764000</v>
      </c>
      <c r="J67" s="8">
        <f t="shared" si="336"/>
        <v>1784000</v>
      </c>
      <c r="K67" s="8">
        <f t="shared" si="336"/>
        <v>1804000</v>
      </c>
      <c r="L67" s="8">
        <f t="shared" si="336"/>
        <v>1824000</v>
      </c>
      <c r="M67" s="8">
        <f t="shared" si="336"/>
        <v>1844000</v>
      </c>
      <c r="N67" s="8">
        <f t="shared" si="336"/>
        <v>1864000</v>
      </c>
      <c r="O67" s="8">
        <f t="shared" si="336"/>
        <v>1884000</v>
      </c>
      <c r="P67" s="8">
        <v>1904000</v>
      </c>
      <c r="Q67" s="8">
        <v>720000</v>
      </c>
      <c r="R67" s="8">
        <f>+Q67+120000</f>
        <v>840000</v>
      </c>
      <c r="S67" s="8">
        <f t="shared" ref="S67:U67" si="337">+R67+120000</f>
        <v>960000</v>
      </c>
      <c r="T67" s="8">
        <f t="shared" si="337"/>
        <v>1080000</v>
      </c>
      <c r="U67" s="8">
        <f t="shared" si="337"/>
        <v>1200000</v>
      </c>
      <c r="V67" s="8">
        <v>0</v>
      </c>
      <c r="W67" s="8">
        <f>+V67+150000</f>
        <v>150000</v>
      </c>
      <c r="X67" s="8">
        <f t="shared" ref="X67:AA67" si="338">+W67+150000</f>
        <v>300000</v>
      </c>
      <c r="Y67" s="8">
        <f t="shared" si="338"/>
        <v>450000</v>
      </c>
      <c r="Z67" s="8">
        <f t="shared" si="338"/>
        <v>600000</v>
      </c>
      <c r="AA67" s="8">
        <f t="shared" si="338"/>
        <v>750000</v>
      </c>
      <c r="AB67" s="8">
        <v>900000</v>
      </c>
      <c r="AC67" s="8">
        <v>5260000</v>
      </c>
      <c r="AD67" s="8">
        <f>+AC67+20000-1500000</f>
        <v>3780000</v>
      </c>
      <c r="AE67" s="8">
        <f>+AD67+20000-2000000</f>
        <v>1800000</v>
      </c>
      <c r="AF67" s="8">
        <f>+AE67+20000-1800000</f>
        <v>20000</v>
      </c>
      <c r="AG67" s="8">
        <f t="shared" ref="AG67:AL67" si="339">+AF67+20000</f>
        <v>40000</v>
      </c>
      <c r="AH67" s="8">
        <v>0</v>
      </c>
      <c r="AI67" s="8">
        <f t="shared" si="339"/>
        <v>20000</v>
      </c>
      <c r="AJ67" s="8">
        <f>+AI67+20000+1550000</f>
        <v>1590000</v>
      </c>
      <c r="AK67" s="8">
        <f t="shared" si="339"/>
        <v>1610000</v>
      </c>
      <c r="AL67" s="8">
        <f t="shared" si="339"/>
        <v>1630000</v>
      </c>
      <c r="AM67" s="8">
        <f>+AL67+20000+1600000</f>
        <v>3250000</v>
      </c>
      <c r="AN67" s="8">
        <v>2570000</v>
      </c>
      <c r="AO67" s="8">
        <f t="shared" si="23"/>
        <v>5474000</v>
      </c>
      <c r="AP67" s="16">
        <f t="shared" si="24"/>
        <v>29900</v>
      </c>
      <c r="AQ67" s="16">
        <f t="shared" si="25"/>
        <v>23100</v>
      </c>
      <c r="AR67" s="16">
        <f t="shared" si="26"/>
        <v>13800</v>
      </c>
      <c r="AS67" s="16">
        <f t="shared" si="27"/>
        <v>5500</v>
      </c>
      <c r="AT67" s="16">
        <f t="shared" si="28"/>
        <v>6200</v>
      </c>
      <c r="AU67" s="16">
        <f t="shared" si="29"/>
        <v>0</v>
      </c>
      <c r="AV67" s="16">
        <f t="shared" si="30"/>
        <v>850</v>
      </c>
      <c r="AW67" s="16">
        <f t="shared" si="31"/>
        <v>9450</v>
      </c>
      <c r="AX67" s="16">
        <f t="shared" si="32"/>
        <v>10300</v>
      </c>
      <c r="AY67" s="16">
        <f t="shared" si="33"/>
        <v>11150</v>
      </c>
      <c r="AZ67" s="16">
        <f t="shared" si="34"/>
        <v>20000</v>
      </c>
      <c r="BA67" s="16">
        <f t="shared" si="35"/>
        <v>17350</v>
      </c>
      <c r="BB67" s="16">
        <v>390000</v>
      </c>
      <c r="BC67" s="8">
        <v>1200000</v>
      </c>
      <c r="BD67" s="16">
        <f t="shared" si="258"/>
        <v>147600</v>
      </c>
      <c r="BE67" s="23">
        <f t="shared" si="188"/>
        <v>13787.387841801867</v>
      </c>
      <c r="BF67" s="23">
        <f t="shared" si="189"/>
        <v>10356.307616180091</v>
      </c>
      <c r="BG67" s="23">
        <f t="shared" si="190"/>
        <v>23063.313112193071</v>
      </c>
      <c r="BH67" s="23">
        <f t="shared" si="191"/>
        <v>23569.293882913447</v>
      </c>
      <c r="BI67" s="23">
        <f t="shared" si="192"/>
        <v>18917.432067289777</v>
      </c>
      <c r="BJ67" s="23">
        <f t="shared" si="193"/>
        <v>11769.741789009322</v>
      </c>
      <c r="BK67" s="23">
        <f t="shared" si="194"/>
        <v>8976.4510444745047</v>
      </c>
      <c r="BL67" s="23">
        <f t="shared" si="195"/>
        <v>28976.441812963258</v>
      </c>
      <c r="BM67" s="23">
        <f t="shared" si="196"/>
        <v>30900.646660838451</v>
      </c>
      <c r="BN67" s="23">
        <f t="shared" si="197"/>
        <v>27057.336245213774</v>
      </c>
      <c r="BO67" s="23">
        <f t="shared" si="198"/>
        <v>27905.830707431862</v>
      </c>
      <c r="BP67" s="23">
        <f t="shared" si="199"/>
        <v>22330.418230126586</v>
      </c>
      <c r="BQ67" s="22">
        <f t="shared" si="37"/>
        <v>247610.60101043602</v>
      </c>
      <c r="BR67" s="8">
        <f t="shared" si="200"/>
        <v>85171.309843783092</v>
      </c>
      <c r="BS67" s="8">
        <f t="shared" si="38"/>
        <v>332781.91085421911</v>
      </c>
      <c r="BT67" s="8">
        <f t="shared" si="201"/>
        <v>480381.91085421911</v>
      </c>
      <c r="BU67" s="6">
        <f t="shared" si="324"/>
        <v>5374000</v>
      </c>
      <c r="BX67" s="126"/>
    </row>
    <row r="68" spans="1:82" s="135" customFormat="1" ht="13.5" customHeight="1" x14ac:dyDescent="0.2">
      <c r="A68" s="128">
        <v>61</v>
      </c>
      <c r="B68" s="128">
        <v>106</v>
      </c>
      <c r="C68" s="129" t="s">
        <v>70</v>
      </c>
      <c r="D68" s="130">
        <v>100000</v>
      </c>
      <c r="E68" s="130">
        <f t="shared" ref="E68:G68" si="340">+F68-15000</f>
        <v>1661000</v>
      </c>
      <c r="F68" s="130">
        <f t="shared" si="340"/>
        <v>1676000</v>
      </c>
      <c r="G68" s="130">
        <f t="shared" si="340"/>
        <v>1691000</v>
      </c>
      <c r="H68" s="130">
        <f t="shared" ref="H68:O68" si="341">+I68-20000</f>
        <v>1706000</v>
      </c>
      <c r="I68" s="130">
        <f t="shared" si="341"/>
        <v>1726000</v>
      </c>
      <c r="J68" s="130">
        <f t="shared" si="341"/>
        <v>1746000</v>
      </c>
      <c r="K68" s="130">
        <f t="shared" si="341"/>
        <v>1766000</v>
      </c>
      <c r="L68" s="130">
        <f t="shared" si="341"/>
        <v>1786000</v>
      </c>
      <c r="M68" s="130">
        <f t="shared" si="341"/>
        <v>1806000</v>
      </c>
      <c r="N68" s="130">
        <f t="shared" si="341"/>
        <v>1826000</v>
      </c>
      <c r="O68" s="130">
        <f t="shared" si="341"/>
        <v>1846000</v>
      </c>
      <c r="P68" s="130">
        <v>1866000</v>
      </c>
      <c r="Q68" s="130">
        <v>120000</v>
      </c>
      <c r="R68" s="130">
        <f>+Q68+20000</f>
        <v>140000</v>
      </c>
      <c r="S68" s="130">
        <f t="shared" ref="S68:U68" si="342">+R68+20000</f>
        <v>160000</v>
      </c>
      <c r="T68" s="130">
        <f t="shared" si="342"/>
        <v>180000</v>
      </c>
      <c r="U68" s="130">
        <f t="shared" si="342"/>
        <v>200000</v>
      </c>
      <c r="V68" s="130">
        <v>0</v>
      </c>
      <c r="W68" s="130">
        <f>+V68+50000</f>
        <v>50000</v>
      </c>
      <c r="X68" s="130">
        <f t="shared" ref="X68:AA68" si="343">+W68+50000</f>
        <v>100000</v>
      </c>
      <c r="Y68" s="130">
        <f t="shared" si="343"/>
        <v>150000</v>
      </c>
      <c r="Z68" s="130">
        <f t="shared" si="343"/>
        <v>200000</v>
      </c>
      <c r="AA68" s="130">
        <f t="shared" si="343"/>
        <v>250000</v>
      </c>
      <c r="AB68" s="130">
        <v>300000</v>
      </c>
      <c r="AC68" s="130">
        <v>90000</v>
      </c>
      <c r="AD68" s="130">
        <f>+AC68+20000</f>
        <v>110000</v>
      </c>
      <c r="AE68" s="130">
        <f t="shared" ref="AE68:AM68" si="344">+AD68+20000</f>
        <v>130000</v>
      </c>
      <c r="AF68" s="130">
        <f t="shared" si="344"/>
        <v>150000</v>
      </c>
      <c r="AG68" s="130">
        <f>+AF68+20000-150000</f>
        <v>20000</v>
      </c>
      <c r="AH68" s="130">
        <f t="shared" si="344"/>
        <v>40000</v>
      </c>
      <c r="AI68" s="130">
        <f t="shared" si="344"/>
        <v>60000</v>
      </c>
      <c r="AJ68" s="130">
        <f t="shared" si="344"/>
        <v>80000</v>
      </c>
      <c r="AK68" s="130">
        <f t="shared" si="344"/>
        <v>100000</v>
      </c>
      <c r="AL68" s="130">
        <f t="shared" si="344"/>
        <v>120000</v>
      </c>
      <c r="AM68" s="130">
        <f t="shared" si="344"/>
        <v>140000</v>
      </c>
      <c r="AN68" s="130">
        <v>160000</v>
      </c>
      <c r="AO68" s="130">
        <f t="shared" si="23"/>
        <v>2426000</v>
      </c>
      <c r="AP68" s="131">
        <f t="shared" si="24"/>
        <v>1050</v>
      </c>
      <c r="AQ68" s="131">
        <f t="shared" si="25"/>
        <v>1250</v>
      </c>
      <c r="AR68" s="131">
        <f t="shared" si="26"/>
        <v>1450</v>
      </c>
      <c r="AS68" s="131">
        <f t="shared" si="27"/>
        <v>1650</v>
      </c>
      <c r="AT68" s="131">
        <f t="shared" si="28"/>
        <v>1100</v>
      </c>
      <c r="AU68" s="131">
        <f t="shared" si="29"/>
        <v>200</v>
      </c>
      <c r="AV68" s="131">
        <f t="shared" si="30"/>
        <v>550</v>
      </c>
      <c r="AW68" s="131">
        <f t="shared" si="31"/>
        <v>900</v>
      </c>
      <c r="AX68" s="131">
        <f t="shared" si="32"/>
        <v>1250</v>
      </c>
      <c r="AY68" s="131">
        <f t="shared" si="33"/>
        <v>1600</v>
      </c>
      <c r="AZ68" s="131">
        <f t="shared" si="34"/>
        <v>1950</v>
      </c>
      <c r="BA68" s="131">
        <f t="shared" si="35"/>
        <v>2300</v>
      </c>
      <c r="BB68" s="131">
        <v>180000</v>
      </c>
      <c r="BC68" s="130">
        <v>0</v>
      </c>
      <c r="BD68" s="131">
        <f t="shared" si="258"/>
        <v>15250</v>
      </c>
      <c r="BE68" s="132">
        <f t="shared" si="188"/>
        <v>3493.3720833258108</v>
      </c>
      <c r="BF68" s="132">
        <f t="shared" si="189"/>
        <v>3261.0940675133452</v>
      </c>
      <c r="BG68" s="132">
        <f t="shared" si="190"/>
        <v>10458.652121698362</v>
      </c>
      <c r="BH68" s="132">
        <f t="shared" si="191"/>
        <v>17100.547463961659</v>
      </c>
      <c r="BI68" s="132">
        <f t="shared" si="192"/>
        <v>12469.415595900415</v>
      </c>
      <c r="BJ68" s="132">
        <f t="shared" si="193"/>
        <v>11782.236207044363</v>
      </c>
      <c r="BK68" s="132">
        <f t="shared" si="194"/>
        <v>8552.2985843209353</v>
      </c>
      <c r="BL68" s="132">
        <f t="shared" si="195"/>
        <v>15696.205764442078</v>
      </c>
      <c r="BM68" s="132">
        <f t="shared" si="196"/>
        <v>16638.809740451474</v>
      </c>
      <c r="BN68" s="132">
        <f t="shared" si="197"/>
        <v>14489.932571948053</v>
      </c>
      <c r="BO68" s="132">
        <f t="shared" si="198"/>
        <v>10893.720008783561</v>
      </c>
      <c r="BP68" s="132">
        <f t="shared" si="199"/>
        <v>9896.5280647217933</v>
      </c>
      <c r="BQ68" s="133">
        <f t="shared" si="37"/>
        <v>134732.81227411184</v>
      </c>
      <c r="BR68" s="130">
        <f t="shared" si="200"/>
        <v>39309.835312515272</v>
      </c>
      <c r="BS68" s="130">
        <f t="shared" si="38"/>
        <v>174042.64758662711</v>
      </c>
      <c r="BT68" s="130">
        <f t="shared" si="201"/>
        <v>189292.64758662711</v>
      </c>
      <c r="BU68" s="134">
        <f t="shared" si="324"/>
        <v>2326000</v>
      </c>
      <c r="BV68" s="135">
        <v>59</v>
      </c>
    </row>
    <row r="69" spans="1:82" ht="13.5" customHeight="1" x14ac:dyDescent="0.2">
      <c r="A69" s="15">
        <v>62</v>
      </c>
      <c r="B69" s="15">
        <v>107</v>
      </c>
      <c r="C69" s="14" t="s">
        <v>71</v>
      </c>
      <c r="D69" s="8">
        <v>100000</v>
      </c>
      <c r="E69" s="8">
        <f t="shared" ref="E69:G69" si="345">+F69-15000</f>
        <v>1637000</v>
      </c>
      <c r="F69" s="8">
        <f t="shared" si="345"/>
        <v>1652000</v>
      </c>
      <c r="G69" s="8">
        <f t="shared" si="345"/>
        <v>1667000</v>
      </c>
      <c r="H69" s="8">
        <f t="shared" ref="H69:O69" si="346">+I69-20000</f>
        <v>1682000</v>
      </c>
      <c r="I69" s="8">
        <f t="shared" si="346"/>
        <v>1702000</v>
      </c>
      <c r="J69" s="8">
        <f t="shared" si="346"/>
        <v>1722000</v>
      </c>
      <c r="K69" s="8">
        <f t="shared" si="346"/>
        <v>1742000</v>
      </c>
      <c r="L69" s="8">
        <f t="shared" si="346"/>
        <v>1762000</v>
      </c>
      <c r="M69" s="8">
        <f t="shared" si="346"/>
        <v>1782000</v>
      </c>
      <c r="N69" s="8">
        <f t="shared" si="346"/>
        <v>1802000</v>
      </c>
      <c r="O69" s="8">
        <f t="shared" si="346"/>
        <v>1822000</v>
      </c>
      <c r="P69" s="8">
        <v>1842000</v>
      </c>
      <c r="Q69" s="8">
        <v>2900000</v>
      </c>
      <c r="R69" s="8">
        <f>+Q69+100000</f>
        <v>3000000</v>
      </c>
      <c r="S69" s="8">
        <f>+R69+500000</f>
        <v>3500000</v>
      </c>
      <c r="T69" s="8">
        <f>+S69+600000</f>
        <v>4100000</v>
      </c>
      <c r="U69" s="8">
        <f>+T69+600000</f>
        <v>4700000</v>
      </c>
      <c r="V69" s="8">
        <v>0</v>
      </c>
      <c r="W69" s="8">
        <f>+V69+4000000</f>
        <v>4000000</v>
      </c>
      <c r="X69" s="8">
        <f t="shared" ref="X69" si="347">+W69+100000</f>
        <v>4100000</v>
      </c>
      <c r="Y69" s="8">
        <f>+X69+200000</f>
        <v>4300000</v>
      </c>
      <c r="Z69" s="8">
        <f>+Y69+200000</f>
        <v>4500000</v>
      </c>
      <c r="AA69" s="8">
        <f>+Z69+300000</f>
        <v>4800000</v>
      </c>
      <c r="AB69" s="8">
        <v>4900000</v>
      </c>
      <c r="AC69" s="8">
        <v>162500</v>
      </c>
      <c r="AD69" s="8">
        <v>162500</v>
      </c>
      <c r="AE69" s="8">
        <f>+AD69+20000</f>
        <v>182500</v>
      </c>
      <c r="AF69" s="8">
        <f t="shared" ref="AF69:AM69" si="348">+AE69+30000</f>
        <v>212500</v>
      </c>
      <c r="AG69" s="8">
        <f t="shared" si="348"/>
        <v>242500</v>
      </c>
      <c r="AH69" s="8">
        <f>+AG69+50000</f>
        <v>292500</v>
      </c>
      <c r="AI69" s="8">
        <f>+AH69+50000</f>
        <v>342500</v>
      </c>
      <c r="AJ69" s="8">
        <f>+AI69+30000-300000</f>
        <v>72500</v>
      </c>
      <c r="AK69" s="8">
        <f>+AJ69+30000</f>
        <v>102500</v>
      </c>
      <c r="AL69" s="8">
        <f>+AK69+20000</f>
        <v>122500</v>
      </c>
      <c r="AM69" s="8">
        <f t="shared" si="348"/>
        <v>152500</v>
      </c>
      <c r="AN69" s="8">
        <v>82500</v>
      </c>
      <c r="AO69" s="8">
        <f t="shared" si="23"/>
        <v>6924500</v>
      </c>
      <c r="AP69" s="16">
        <f t="shared" si="24"/>
        <v>15312.5</v>
      </c>
      <c r="AQ69" s="16">
        <f t="shared" si="25"/>
        <v>15812.5</v>
      </c>
      <c r="AR69" s="16">
        <f t="shared" si="26"/>
        <v>18412.5</v>
      </c>
      <c r="AS69" s="16">
        <f t="shared" si="27"/>
        <v>21562.5</v>
      </c>
      <c r="AT69" s="16">
        <f t="shared" si="28"/>
        <v>24712.5</v>
      </c>
      <c r="AU69" s="16">
        <f t="shared" si="29"/>
        <v>1462.5</v>
      </c>
      <c r="AV69" s="16">
        <f t="shared" si="30"/>
        <v>21712.5</v>
      </c>
      <c r="AW69" s="16">
        <f t="shared" si="31"/>
        <v>20862.5</v>
      </c>
      <c r="AX69" s="16">
        <f t="shared" si="32"/>
        <v>22012.5</v>
      </c>
      <c r="AY69" s="16">
        <f t="shared" si="33"/>
        <v>23112.5</v>
      </c>
      <c r="AZ69" s="16">
        <f t="shared" si="34"/>
        <v>24762.5</v>
      </c>
      <c r="BA69" s="16">
        <f t="shared" si="35"/>
        <v>24912.5</v>
      </c>
      <c r="BB69" s="16">
        <v>27000</v>
      </c>
      <c r="BC69" s="8">
        <v>0</v>
      </c>
      <c r="BD69" s="16">
        <f t="shared" si="258"/>
        <v>234650</v>
      </c>
      <c r="BE69" s="23">
        <f t="shared" si="188"/>
        <v>8506.5648472461835</v>
      </c>
      <c r="BF69" s="23">
        <f t="shared" si="189"/>
        <v>7910.4870655450823</v>
      </c>
      <c r="BG69" s="23">
        <f t="shared" si="190"/>
        <v>27387.998432097655</v>
      </c>
      <c r="BH69" s="23">
        <f t="shared" si="191"/>
        <v>48791.800804828803</v>
      </c>
      <c r="BI69" s="23">
        <f t="shared" si="192"/>
        <v>41104.581371725486</v>
      </c>
      <c r="BJ69" s="23">
        <f t="shared" si="193"/>
        <v>13209.723467547881</v>
      </c>
      <c r="BK69" s="23">
        <f t="shared" si="194"/>
        <v>26767.04989611985</v>
      </c>
      <c r="BL69" s="23">
        <f t="shared" si="195"/>
        <v>45846.444184668791</v>
      </c>
      <c r="BM69" s="23">
        <f t="shared" si="196"/>
        <v>48500.278206803006</v>
      </c>
      <c r="BN69" s="23">
        <f t="shared" si="197"/>
        <v>42092.415434405644</v>
      </c>
      <c r="BO69" s="23">
        <f t="shared" si="198"/>
        <v>32058.595120026795</v>
      </c>
      <c r="BP69" s="23">
        <f t="shared" si="199"/>
        <v>28247.530331478178</v>
      </c>
      <c r="BQ69" s="22">
        <f t="shared" si="37"/>
        <v>370423.46916249336</v>
      </c>
      <c r="BR69" s="8">
        <f t="shared" si="200"/>
        <v>5896.4752968772909</v>
      </c>
      <c r="BS69" s="8">
        <f t="shared" si="38"/>
        <v>376319.94445937063</v>
      </c>
      <c r="BT69" s="8">
        <f t="shared" si="201"/>
        <v>610969.94445937057</v>
      </c>
      <c r="BU69" s="6">
        <f t="shared" si="324"/>
        <v>6824500</v>
      </c>
      <c r="BX69" s="126"/>
    </row>
    <row r="70" spans="1:82" ht="13.5" customHeight="1" x14ac:dyDescent="0.2">
      <c r="A70" s="15">
        <v>63</v>
      </c>
      <c r="B70" s="15">
        <v>116</v>
      </c>
      <c r="C70" s="14" t="s">
        <v>72</v>
      </c>
      <c r="D70" s="8">
        <v>100000</v>
      </c>
      <c r="E70" s="8">
        <f t="shared" ref="E70:G70" si="349">+F70-15000</f>
        <v>1672000</v>
      </c>
      <c r="F70" s="8">
        <f t="shared" si="349"/>
        <v>1687000</v>
      </c>
      <c r="G70" s="8">
        <f t="shared" si="349"/>
        <v>1702000</v>
      </c>
      <c r="H70" s="8">
        <f t="shared" ref="H70:O70" si="350">+I70-20000</f>
        <v>1717000</v>
      </c>
      <c r="I70" s="8">
        <f t="shared" si="350"/>
        <v>1737000</v>
      </c>
      <c r="J70" s="8">
        <f t="shared" si="350"/>
        <v>1757000</v>
      </c>
      <c r="K70" s="8">
        <f t="shared" si="350"/>
        <v>1777000</v>
      </c>
      <c r="L70" s="8">
        <f t="shared" si="350"/>
        <v>1797000</v>
      </c>
      <c r="M70" s="8">
        <f t="shared" si="350"/>
        <v>1817000</v>
      </c>
      <c r="N70" s="8">
        <f t="shared" si="350"/>
        <v>1837000</v>
      </c>
      <c r="O70" s="8">
        <f t="shared" si="350"/>
        <v>1857000</v>
      </c>
      <c r="P70" s="8">
        <v>1877000</v>
      </c>
      <c r="Q70" s="8">
        <v>185000</v>
      </c>
      <c r="R70" s="8">
        <f>+Q70+22500</f>
        <v>207500</v>
      </c>
      <c r="S70" s="8">
        <f t="shared" ref="S70:U70" si="351">+R70+22500</f>
        <v>230000</v>
      </c>
      <c r="T70" s="8">
        <f t="shared" si="351"/>
        <v>252500</v>
      </c>
      <c r="U70" s="8">
        <f t="shared" si="351"/>
        <v>275000</v>
      </c>
      <c r="V70" s="8"/>
      <c r="W70" s="8">
        <v>0</v>
      </c>
      <c r="X70" s="8">
        <f t="shared" ref="X70:AA70" si="352">+W70+52500</f>
        <v>52500</v>
      </c>
      <c r="Y70" s="8">
        <f t="shared" si="352"/>
        <v>105000</v>
      </c>
      <c r="Z70" s="8">
        <f t="shared" si="352"/>
        <v>157500</v>
      </c>
      <c r="AA70" s="8">
        <f t="shared" si="352"/>
        <v>210000</v>
      </c>
      <c r="AB70" s="8">
        <v>262500</v>
      </c>
      <c r="AC70" s="8">
        <v>473000</v>
      </c>
      <c r="AD70" s="8">
        <f>+AC70+50000</f>
        <v>523000</v>
      </c>
      <c r="AE70" s="8">
        <f t="shared" ref="AE70:AM70" si="353">+AD70+50000</f>
        <v>573000</v>
      </c>
      <c r="AF70" s="8">
        <f>+AE70+45000</f>
        <v>618000</v>
      </c>
      <c r="AG70" s="8">
        <f t="shared" si="353"/>
        <v>668000</v>
      </c>
      <c r="AH70" s="8">
        <f>+AG70+22500</f>
        <v>690500</v>
      </c>
      <c r="AI70" s="8">
        <f>+AH70+12500</f>
        <v>703000</v>
      </c>
      <c r="AJ70" s="8">
        <f>+AI70+200000</f>
        <v>903000</v>
      </c>
      <c r="AK70" s="8">
        <f>+AJ70+100000</f>
        <v>1003000</v>
      </c>
      <c r="AL70" s="8">
        <f t="shared" si="353"/>
        <v>1053000</v>
      </c>
      <c r="AM70" s="8">
        <f t="shared" si="353"/>
        <v>1103000</v>
      </c>
      <c r="AN70" s="8">
        <v>1203000</v>
      </c>
      <c r="AO70" s="8">
        <f t="shared" si="23"/>
        <v>3442500</v>
      </c>
      <c r="AP70" s="16">
        <f t="shared" si="24"/>
        <v>3290</v>
      </c>
      <c r="AQ70" s="16">
        <f t="shared" si="25"/>
        <v>3652.5</v>
      </c>
      <c r="AR70" s="16">
        <f t="shared" si="26"/>
        <v>4015</v>
      </c>
      <c r="AS70" s="16">
        <f t="shared" si="27"/>
        <v>4352.5</v>
      </c>
      <c r="AT70" s="16">
        <f t="shared" si="28"/>
        <v>4715</v>
      </c>
      <c r="AU70" s="16">
        <f t="shared" si="29"/>
        <v>3452.5</v>
      </c>
      <c r="AV70" s="16">
        <f t="shared" si="30"/>
        <v>3515</v>
      </c>
      <c r="AW70" s="16">
        <f t="shared" si="31"/>
        <v>4777.5</v>
      </c>
      <c r="AX70" s="16">
        <f t="shared" si="32"/>
        <v>5540</v>
      </c>
      <c r="AY70" s="16">
        <f t="shared" si="33"/>
        <v>6052.5</v>
      </c>
      <c r="AZ70" s="16">
        <f t="shared" si="34"/>
        <v>6565</v>
      </c>
      <c r="BA70" s="16">
        <f t="shared" si="35"/>
        <v>7327.5</v>
      </c>
      <c r="BB70" s="16">
        <v>375000</v>
      </c>
      <c r="BC70" s="8">
        <v>750000</v>
      </c>
      <c r="BD70" s="16">
        <f t="shared" si="258"/>
        <v>57255</v>
      </c>
      <c r="BE70" s="23">
        <f t="shared" si="188"/>
        <v>4306.8970890318215</v>
      </c>
      <c r="BF70" s="23">
        <f t="shared" si="189"/>
        <v>4052.2232551652751</v>
      </c>
      <c r="BG70" s="23">
        <f t="shared" si="190"/>
        <v>13092.161834225964</v>
      </c>
      <c r="BH70" s="23">
        <f t="shared" si="191"/>
        <v>21515.787129867487</v>
      </c>
      <c r="BI70" s="23">
        <f t="shared" si="192"/>
        <v>16942.803204595872</v>
      </c>
      <c r="BJ70" s="23">
        <f t="shared" si="193"/>
        <v>15914.764972134419</v>
      </c>
      <c r="BK70" s="23">
        <f t="shared" si="194"/>
        <v>11166.462726491909</v>
      </c>
      <c r="BL70" s="23">
        <f t="shared" si="195"/>
        <v>21671.55224737223</v>
      </c>
      <c r="BM70" s="23">
        <f t="shared" si="196"/>
        <v>23345.268768490587</v>
      </c>
      <c r="BN70" s="23">
        <f t="shared" si="197"/>
        <v>20305.905062424976</v>
      </c>
      <c r="BO70" s="23">
        <f t="shared" si="198"/>
        <v>15249.342649281783</v>
      </c>
      <c r="BP70" s="23">
        <f t="shared" si="199"/>
        <v>14043.197800001968</v>
      </c>
      <c r="BQ70" s="22">
        <f t="shared" si="37"/>
        <v>181606.3667390843</v>
      </c>
      <c r="BR70" s="8">
        <f t="shared" si="200"/>
        <v>81895.49023440681</v>
      </c>
      <c r="BS70" s="8">
        <f t="shared" si="38"/>
        <v>263501.85697349114</v>
      </c>
      <c r="BT70" s="8">
        <f t="shared" si="201"/>
        <v>320756.85697349114</v>
      </c>
      <c r="BU70" s="6">
        <f t="shared" si="324"/>
        <v>3342500</v>
      </c>
      <c r="BX70" s="126"/>
    </row>
    <row r="71" spans="1:82" s="135" customFormat="1" ht="13.5" customHeight="1" x14ac:dyDescent="0.2">
      <c r="A71" s="128">
        <v>64</v>
      </c>
      <c r="B71" s="128">
        <v>117</v>
      </c>
      <c r="C71" s="129" t="s">
        <v>73</v>
      </c>
      <c r="D71" s="130">
        <v>100000</v>
      </c>
      <c r="E71" s="130">
        <f t="shared" ref="E71:G71" si="354">+F71-15000</f>
        <v>1672000</v>
      </c>
      <c r="F71" s="130">
        <f t="shared" si="354"/>
        <v>1687000</v>
      </c>
      <c r="G71" s="130">
        <f t="shared" si="354"/>
        <v>1702000</v>
      </c>
      <c r="H71" s="130">
        <f t="shared" ref="H71:O71" si="355">+I71-20000</f>
        <v>1717000</v>
      </c>
      <c r="I71" s="130">
        <f t="shared" si="355"/>
        <v>1737000</v>
      </c>
      <c r="J71" s="130">
        <f t="shared" si="355"/>
        <v>1757000</v>
      </c>
      <c r="K71" s="130">
        <f t="shared" si="355"/>
        <v>1777000</v>
      </c>
      <c r="L71" s="130">
        <f t="shared" si="355"/>
        <v>1797000</v>
      </c>
      <c r="M71" s="130">
        <f t="shared" si="355"/>
        <v>1817000</v>
      </c>
      <c r="N71" s="130">
        <f t="shared" si="355"/>
        <v>1837000</v>
      </c>
      <c r="O71" s="130">
        <f t="shared" si="355"/>
        <v>1857000</v>
      </c>
      <c r="P71" s="130">
        <v>1877000</v>
      </c>
      <c r="Q71" s="130">
        <v>600000</v>
      </c>
      <c r="R71" s="130">
        <f>+Q71+100000</f>
        <v>700000</v>
      </c>
      <c r="S71" s="130">
        <f t="shared" ref="S71:AA71" si="356">+R71+100000</f>
        <v>800000</v>
      </c>
      <c r="T71" s="130">
        <f t="shared" si="356"/>
        <v>900000</v>
      </c>
      <c r="U71" s="130">
        <f t="shared" si="356"/>
        <v>1000000</v>
      </c>
      <c r="V71" s="130">
        <v>0</v>
      </c>
      <c r="W71" s="130">
        <f t="shared" si="356"/>
        <v>100000</v>
      </c>
      <c r="X71" s="130">
        <f t="shared" si="356"/>
        <v>200000</v>
      </c>
      <c r="Y71" s="130">
        <f t="shared" si="356"/>
        <v>300000</v>
      </c>
      <c r="Z71" s="130">
        <f t="shared" si="356"/>
        <v>400000</v>
      </c>
      <c r="AA71" s="130">
        <f t="shared" si="356"/>
        <v>500000</v>
      </c>
      <c r="AB71" s="130">
        <v>600000</v>
      </c>
      <c r="AC71" s="130">
        <v>221000</v>
      </c>
      <c r="AD71" s="130">
        <f>+AC71+100000</f>
        <v>321000</v>
      </c>
      <c r="AE71" s="130">
        <f>+AD71+100000-400000</f>
        <v>21000</v>
      </c>
      <c r="AF71" s="130">
        <f t="shared" ref="AF71:AM71" si="357">+AE71+100000</f>
        <v>121000</v>
      </c>
      <c r="AG71" s="130">
        <f>+AF71+100000-200000</f>
        <v>21000</v>
      </c>
      <c r="AH71" s="130">
        <f t="shared" si="357"/>
        <v>121000</v>
      </c>
      <c r="AI71" s="130">
        <f t="shared" si="357"/>
        <v>221000</v>
      </c>
      <c r="AJ71" s="130">
        <f>+AI71+100000-200000</f>
        <v>121000</v>
      </c>
      <c r="AK71" s="130">
        <f t="shared" si="357"/>
        <v>221000</v>
      </c>
      <c r="AL71" s="130">
        <f>+AK71+100000-200000</f>
        <v>121000</v>
      </c>
      <c r="AM71" s="130">
        <f t="shared" si="357"/>
        <v>221000</v>
      </c>
      <c r="AN71" s="130">
        <v>321000</v>
      </c>
      <c r="AO71" s="130">
        <f t="shared" si="23"/>
        <v>2898000</v>
      </c>
      <c r="AP71" s="131">
        <f t="shared" si="24"/>
        <v>4105</v>
      </c>
      <c r="AQ71" s="131">
        <f t="shared" si="25"/>
        <v>5105</v>
      </c>
      <c r="AR71" s="131">
        <f t="shared" si="26"/>
        <v>4105</v>
      </c>
      <c r="AS71" s="131">
        <f t="shared" si="27"/>
        <v>5105</v>
      </c>
      <c r="AT71" s="131">
        <f t="shared" si="28"/>
        <v>5105</v>
      </c>
      <c r="AU71" s="131">
        <f t="shared" si="29"/>
        <v>605</v>
      </c>
      <c r="AV71" s="131">
        <f t="shared" si="30"/>
        <v>1605</v>
      </c>
      <c r="AW71" s="131">
        <f t="shared" si="31"/>
        <v>1605</v>
      </c>
      <c r="AX71" s="131">
        <f t="shared" si="32"/>
        <v>2605</v>
      </c>
      <c r="AY71" s="131">
        <f t="shared" si="33"/>
        <v>2605</v>
      </c>
      <c r="AZ71" s="131">
        <f t="shared" si="34"/>
        <v>3605</v>
      </c>
      <c r="BA71" s="131">
        <f t="shared" si="35"/>
        <v>4605</v>
      </c>
      <c r="BB71" s="131">
        <v>900000</v>
      </c>
      <c r="BC71" s="130">
        <v>1250000</v>
      </c>
      <c r="BD71" s="131">
        <f t="shared" si="258"/>
        <v>40760</v>
      </c>
      <c r="BE71" s="132">
        <f t="shared" si="188"/>
        <v>4595.7959472672892</v>
      </c>
      <c r="BF71" s="132">
        <f t="shared" si="189"/>
        <v>4519.8184311833529</v>
      </c>
      <c r="BG71" s="132">
        <f t="shared" si="190"/>
        <v>13182.625908320424</v>
      </c>
      <c r="BH71" s="132">
        <f t="shared" si="191"/>
        <v>22720.671209140066</v>
      </c>
      <c r="BI71" s="132">
        <f t="shared" si="192"/>
        <v>17418.176819688848</v>
      </c>
      <c r="BJ71" s="132">
        <f t="shared" si="193"/>
        <v>12356.979436656284</v>
      </c>
      <c r="BK71" s="132">
        <f t="shared" si="194"/>
        <v>9513.133749158611</v>
      </c>
      <c r="BL71" s="132">
        <f t="shared" si="195"/>
        <v>16851.008899096094</v>
      </c>
      <c r="BM71" s="132">
        <f t="shared" si="196"/>
        <v>18815.129010770266</v>
      </c>
      <c r="BN71" s="132">
        <f t="shared" si="197"/>
        <v>15857.637694500585</v>
      </c>
      <c r="BO71" s="132">
        <f t="shared" si="198"/>
        <v>12488.605386781839</v>
      </c>
      <c r="BP71" s="132">
        <f t="shared" si="199"/>
        <v>11821.986121831722</v>
      </c>
      <c r="BQ71" s="133">
        <f t="shared" si="37"/>
        <v>160141.56861439536</v>
      </c>
      <c r="BR71" s="130">
        <f t="shared" si="200"/>
        <v>196549.17656257635</v>
      </c>
      <c r="BS71" s="130">
        <f t="shared" si="38"/>
        <v>356690.74517697172</v>
      </c>
      <c r="BT71" s="130">
        <f t="shared" si="201"/>
        <v>397450.74517697172</v>
      </c>
      <c r="BU71" s="134">
        <f t="shared" si="324"/>
        <v>2798000</v>
      </c>
      <c r="BV71" s="135">
        <v>61</v>
      </c>
    </row>
    <row r="72" spans="1:82" s="110" customFormat="1" ht="13.5" customHeight="1" x14ac:dyDescent="0.2">
      <c r="A72" s="24">
        <v>65</v>
      </c>
      <c r="B72" s="24">
        <v>118</v>
      </c>
      <c r="C72" s="25" t="s">
        <v>74</v>
      </c>
      <c r="D72" s="26">
        <v>100000</v>
      </c>
      <c r="E72" s="26">
        <f t="shared" ref="E72:G72" si="358">+F72-15000</f>
        <v>1659000</v>
      </c>
      <c r="F72" s="26">
        <f t="shared" si="358"/>
        <v>1674000</v>
      </c>
      <c r="G72" s="26">
        <f t="shared" si="358"/>
        <v>1689000</v>
      </c>
      <c r="H72" s="26">
        <f t="shared" ref="H72:O72" si="359">+I72-20000</f>
        <v>1704000</v>
      </c>
      <c r="I72" s="26">
        <f t="shared" si="359"/>
        <v>1724000</v>
      </c>
      <c r="J72" s="26">
        <f t="shared" si="359"/>
        <v>1744000</v>
      </c>
      <c r="K72" s="26">
        <f t="shared" si="359"/>
        <v>1764000</v>
      </c>
      <c r="L72" s="26">
        <f t="shared" si="359"/>
        <v>1784000</v>
      </c>
      <c r="M72" s="26">
        <f t="shared" si="359"/>
        <v>1804000</v>
      </c>
      <c r="N72" s="26">
        <f t="shared" si="359"/>
        <v>1824000</v>
      </c>
      <c r="O72" s="26">
        <f t="shared" si="359"/>
        <v>1844000</v>
      </c>
      <c r="P72" s="26">
        <v>1864000</v>
      </c>
      <c r="Q72" s="26">
        <v>90000</v>
      </c>
      <c r="R72" s="26">
        <f>+Q72+15000</f>
        <v>105000</v>
      </c>
      <c r="S72" s="26">
        <f t="shared" ref="S72:U72" si="360">+R72+15000</f>
        <v>120000</v>
      </c>
      <c r="T72" s="26">
        <f t="shared" si="360"/>
        <v>135000</v>
      </c>
      <c r="U72" s="26">
        <f t="shared" si="360"/>
        <v>150000</v>
      </c>
      <c r="V72" s="26">
        <v>0</v>
      </c>
      <c r="W72" s="26">
        <f>+V72+150000</f>
        <v>150000</v>
      </c>
      <c r="X72" s="26">
        <f t="shared" ref="X72:AA72" si="361">+W72+150000</f>
        <v>300000</v>
      </c>
      <c r="Y72" s="26">
        <f t="shared" si="361"/>
        <v>450000</v>
      </c>
      <c r="Z72" s="26">
        <f t="shared" si="361"/>
        <v>600000</v>
      </c>
      <c r="AA72" s="26">
        <f t="shared" si="361"/>
        <v>750000</v>
      </c>
      <c r="AB72" s="26">
        <v>900000</v>
      </c>
      <c r="AC72" s="26">
        <v>2073000</v>
      </c>
      <c r="AD72" s="26">
        <f>+AC72+32500</f>
        <v>2105500</v>
      </c>
      <c r="AE72" s="26">
        <f t="shared" ref="AE72:AM72" si="362">+AD72+32500</f>
        <v>2138000</v>
      </c>
      <c r="AF72" s="26">
        <f>+AE72+32500-2000000</f>
        <v>170500</v>
      </c>
      <c r="AG72" s="26">
        <f t="shared" si="362"/>
        <v>203000</v>
      </c>
      <c r="AH72" s="26">
        <f t="shared" si="362"/>
        <v>235500</v>
      </c>
      <c r="AI72" s="26">
        <f t="shared" si="362"/>
        <v>268000</v>
      </c>
      <c r="AJ72" s="26">
        <f t="shared" si="362"/>
        <v>300500</v>
      </c>
      <c r="AK72" s="26">
        <f t="shared" si="362"/>
        <v>333000</v>
      </c>
      <c r="AL72" s="26">
        <f t="shared" si="362"/>
        <v>365500</v>
      </c>
      <c r="AM72" s="26">
        <f t="shared" si="362"/>
        <v>398000</v>
      </c>
      <c r="AN72" s="26">
        <v>430500</v>
      </c>
      <c r="AO72" s="26">
        <f t="shared" si="23"/>
        <v>3294500</v>
      </c>
      <c r="AP72" s="27">
        <f t="shared" si="24"/>
        <v>10815</v>
      </c>
      <c r="AQ72" s="27">
        <f t="shared" si="25"/>
        <v>11052.5</v>
      </c>
      <c r="AR72" s="27">
        <f t="shared" si="26"/>
        <v>11290</v>
      </c>
      <c r="AS72" s="27">
        <f t="shared" si="27"/>
        <v>1527.5</v>
      </c>
      <c r="AT72" s="27">
        <f t="shared" si="28"/>
        <v>1765</v>
      </c>
      <c r="AU72" s="27">
        <f t="shared" si="29"/>
        <v>1177.5</v>
      </c>
      <c r="AV72" s="27">
        <f t="shared" si="30"/>
        <v>2090</v>
      </c>
      <c r="AW72" s="27">
        <f t="shared" si="31"/>
        <v>3002.5</v>
      </c>
      <c r="AX72" s="27">
        <f t="shared" si="32"/>
        <v>3915</v>
      </c>
      <c r="AY72" s="27">
        <f t="shared" si="33"/>
        <v>4827.5</v>
      </c>
      <c r="AZ72" s="27">
        <f t="shared" si="34"/>
        <v>5740</v>
      </c>
      <c r="BA72" s="27">
        <f t="shared" si="35"/>
        <v>6652.5</v>
      </c>
      <c r="BB72" s="27">
        <v>900000</v>
      </c>
      <c r="BC72" s="26">
        <v>2500000</v>
      </c>
      <c r="BD72" s="27">
        <f t="shared" si="258"/>
        <v>63855</v>
      </c>
      <c r="BE72" s="28">
        <f t="shared" ref="BE72:BE105" si="363">(BE$6/($D$205+E$205+Q$205+AC$205))*($D72+E72+Q72+AC72)</f>
        <v>6951.2964539846926</v>
      </c>
      <c r="BF72" s="28">
        <f t="shared" ref="BF72:BF105" si="364">(BF$6/($D$205+F$205+R$205+AD$205))*($D72+F72+R72+AD72)</f>
        <v>6413.5386535078605</v>
      </c>
      <c r="BG72" s="28">
        <f t="shared" ref="BG72:BG105" si="365">(BG$6/($D$205+G$205+S$205+AE$205))*($D72+G72+S72+AE72)</f>
        <v>20339.339325571011</v>
      </c>
      <c r="BH72" s="28">
        <f t="shared" ref="BH72:BH105" si="366">(BH$6/($D$205+H$205+T$205+AF$205))*($D72+H72+T72+AF72)</f>
        <v>16888.391795518313</v>
      </c>
      <c r="BI72" s="28">
        <f t="shared" ref="BI72:BI105" si="367">(BI$6/($D$205+I$205+U$205+AG$205))*($D72+I72+U72+AG72)</f>
        <v>13267.799487915543</v>
      </c>
      <c r="BJ72" s="28">
        <f t="shared" ref="BJ72:BJ105" si="368">(BJ$6/($D$205+J$205+V$205+AH$205))*($D72+J72+V72+AH72)</f>
        <v>12991.071151934651</v>
      </c>
      <c r="BK72" s="28">
        <f t="shared" ref="BK72:BK105" si="369">(BK$6/($D$205+K$205+W$205+AI$205))*($D72+K72+W72+AI72)</f>
        <v>9876.693000718813</v>
      </c>
      <c r="BL72" s="28">
        <f t="shared" ref="BL72:BL105" si="370">(BL$6/($D$205+L$205+X$205+AJ$205))*($D72+L72+X72+AJ72)</f>
        <v>18875.71307926251</v>
      </c>
      <c r="BM72" s="28">
        <f t="shared" ref="BM72:BM105" si="371">(BM$6/($D$205+M$205+Y$205+AK$205))*($D72+M72+Y72+AK72)</f>
        <v>20736.77262179643</v>
      </c>
      <c r="BN72" s="28">
        <f t="shared" ref="BN72:BN105" si="372">(BN$6/($D$205+N$205+Z$205+AL$205))*($D72+N72+Z72+AL72)</f>
        <v>18641.433734035574</v>
      </c>
      <c r="BO72" s="28">
        <f t="shared" ref="BO72:BO105" si="373">(BO$6/($D$205+O$205+AA$205+AM$205))*($D72+O72+AA72+AM72)</f>
        <v>14419.256107516598</v>
      </c>
      <c r="BP72" s="28">
        <f t="shared" ref="BP72:BP105" si="374">(BP$6/($D$205+P$205+AB$205+AN$205))*($D72+P72+AB72+AN72)</f>
        <v>13439.452477009872</v>
      </c>
      <c r="BQ72" s="29">
        <f t="shared" si="37"/>
        <v>172840.75788877186</v>
      </c>
      <c r="BR72" s="26">
        <f t="shared" ref="BR72:BR103" si="375">+BB72/$BB$205*40219858</f>
        <v>196549.17656257635</v>
      </c>
      <c r="BS72" s="26">
        <f t="shared" si="38"/>
        <v>369389.93445134821</v>
      </c>
      <c r="BT72" s="26">
        <f t="shared" ref="BT72:BT103" si="376">+BS72+BD72</f>
        <v>433244.93445134821</v>
      </c>
      <c r="BU72" s="111">
        <f>AO72-100000</f>
        <v>3194500</v>
      </c>
      <c r="BV72" s="110">
        <v>62</v>
      </c>
      <c r="BX72" s="126"/>
    </row>
    <row r="73" spans="1:82" s="110" customFormat="1" ht="13.5" customHeight="1" x14ac:dyDescent="0.2">
      <c r="A73" s="24">
        <v>66</v>
      </c>
      <c r="B73" s="24">
        <v>119</v>
      </c>
      <c r="C73" s="25" t="s">
        <v>75</v>
      </c>
      <c r="D73" s="26">
        <v>100000</v>
      </c>
      <c r="E73" s="26">
        <f t="shared" ref="E73:G73" si="377">+F73-15000</f>
        <v>1641000</v>
      </c>
      <c r="F73" s="26">
        <f t="shared" si="377"/>
        <v>1656000</v>
      </c>
      <c r="G73" s="26">
        <f t="shared" si="377"/>
        <v>1671000</v>
      </c>
      <c r="H73" s="26">
        <f t="shared" ref="H73:O73" si="378">+I73-20000</f>
        <v>1686000</v>
      </c>
      <c r="I73" s="26">
        <f t="shared" si="378"/>
        <v>1706000</v>
      </c>
      <c r="J73" s="26">
        <f t="shared" si="378"/>
        <v>1726000</v>
      </c>
      <c r="K73" s="26">
        <f t="shared" si="378"/>
        <v>1746000</v>
      </c>
      <c r="L73" s="26">
        <f t="shared" si="378"/>
        <v>1766000</v>
      </c>
      <c r="M73" s="26">
        <f t="shared" si="378"/>
        <v>1786000</v>
      </c>
      <c r="N73" s="26">
        <f t="shared" si="378"/>
        <v>1806000</v>
      </c>
      <c r="O73" s="26">
        <f t="shared" si="378"/>
        <v>1826000</v>
      </c>
      <c r="P73" s="26">
        <v>1846000</v>
      </c>
      <c r="Q73" s="26">
        <v>600000</v>
      </c>
      <c r="R73" s="26">
        <f>+Q73+100000</f>
        <v>700000</v>
      </c>
      <c r="S73" s="26">
        <f t="shared" ref="S73:U73" si="379">+R73+100000</f>
        <v>800000</v>
      </c>
      <c r="T73" s="26">
        <f t="shared" si="379"/>
        <v>900000</v>
      </c>
      <c r="U73" s="26">
        <f t="shared" si="379"/>
        <v>1000000</v>
      </c>
      <c r="V73" s="26">
        <v>0</v>
      </c>
      <c r="W73" s="26">
        <f>+V73+150000</f>
        <v>150000</v>
      </c>
      <c r="X73" s="26">
        <f t="shared" ref="X73:AA73" si="380">+W73+150000</f>
        <v>300000</v>
      </c>
      <c r="Y73" s="26">
        <f t="shared" si="380"/>
        <v>450000</v>
      </c>
      <c r="Z73" s="26">
        <f t="shared" si="380"/>
        <v>600000</v>
      </c>
      <c r="AA73" s="26">
        <f t="shared" si="380"/>
        <v>750000</v>
      </c>
      <c r="AB73" s="26">
        <v>900000</v>
      </c>
      <c r="AC73" s="26">
        <v>75000</v>
      </c>
      <c r="AD73" s="26">
        <f>+AC73+25000</f>
        <v>100000</v>
      </c>
      <c r="AE73" s="26">
        <f t="shared" ref="AE73:AM73" si="381">+AD73+25000</f>
        <v>125000</v>
      </c>
      <c r="AF73" s="26">
        <f>+AE73+25000-100000</f>
        <v>50000</v>
      </c>
      <c r="AG73" s="26">
        <v>0</v>
      </c>
      <c r="AH73" s="26">
        <f t="shared" si="381"/>
        <v>25000</v>
      </c>
      <c r="AI73" s="26">
        <f t="shared" si="381"/>
        <v>50000</v>
      </c>
      <c r="AJ73" s="26">
        <f t="shared" si="381"/>
        <v>75000</v>
      </c>
      <c r="AK73" s="26">
        <f t="shared" si="381"/>
        <v>100000</v>
      </c>
      <c r="AL73" s="26">
        <f>+AK73+25000-100000</f>
        <v>25000</v>
      </c>
      <c r="AM73" s="26">
        <f t="shared" si="381"/>
        <v>50000</v>
      </c>
      <c r="AN73" s="26">
        <v>75000</v>
      </c>
      <c r="AO73" s="26">
        <f t="shared" ref="AO73:AO137" si="382">+AN73+AB73+P73+D73</f>
        <v>2921000</v>
      </c>
      <c r="AP73" s="27">
        <f t="shared" ref="AP73:AP137" si="383">0.5%*(Q73+AC73)</f>
        <v>3375</v>
      </c>
      <c r="AQ73" s="27">
        <f t="shared" ref="AQ73:AQ137" si="384">0.5%*(R73+AD73)</f>
        <v>4000</v>
      </c>
      <c r="AR73" s="27">
        <f t="shared" ref="AR73:AR137" si="385">0.5%*(S73+AE73)</f>
        <v>4625</v>
      </c>
      <c r="AS73" s="27">
        <f t="shared" ref="AS73:AS137" si="386">0.5%*(T73+AF73)</f>
        <v>4750</v>
      </c>
      <c r="AT73" s="27">
        <f t="shared" ref="AT73:AT137" si="387">0.5%*(U73+AG73)</f>
        <v>5000</v>
      </c>
      <c r="AU73" s="27">
        <f t="shared" ref="AU73:AU137" si="388">0.5%*(V73+AH73)</f>
        <v>125</v>
      </c>
      <c r="AV73" s="27">
        <f t="shared" ref="AV73:AV137" si="389">0.5%*(W73+AI73)</f>
        <v>1000</v>
      </c>
      <c r="AW73" s="27">
        <f t="shared" ref="AW73:AW137" si="390">0.5%*(X73+AJ73)</f>
        <v>1875</v>
      </c>
      <c r="AX73" s="27">
        <f t="shared" ref="AX73:AX137" si="391">0.5%*(Y73+AK73)</f>
        <v>2750</v>
      </c>
      <c r="AY73" s="27">
        <f t="shared" ref="AY73:AY137" si="392">0.5%*(Z73+AL73)</f>
        <v>3125</v>
      </c>
      <c r="AZ73" s="27">
        <f t="shared" ref="AZ73:AZ137" si="393">0.5%*(AA73+AM73)</f>
        <v>4000</v>
      </c>
      <c r="BA73" s="27">
        <f t="shared" ref="BA73:BA137" si="394">0.5%*(AB73+AN73)</f>
        <v>4875</v>
      </c>
      <c r="BB73" s="27">
        <v>712500</v>
      </c>
      <c r="BC73" s="26">
        <v>1500000</v>
      </c>
      <c r="BD73" s="27">
        <f t="shared" si="258"/>
        <v>39500</v>
      </c>
      <c r="BE73" s="28">
        <f t="shared" si="363"/>
        <v>4282.0836901649709</v>
      </c>
      <c r="BF73" s="28">
        <f t="shared" si="364"/>
        <v>4114.1937001797187</v>
      </c>
      <c r="BG73" s="28">
        <f t="shared" si="365"/>
        <v>13549.5079865924</v>
      </c>
      <c r="BH73" s="28">
        <f t="shared" si="366"/>
        <v>21904.072032490214</v>
      </c>
      <c r="BI73" s="28">
        <f t="shared" si="367"/>
        <v>17101.261076293529</v>
      </c>
      <c r="BJ73" s="28">
        <f t="shared" si="368"/>
        <v>11563.583891431132</v>
      </c>
      <c r="BK73" s="28">
        <f t="shared" si="369"/>
        <v>8855.2646272877701</v>
      </c>
      <c r="BL73" s="28">
        <f t="shared" si="370"/>
        <v>17025.748847102954</v>
      </c>
      <c r="BM73" s="28">
        <f t="shared" si="371"/>
        <v>18799.694122328288</v>
      </c>
      <c r="BN73" s="28">
        <f t="shared" si="372"/>
        <v>16328.592760285184</v>
      </c>
      <c r="BO73" s="28">
        <f t="shared" si="373"/>
        <v>12712.448948606159</v>
      </c>
      <c r="BP73" s="28">
        <f t="shared" si="374"/>
        <v>11915.811408512925</v>
      </c>
      <c r="BQ73" s="29">
        <f t="shared" ref="BQ73:BQ137" si="395">SUM(BE73:BP73)</f>
        <v>158152.26309127524</v>
      </c>
      <c r="BR73" s="26">
        <f t="shared" si="375"/>
        <v>155601.43144537293</v>
      </c>
      <c r="BS73" s="26">
        <f t="shared" ref="BS73:BS136" si="396">+BQ73+BR73</f>
        <v>313753.69453664817</v>
      </c>
      <c r="BT73" s="26">
        <f t="shared" si="376"/>
        <v>353253.69453664817</v>
      </c>
      <c r="BU73" s="111">
        <f>AO73-100000</f>
        <v>2821000</v>
      </c>
      <c r="BV73" s="110">
        <v>63</v>
      </c>
      <c r="BX73" s="126"/>
    </row>
    <row r="74" spans="1:82" s="110" customFormat="1" ht="13.5" customHeight="1" x14ac:dyDescent="0.2">
      <c r="A74" s="24">
        <v>67</v>
      </c>
      <c r="B74" s="24">
        <v>120</v>
      </c>
      <c r="C74" s="25" t="s">
        <v>176</v>
      </c>
      <c r="D74" s="26">
        <v>100000</v>
      </c>
      <c r="E74" s="26">
        <f t="shared" ref="E74:G74" si="397">+F74-25000</f>
        <v>2023000</v>
      </c>
      <c r="F74" s="26">
        <f t="shared" si="397"/>
        <v>2048000</v>
      </c>
      <c r="G74" s="26">
        <f t="shared" si="397"/>
        <v>2073000</v>
      </c>
      <c r="H74" s="26">
        <f t="shared" ref="H74:O74" si="398">+I74-50000</f>
        <v>2098000</v>
      </c>
      <c r="I74" s="26">
        <f t="shared" si="398"/>
        <v>2148000</v>
      </c>
      <c r="J74" s="26">
        <f t="shared" si="398"/>
        <v>2198000</v>
      </c>
      <c r="K74" s="26">
        <f t="shared" si="398"/>
        <v>2248000</v>
      </c>
      <c r="L74" s="26">
        <f t="shared" si="398"/>
        <v>2298000</v>
      </c>
      <c r="M74" s="26">
        <f t="shared" si="398"/>
        <v>2348000</v>
      </c>
      <c r="N74" s="26">
        <f t="shared" si="398"/>
        <v>2398000</v>
      </c>
      <c r="O74" s="26">
        <f t="shared" si="398"/>
        <v>2448000</v>
      </c>
      <c r="P74" s="26">
        <f>2493000+5000</f>
        <v>2498000</v>
      </c>
      <c r="Q74" s="26">
        <v>300000</v>
      </c>
      <c r="R74" s="26">
        <f>+Q74+50000</f>
        <v>350000</v>
      </c>
      <c r="S74" s="26">
        <f t="shared" ref="S74:U74" si="399">+R74+50000</f>
        <v>400000</v>
      </c>
      <c r="T74" s="26">
        <f t="shared" si="399"/>
        <v>450000</v>
      </c>
      <c r="U74" s="26">
        <f t="shared" si="399"/>
        <v>500000</v>
      </c>
      <c r="V74" s="26">
        <v>0</v>
      </c>
      <c r="W74" s="26">
        <f>+V74+100000</f>
        <v>100000</v>
      </c>
      <c r="X74" s="26">
        <f t="shared" ref="X74:AA74" si="400">+W74+100000</f>
        <v>200000</v>
      </c>
      <c r="Y74" s="26">
        <f t="shared" si="400"/>
        <v>300000</v>
      </c>
      <c r="Z74" s="26">
        <f t="shared" si="400"/>
        <v>400000</v>
      </c>
      <c r="AA74" s="26">
        <f t="shared" si="400"/>
        <v>500000</v>
      </c>
      <c r="AB74" s="26">
        <v>600000</v>
      </c>
      <c r="AC74" s="26">
        <v>200000</v>
      </c>
      <c r="AD74" s="26">
        <f>+AC74+50000</f>
        <v>250000</v>
      </c>
      <c r="AE74" s="26">
        <f t="shared" ref="AE74" si="401">+AD74+50000</f>
        <v>300000</v>
      </c>
      <c r="AF74" s="26">
        <v>0</v>
      </c>
      <c r="AG74" s="26">
        <f>+AF74+1000000</f>
        <v>1000000</v>
      </c>
      <c r="AH74" s="26">
        <f t="shared" ref="AH74:AM74" si="402">+AG74+1000000</f>
        <v>2000000</v>
      </c>
      <c r="AI74" s="26">
        <f t="shared" si="402"/>
        <v>3000000</v>
      </c>
      <c r="AJ74" s="26">
        <f t="shared" si="402"/>
        <v>4000000</v>
      </c>
      <c r="AK74" s="26">
        <v>0</v>
      </c>
      <c r="AL74" s="26">
        <f t="shared" si="402"/>
        <v>1000000</v>
      </c>
      <c r="AM74" s="26">
        <f t="shared" si="402"/>
        <v>2000000</v>
      </c>
      <c r="AN74" s="26">
        <v>2000000</v>
      </c>
      <c r="AO74" s="26">
        <f t="shared" si="382"/>
        <v>5198000</v>
      </c>
      <c r="AP74" s="27">
        <f t="shared" si="383"/>
        <v>2500</v>
      </c>
      <c r="AQ74" s="27">
        <f t="shared" si="384"/>
        <v>3000</v>
      </c>
      <c r="AR74" s="27">
        <f t="shared" si="385"/>
        <v>3500</v>
      </c>
      <c r="AS74" s="27">
        <f t="shared" si="386"/>
        <v>2250</v>
      </c>
      <c r="AT74" s="27">
        <f t="shared" si="387"/>
        <v>7500</v>
      </c>
      <c r="AU74" s="27">
        <f t="shared" si="388"/>
        <v>10000</v>
      </c>
      <c r="AV74" s="27">
        <f t="shared" si="389"/>
        <v>15500</v>
      </c>
      <c r="AW74" s="27">
        <f t="shared" si="390"/>
        <v>21000</v>
      </c>
      <c r="AX74" s="27">
        <f t="shared" si="391"/>
        <v>1500</v>
      </c>
      <c r="AY74" s="27">
        <f t="shared" si="392"/>
        <v>7000</v>
      </c>
      <c r="AZ74" s="27">
        <f t="shared" si="393"/>
        <v>12500</v>
      </c>
      <c r="BA74" s="27">
        <f t="shared" si="394"/>
        <v>13000</v>
      </c>
      <c r="BB74" s="27">
        <f>2700000-900000</f>
        <v>1800000</v>
      </c>
      <c r="BC74" s="26">
        <f>3000000+4817500</f>
        <v>7817500</v>
      </c>
      <c r="BD74" s="27">
        <f t="shared" si="258"/>
        <v>99250</v>
      </c>
      <c r="BE74" s="28">
        <f t="shared" si="363"/>
        <v>4648.9675162676822</v>
      </c>
      <c r="BF74" s="28">
        <f t="shared" si="364"/>
        <v>4423.2411142777264</v>
      </c>
      <c r="BG74" s="28">
        <f t="shared" si="365"/>
        <v>14439.071381854586</v>
      </c>
      <c r="BH74" s="28">
        <f t="shared" si="366"/>
        <v>21199.555095772692</v>
      </c>
      <c r="BI74" s="28">
        <f t="shared" si="367"/>
        <v>22842.311658570259</v>
      </c>
      <c r="BJ74" s="28">
        <f t="shared" si="368"/>
        <v>26850.504357304704</v>
      </c>
      <c r="BK74" s="28">
        <f t="shared" si="369"/>
        <v>23579.41431547594</v>
      </c>
      <c r="BL74" s="28">
        <f t="shared" si="370"/>
        <v>50127.572910836803</v>
      </c>
      <c r="BM74" s="28">
        <f t="shared" si="371"/>
        <v>21207.536719276737</v>
      </c>
      <c r="BN74" s="28">
        <f t="shared" si="372"/>
        <v>25147.710225046085</v>
      </c>
      <c r="BO74" s="28">
        <f t="shared" si="373"/>
        <v>23540.881251857627</v>
      </c>
      <c r="BP74" s="28">
        <f t="shared" si="374"/>
        <v>21204.514789952136</v>
      </c>
      <c r="BQ74" s="29">
        <f t="shared" si="395"/>
        <v>259211.28133649298</v>
      </c>
      <c r="BR74" s="26">
        <f t="shared" si="375"/>
        <v>393098.3531251527</v>
      </c>
      <c r="BS74" s="26">
        <f t="shared" si="396"/>
        <v>652309.63446164574</v>
      </c>
      <c r="BT74" s="26">
        <f t="shared" si="376"/>
        <v>751559.63446164574</v>
      </c>
      <c r="BU74" s="111">
        <f t="shared" ref="BU74:BU83" si="403">AO74-100000</f>
        <v>5098000</v>
      </c>
      <c r="BV74" s="110">
        <v>64</v>
      </c>
      <c r="BX74" s="126"/>
    </row>
    <row r="75" spans="1:82" ht="13.5" customHeight="1" x14ac:dyDescent="0.2">
      <c r="A75" s="15">
        <v>68</v>
      </c>
      <c r="B75" s="15">
        <v>122</v>
      </c>
      <c r="C75" s="14" t="s">
        <v>76</v>
      </c>
      <c r="D75" s="8">
        <v>100000</v>
      </c>
      <c r="E75" s="8">
        <f t="shared" ref="E75:G75" si="404">+F75-15000</f>
        <v>1648000</v>
      </c>
      <c r="F75" s="8">
        <f t="shared" si="404"/>
        <v>1663000</v>
      </c>
      <c r="G75" s="8">
        <f t="shared" si="404"/>
        <v>1678000</v>
      </c>
      <c r="H75" s="8">
        <f t="shared" ref="H75:O75" si="405">+I75-20000</f>
        <v>1693000</v>
      </c>
      <c r="I75" s="8">
        <f t="shared" si="405"/>
        <v>1713000</v>
      </c>
      <c r="J75" s="8">
        <f t="shared" si="405"/>
        <v>1733000</v>
      </c>
      <c r="K75" s="8">
        <f t="shared" si="405"/>
        <v>1753000</v>
      </c>
      <c r="L75" s="8">
        <f t="shared" si="405"/>
        <v>1773000</v>
      </c>
      <c r="M75" s="8">
        <f t="shared" si="405"/>
        <v>1793000</v>
      </c>
      <c r="N75" s="8">
        <f t="shared" si="405"/>
        <v>1813000</v>
      </c>
      <c r="O75" s="8">
        <f t="shared" si="405"/>
        <v>1833000</v>
      </c>
      <c r="P75" s="8">
        <v>1853000</v>
      </c>
      <c r="Q75" s="8">
        <v>350000</v>
      </c>
      <c r="R75" s="8">
        <f>+Q75+50000</f>
        <v>400000</v>
      </c>
      <c r="S75" s="8">
        <f t="shared" ref="S75:AA76" si="406">+R75+50000</f>
        <v>450000</v>
      </c>
      <c r="T75" s="8">
        <f t="shared" si="406"/>
        <v>500000</v>
      </c>
      <c r="U75" s="8">
        <f t="shared" si="406"/>
        <v>550000</v>
      </c>
      <c r="V75" s="8">
        <v>0</v>
      </c>
      <c r="W75" s="8">
        <f t="shared" si="406"/>
        <v>50000</v>
      </c>
      <c r="X75" s="8">
        <f t="shared" si="406"/>
        <v>100000</v>
      </c>
      <c r="Y75" s="8">
        <f t="shared" si="406"/>
        <v>150000</v>
      </c>
      <c r="Z75" s="8">
        <f t="shared" si="406"/>
        <v>200000</v>
      </c>
      <c r="AA75" s="8">
        <f t="shared" si="406"/>
        <v>250000</v>
      </c>
      <c r="AB75" s="8">
        <v>300000</v>
      </c>
      <c r="AC75" s="8">
        <v>230000</v>
      </c>
      <c r="AD75" s="8">
        <v>0</v>
      </c>
      <c r="AE75" s="8">
        <f>+AD75+5000</f>
        <v>5000</v>
      </c>
      <c r="AF75" s="8">
        <v>5000</v>
      </c>
      <c r="AG75" s="8">
        <v>5000</v>
      </c>
      <c r="AH75" s="8">
        <f t="shared" ref="AH75:AM75" si="407">+AG75+30000</f>
        <v>35000</v>
      </c>
      <c r="AI75" s="8">
        <f t="shared" si="407"/>
        <v>65000</v>
      </c>
      <c r="AJ75" s="8">
        <f t="shared" si="407"/>
        <v>95000</v>
      </c>
      <c r="AK75" s="8">
        <f t="shared" si="407"/>
        <v>125000</v>
      </c>
      <c r="AL75" s="8">
        <f t="shared" si="407"/>
        <v>155000</v>
      </c>
      <c r="AM75" s="8">
        <f t="shared" si="407"/>
        <v>185000</v>
      </c>
      <c r="AN75" s="8">
        <v>415000</v>
      </c>
      <c r="AO75" s="8">
        <f t="shared" si="382"/>
        <v>2668000</v>
      </c>
      <c r="AP75" s="16">
        <f t="shared" si="383"/>
        <v>2900</v>
      </c>
      <c r="AQ75" s="16">
        <f t="shared" si="384"/>
        <v>2000</v>
      </c>
      <c r="AR75" s="16">
        <f t="shared" si="385"/>
        <v>2275</v>
      </c>
      <c r="AS75" s="16">
        <f t="shared" si="386"/>
        <v>2525</v>
      </c>
      <c r="AT75" s="16">
        <f t="shared" si="387"/>
        <v>2775</v>
      </c>
      <c r="AU75" s="16">
        <f t="shared" si="388"/>
        <v>175</v>
      </c>
      <c r="AV75" s="16">
        <f t="shared" si="389"/>
        <v>575</v>
      </c>
      <c r="AW75" s="16">
        <f t="shared" si="390"/>
        <v>975</v>
      </c>
      <c r="AX75" s="16">
        <f t="shared" si="391"/>
        <v>1375</v>
      </c>
      <c r="AY75" s="16">
        <f t="shared" si="392"/>
        <v>1775</v>
      </c>
      <c r="AZ75" s="16">
        <f t="shared" si="393"/>
        <v>2175</v>
      </c>
      <c r="BA75" s="16">
        <f t="shared" si="394"/>
        <v>3575</v>
      </c>
      <c r="BB75" s="16">
        <v>150000</v>
      </c>
      <c r="BC75" s="8">
        <v>0</v>
      </c>
      <c r="BD75" s="16">
        <f t="shared" si="258"/>
        <v>23100</v>
      </c>
      <c r="BE75" s="23">
        <f t="shared" si="363"/>
        <v>4126.1137544304856</v>
      </c>
      <c r="BF75" s="23">
        <f t="shared" si="364"/>
        <v>3481.6122744478607</v>
      </c>
      <c r="BG75" s="23">
        <f t="shared" si="365"/>
        <v>11222.570969607132</v>
      </c>
      <c r="BH75" s="23">
        <f t="shared" si="366"/>
        <v>18397.499097464366</v>
      </c>
      <c r="BI75" s="23">
        <f t="shared" si="367"/>
        <v>14431.855391540656</v>
      </c>
      <c r="BJ75" s="23">
        <f t="shared" si="368"/>
        <v>11669.786444728987</v>
      </c>
      <c r="BK75" s="23">
        <f t="shared" si="369"/>
        <v>8517.6738936961538</v>
      </c>
      <c r="BL75" s="23">
        <f t="shared" si="370"/>
        <v>15711.400542529633</v>
      </c>
      <c r="BM75" s="23">
        <f t="shared" si="371"/>
        <v>16731.419071103337</v>
      </c>
      <c r="BN75" s="23">
        <f t="shared" si="372"/>
        <v>14631.864235609164</v>
      </c>
      <c r="BO75" s="23">
        <f t="shared" si="373"/>
        <v>11042.949049999774</v>
      </c>
      <c r="BP75" s="23">
        <f t="shared" si="374"/>
        <v>10883.733255019681</v>
      </c>
      <c r="BQ75" s="22">
        <f t="shared" si="395"/>
        <v>140848.47798017724</v>
      </c>
      <c r="BR75" s="8">
        <f t="shared" si="375"/>
        <v>32758.196093762726</v>
      </c>
      <c r="BS75" s="8">
        <f t="shared" si="396"/>
        <v>173606.67407393997</v>
      </c>
      <c r="BT75" s="8">
        <f t="shared" si="376"/>
        <v>196706.67407393997</v>
      </c>
      <c r="BU75" s="6">
        <f t="shared" si="403"/>
        <v>2568000</v>
      </c>
    </row>
    <row r="76" spans="1:82" ht="13.5" customHeight="1" x14ac:dyDescent="0.2">
      <c r="A76" s="15">
        <v>69</v>
      </c>
      <c r="B76" s="15">
        <v>123</v>
      </c>
      <c r="C76" s="14" t="s">
        <v>77</v>
      </c>
      <c r="D76" s="8">
        <v>100000</v>
      </c>
      <c r="E76" s="8">
        <f t="shared" ref="E76:G76" si="408">+F76-15000</f>
        <v>1643000</v>
      </c>
      <c r="F76" s="8">
        <f t="shared" si="408"/>
        <v>1658000</v>
      </c>
      <c r="G76" s="8">
        <f t="shared" si="408"/>
        <v>1673000</v>
      </c>
      <c r="H76" s="8">
        <f t="shared" ref="H76:O76" si="409">+I76-20000</f>
        <v>1688000</v>
      </c>
      <c r="I76" s="8">
        <f t="shared" si="409"/>
        <v>1708000</v>
      </c>
      <c r="J76" s="8">
        <f t="shared" si="409"/>
        <v>1728000</v>
      </c>
      <c r="K76" s="8">
        <f t="shared" si="409"/>
        <v>1748000</v>
      </c>
      <c r="L76" s="8">
        <f t="shared" si="409"/>
        <v>1768000</v>
      </c>
      <c r="M76" s="8">
        <f t="shared" si="409"/>
        <v>1788000</v>
      </c>
      <c r="N76" s="8">
        <f t="shared" si="409"/>
        <v>1808000</v>
      </c>
      <c r="O76" s="8">
        <f t="shared" si="409"/>
        <v>1828000</v>
      </c>
      <c r="P76" s="8">
        <v>1848000</v>
      </c>
      <c r="Q76" s="8">
        <v>300000</v>
      </c>
      <c r="R76" s="8">
        <f>+Q76+50000</f>
        <v>350000</v>
      </c>
      <c r="S76" s="8">
        <f t="shared" si="406"/>
        <v>400000</v>
      </c>
      <c r="T76" s="8">
        <f t="shared" si="406"/>
        <v>450000</v>
      </c>
      <c r="U76" s="8">
        <f t="shared" si="406"/>
        <v>500000</v>
      </c>
      <c r="V76" s="8">
        <v>0</v>
      </c>
      <c r="W76" s="8">
        <f>+V76+100000</f>
        <v>100000</v>
      </c>
      <c r="X76" s="8">
        <f t="shared" ref="X76:AA76" si="410">+W76+100000</f>
        <v>200000</v>
      </c>
      <c r="Y76" s="8">
        <f t="shared" si="410"/>
        <v>300000</v>
      </c>
      <c r="Z76" s="8">
        <f t="shared" si="410"/>
        <v>400000</v>
      </c>
      <c r="AA76" s="8">
        <f t="shared" si="410"/>
        <v>500000</v>
      </c>
      <c r="AB76" s="8">
        <v>600000</v>
      </c>
      <c r="AC76" s="8">
        <v>200000</v>
      </c>
      <c r="AD76" s="8">
        <f>+AC76+50000</f>
        <v>250000</v>
      </c>
      <c r="AE76" s="8">
        <f t="shared" ref="AE76:AM76" si="411">+AD76+50000</f>
        <v>300000</v>
      </c>
      <c r="AF76" s="8">
        <v>0</v>
      </c>
      <c r="AG76" s="8">
        <f>+AF76+50000+1000000</f>
        <v>1050000</v>
      </c>
      <c r="AH76" s="8">
        <f t="shared" si="411"/>
        <v>1100000</v>
      </c>
      <c r="AI76" s="8">
        <f t="shared" si="411"/>
        <v>1150000</v>
      </c>
      <c r="AJ76" s="8">
        <f t="shared" si="411"/>
        <v>1200000</v>
      </c>
      <c r="AK76" s="8">
        <f t="shared" si="411"/>
        <v>1250000</v>
      </c>
      <c r="AL76" s="8">
        <f t="shared" si="411"/>
        <v>1300000</v>
      </c>
      <c r="AM76" s="8">
        <f t="shared" si="411"/>
        <v>1350000</v>
      </c>
      <c r="AN76" s="8">
        <v>1400000</v>
      </c>
      <c r="AO76" s="8">
        <f t="shared" si="382"/>
        <v>3948000</v>
      </c>
      <c r="AP76" s="16">
        <f t="shared" si="383"/>
        <v>2500</v>
      </c>
      <c r="AQ76" s="16">
        <f t="shared" si="384"/>
        <v>3000</v>
      </c>
      <c r="AR76" s="16">
        <f t="shared" si="385"/>
        <v>3500</v>
      </c>
      <c r="AS76" s="16">
        <f t="shared" si="386"/>
        <v>2250</v>
      </c>
      <c r="AT76" s="16">
        <f t="shared" si="387"/>
        <v>7750</v>
      </c>
      <c r="AU76" s="16">
        <f t="shared" si="388"/>
        <v>5500</v>
      </c>
      <c r="AV76" s="16">
        <f t="shared" si="389"/>
        <v>6250</v>
      </c>
      <c r="AW76" s="16">
        <f t="shared" si="390"/>
        <v>7000</v>
      </c>
      <c r="AX76" s="16">
        <f t="shared" si="391"/>
        <v>7750</v>
      </c>
      <c r="AY76" s="16">
        <f t="shared" si="392"/>
        <v>8500</v>
      </c>
      <c r="AZ76" s="16">
        <f t="shared" si="393"/>
        <v>9250</v>
      </c>
      <c r="BA76" s="16">
        <f t="shared" si="394"/>
        <v>10000</v>
      </c>
      <c r="BB76" s="16">
        <v>562500</v>
      </c>
      <c r="BC76" s="8">
        <v>3000000</v>
      </c>
      <c r="BD76" s="16">
        <f t="shared" si="258"/>
        <v>73250</v>
      </c>
      <c r="BE76" s="23">
        <f t="shared" si="363"/>
        <v>3975.4609755960391</v>
      </c>
      <c r="BF76" s="23">
        <f t="shared" si="364"/>
        <v>3795.4885543911491</v>
      </c>
      <c r="BG76" s="23">
        <f t="shared" si="365"/>
        <v>12428.758624199927</v>
      </c>
      <c r="BH76" s="23">
        <f t="shared" si="366"/>
        <v>17917.146640611511</v>
      </c>
      <c r="BI76" s="23">
        <f t="shared" si="367"/>
        <v>20465.443583105371</v>
      </c>
      <c r="BJ76" s="23">
        <f t="shared" si="368"/>
        <v>18291.828003301111</v>
      </c>
      <c r="BK76" s="23">
        <f t="shared" si="369"/>
        <v>13408.411444446487</v>
      </c>
      <c r="BL76" s="23">
        <f t="shared" si="370"/>
        <v>24828.267395061332</v>
      </c>
      <c r="BM76" s="23">
        <f t="shared" si="371"/>
        <v>26532.573231758888</v>
      </c>
      <c r="BN76" s="23">
        <f t="shared" si="372"/>
        <v>23276.792840422338</v>
      </c>
      <c r="BO76" s="23">
        <f t="shared" si="373"/>
        <v>17618.353678589167</v>
      </c>
      <c r="BP76" s="23">
        <f t="shared" si="374"/>
        <v>16105.314426843215</v>
      </c>
      <c r="BQ76" s="22">
        <f t="shared" si="395"/>
        <v>198643.83939832653</v>
      </c>
      <c r="BR76" s="8">
        <f t="shared" si="375"/>
        <v>122843.23535161022</v>
      </c>
      <c r="BS76" s="8">
        <f t="shared" si="396"/>
        <v>321487.07474993676</v>
      </c>
      <c r="BT76" s="8">
        <f t="shared" si="376"/>
        <v>394737.07474993676</v>
      </c>
      <c r="BU76" s="6">
        <f t="shared" si="403"/>
        <v>3848000</v>
      </c>
      <c r="BX76" s="137" t="s">
        <v>639</v>
      </c>
      <c r="BY76" s="137"/>
    </row>
    <row r="77" spans="1:82" s="110" customFormat="1" ht="13.5" customHeight="1" x14ac:dyDescent="0.2">
      <c r="A77" s="24">
        <v>70</v>
      </c>
      <c r="B77" s="24">
        <v>124</v>
      </c>
      <c r="C77" s="25" t="s">
        <v>78</v>
      </c>
      <c r="D77" s="26">
        <v>100000</v>
      </c>
      <c r="E77" s="26">
        <f t="shared" ref="E77:G77" si="412">+F77-15000</f>
        <v>1657000</v>
      </c>
      <c r="F77" s="26">
        <f t="shared" si="412"/>
        <v>1672000</v>
      </c>
      <c r="G77" s="26">
        <f t="shared" si="412"/>
        <v>1687000</v>
      </c>
      <c r="H77" s="26">
        <f t="shared" ref="H77:O77" si="413">+I77-20000</f>
        <v>1702000</v>
      </c>
      <c r="I77" s="26">
        <f t="shared" si="413"/>
        <v>1722000</v>
      </c>
      <c r="J77" s="26">
        <f t="shared" si="413"/>
        <v>1742000</v>
      </c>
      <c r="K77" s="26">
        <f t="shared" si="413"/>
        <v>1762000</v>
      </c>
      <c r="L77" s="26">
        <f t="shared" si="413"/>
        <v>1782000</v>
      </c>
      <c r="M77" s="26">
        <f t="shared" si="413"/>
        <v>1802000</v>
      </c>
      <c r="N77" s="26">
        <f t="shared" si="413"/>
        <v>1822000</v>
      </c>
      <c r="O77" s="26">
        <f t="shared" si="413"/>
        <v>1842000</v>
      </c>
      <c r="P77" s="26">
        <v>1862000</v>
      </c>
      <c r="Q77" s="26">
        <v>360000</v>
      </c>
      <c r="R77" s="26">
        <f>+Q77+60000</f>
        <v>420000</v>
      </c>
      <c r="S77" s="26">
        <f t="shared" ref="S77:AA77" si="414">+R77+60000</f>
        <v>480000</v>
      </c>
      <c r="T77" s="26">
        <f t="shared" si="414"/>
        <v>540000</v>
      </c>
      <c r="U77" s="26">
        <f t="shared" si="414"/>
        <v>600000</v>
      </c>
      <c r="V77" s="26">
        <v>0</v>
      </c>
      <c r="W77" s="26">
        <f t="shared" si="414"/>
        <v>60000</v>
      </c>
      <c r="X77" s="26">
        <f t="shared" si="414"/>
        <v>120000</v>
      </c>
      <c r="Y77" s="26">
        <f t="shared" si="414"/>
        <v>180000</v>
      </c>
      <c r="Z77" s="26">
        <f t="shared" si="414"/>
        <v>240000</v>
      </c>
      <c r="AA77" s="26">
        <f t="shared" si="414"/>
        <v>300000</v>
      </c>
      <c r="AB77" s="26">
        <v>360000</v>
      </c>
      <c r="AC77" s="26">
        <v>529000</v>
      </c>
      <c r="AD77" s="26">
        <f>+AC77+22000</f>
        <v>551000</v>
      </c>
      <c r="AE77" s="26">
        <f t="shared" ref="AE77:AM77" si="415">+AD77+22000</f>
        <v>573000</v>
      </c>
      <c r="AF77" s="26">
        <f t="shared" si="415"/>
        <v>595000</v>
      </c>
      <c r="AG77" s="26">
        <f t="shared" si="415"/>
        <v>617000</v>
      </c>
      <c r="AH77" s="26">
        <f>+AG77+22000-500000</f>
        <v>139000</v>
      </c>
      <c r="AI77" s="26">
        <f t="shared" si="415"/>
        <v>161000</v>
      </c>
      <c r="AJ77" s="26">
        <f t="shared" si="415"/>
        <v>183000</v>
      </c>
      <c r="AK77" s="26">
        <f t="shared" si="415"/>
        <v>205000</v>
      </c>
      <c r="AL77" s="26">
        <f t="shared" si="415"/>
        <v>227000</v>
      </c>
      <c r="AM77" s="26">
        <f t="shared" si="415"/>
        <v>249000</v>
      </c>
      <c r="AN77" s="26">
        <v>71000</v>
      </c>
      <c r="AO77" s="26">
        <f t="shared" si="382"/>
        <v>2393000</v>
      </c>
      <c r="AP77" s="27">
        <f t="shared" si="383"/>
        <v>4445</v>
      </c>
      <c r="AQ77" s="27">
        <f t="shared" si="384"/>
        <v>4855</v>
      </c>
      <c r="AR77" s="27">
        <f t="shared" si="385"/>
        <v>5265</v>
      </c>
      <c r="AS77" s="27">
        <f t="shared" si="386"/>
        <v>5675</v>
      </c>
      <c r="AT77" s="27">
        <f t="shared" si="387"/>
        <v>6085</v>
      </c>
      <c r="AU77" s="27">
        <f t="shared" si="388"/>
        <v>695</v>
      </c>
      <c r="AV77" s="27">
        <f t="shared" si="389"/>
        <v>1105</v>
      </c>
      <c r="AW77" s="27">
        <f t="shared" si="390"/>
        <v>1515</v>
      </c>
      <c r="AX77" s="27">
        <f t="shared" si="391"/>
        <v>1925</v>
      </c>
      <c r="AY77" s="27">
        <f t="shared" si="392"/>
        <v>2335</v>
      </c>
      <c r="AZ77" s="27">
        <f t="shared" si="393"/>
        <v>2745</v>
      </c>
      <c r="BA77" s="27">
        <f t="shared" si="394"/>
        <v>2155</v>
      </c>
      <c r="BB77" s="27">
        <v>900000</v>
      </c>
      <c r="BC77" s="26">
        <v>1664000</v>
      </c>
      <c r="BD77" s="27">
        <f t="shared" si="258"/>
        <v>38800</v>
      </c>
      <c r="BE77" s="28">
        <f t="shared" si="363"/>
        <v>4689.7323858346499</v>
      </c>
      <c r="BF77" s="28">
        <f t="shared" si="364"/>
        <v>4415.1930045355903</v>
      </c>
      <c r="BG77" s="28">
        <f t="shared" si="365"/>
        <v>14273.220579348077</v>
      </c>
      <c r="BH77" s="28">
        <f t="shared" si="366"/>
        <v>23513.252762947279</v>
      </c>
      <c r="BI77" s="28">
        <f t="shared" si="367"/>
        <v>18521.287388045628</v>
      </c>
      <c r="BJ77" s="28">
        <f t="shared" si="368"/>
        <v>12375.721063708846</v>
      </c>
      <c r="BK77" s="28">
        <f t="shared" si="369"/>
        <v>9015.4038214273824</v>
      </c>
      <c r="BL77" s="28">
        <f t="shared" si="370"/>
        <v>16600.295060651471</v>
      </c>
      <c r="BM77" s="28">
        <f t="shared" si="371"/>
        <v>17649.794933400983</v>
      </c>
      <c r="BN77" s="28">
        <f t="shared" si="372"/>
        <v>15412.488385745281</v>
      </c>
      <c r="BO77" s="28">
        <f t="shared" si="373"/>
        <v>11616.548177174594</v>
      </c>
      <c r="BP77" s="28">
        <f t="shared" si="374"/>
        <v>9761.9091751357173</v>
      </c>
      <c r="BQ77" s="29">
        <f t="shared" si="395"/>
        <v>157844.84673795546</v>
      </c>
      <c r="BR77" s="26">
        <f t="shared" si="375"/>
        <v>196549.17656257635</v>
      </c>
      <c r="BS77" s="26">
        <f t="shared" si="396"/>
        <v>354394.02330053179</v>
      </c>
      <c r="BT77" s="26">
        <f t="shared" si="376"/>
        <v>393194.02330053179</v>
      </c>
      <c r="BU77" s="111">
        <f t="shared" si="403"/>
        <v>2293000</v>
      </c>
      <c r="BV77" s="110">
        <v>68</v>
      </c>
      <c r="BX77" s="115" t="s">
        <v>669</v>
      </c>
    </row>
    <row r="78" spans="1:82" s="110" customFormat="1" ht="13.5" customHeight="1" x14ac:dyDescent="0.2">
      <c r="A78" s="24">
        <v>71</v>
      </c>
      <c r="B78" s="24">
        <v>129</v>
      </c>
      <c r="C78" s="25" t="s">
        <v>79</v>
      </c>
      <c r="D78" s="26">
        <v>100000</v>
      </c>
      <c r="E78" s="26">
        <f t="shared" ref="E78:G78" si="416">+F78-15000</f>
        <v>1649000</v>
      </c>
      <c r="F78" s="26">
        <f t="shared" si="416"/>
        <v>1664000</v>
      </c>
      <c r="G78" s="26">
        <f t="shared" si="416"/>
        <v>1679000</v>
      </c>
      <c r="H78" s="26">
        <f t="shared" ref="H78:O78" si="417">+I78-20000</f>
        <v>1694000</v>
      </c>
      <c r="I78" s="26">
        <f t="shared" si="417"/>
        <v>1714000</v>
      </c>
      <c r="J78" s="26">
        <f t="shared" si="417"/>
        <v>1734000</v>
      </c>
      <c r="K78" s="26">
        <f t="shared" si="417"/>
        <v>1754000</v>
      </c>
      <c r="L78" s="26">
        <f t="shared" si="417"/>
        <v>1774000</v>
      </c>
      <c r="M78" s="26">
        <f t="shared" si="417"/>
        <v>1794000</v>
      </c>
      <c r="N78" s="26">
        <f t="shared" si="417"/>
        <v>1814000</v>
      </c>
      <c r="O78" s="26">
        <f t="shared" si="417"/>
        <v>1834000</v>
      </c>
      <c r="P78" s="26">
        <v>1854000</v>
      </c>
      <c r="Q78" s="26">
        <v>400000</v>
      </c>
      <c r="R78" s="26">
        <f>+Q78+70000</f>
        <v>470000</v>
      </c>
      <c r="S78" s="26">
        <f t="shared" ref="S78:U78" si="418">+R78+70000</f>
        <v>540000</v>
      </c>
      <c r="T78" s="26">
        <f t="shared" si="418"/>
        <v>610000</v>
      </c>
      <c r="U78" s="26">
        <f t="shared" si="418"/>
        <v>680000</v>
      </c>
      <c r="V78" s="26">
        <v>0</v>
      </c>
      <c r="W78" s="26">
        <f>+V78+100000</f>
        <v>100000</v>
      </c>
      <c r="X78" s="26">
        <f t="shared" ref="X78:AA78" si="419">+W78+100000</f>
        <v>200000</v>
      </c>
      <c r="Y78" s="26">
        <f t="shared" si="419"/>
        <v>300000</v>
      </c>
      <c r="Z78" s="26">
        <f t="shared" si="419"/>
        <v>400000</v>
      </c>
      <c r="AA78" s="26">
        <f t="shared" si="419"/>
        <v>500000</v>
      </c>
      <c r="AB78" s="26">
        <v>600000</v>
      </c>
      <c r="AC78" s="26">
        <v>160000</v>
      </c>
      <c r="AD78" s="26">
        <f>+AC78+30000</f>
        <v>190000</v>
      </c>
      <c r="AE78" s="26">
        <f t="shared" ref="AE78:AM78" si="420">+AD78+30000</f>
        <v>220000</v>
      </c>
      <c r="AF78" s="26">
        <f>+AE78+30000-100000</f>
        <v>150000</v>
      </c>
      <c r="AG78" s="26">
        <f t="shared" si="420"/>
        <v>180000</v>
      </c>
      <c r="AH78" s="26">
        <f t="shared" si="420"/>
        <v>210000</v>
      </c>
      <c r="AI78" s="26">
        <f t="shared" si="420"/>
        <v>240000</v>
      </c>
      <c r="AJ78" s="26">
        <f t="shared" si="420"/>
        <v>270000</v>
      </c>
      <c r="AK78" s="26">
        <f t="shared" si="420"/>
        <v>300000</v>
      </c>
      <c r="AL78" s="26">
        <f t="shared" si="420"/>
        <v>330000</v>
      </c>
      <c r="AM78" s="26">
        <f t="shared" si="420"/>
        <v>360000</v>
      </c>
      <c r="AN78" s="26">
        <v>90000</v>
      </c>
      <c r="AO78" s="26">
        <f t="shared" si="382"/>
        <v>2644000</v>
      </c>
      <c r="AP78" s="27">
        <f t="shared" si="383"/>
        <v>2800</v>
      </c>
      <c r="AQ78" s="27">
        <f t="shared" si="384"/>
        <v>3300</v>
      </c>
      <c r="AR78" s="27">
        <f t="shared" si="385"/>
        <v>3800</v>
      </c>
      <c r="AS78" s="27">
        <f t="shared" si="386"/>
        <v>3800</v>
      </c>
      <c r="AT78" s="27">
        <f t="shared" si="387"/>
        <v>4300</v>
      </c>
      <c r="AU78" s="27">
        <f t="shared" si="388"/>
        <v>1050</v>
      </c>
      <c r="AV78" s="27">
        <f t="shared" si="389"/>
        <v>1700</v>
      </c>
      <c r="AW78" s="27">
        <f t="shared" si="390"/>
        <v>2350</v>
      </c>
      <c r="AX78" s="27">
        <f t="shared" si="391"/>
        <v>3000</v>
      </c>
      <c r="AY78" s="27">
        <f t="shared" si="392"/>
        <v>3650</v>
      </c>
      <c r="AZ78" s="27">
        <f t="shared" si="393"/>
        <v>4300</v>
      </c>
      <c r="BA78" s="27">
        <f t="shared" si="394"/>
        <v>3450</v>
      </c>
      <c r="BB78" s="26">
        <v>900000</v>
      </c>
      <c r="BC78" s="26">
        <v>1750000</v>
      </c>
      <c r="BD78" s="27">
        <f t="shared" si="258"/>
        <v>37500</v>
      </c>
      <c r="BE78" s="28">
        <f t="shared" si="363"/>
        <v>4092.4384273969035</v>
      </c>
      <c r="BF78" s="28">
        <f t="shared" si="364"/>
        <v>3901.7236029873393</v>
      </c>
      <c r="BG78" s="28">
        <f t="shared" si="365"/>
        <v>12760.460229212946</v>
      </c>
      <c r="BH78" s="28">
        <f t="shared" si="366"/>
        <v>20447.002913369884</v>
      </c>
      <c r="BI78" s="28">
        <f t="shared" si="367"/>
        <v>16296.782650751567</v>
      </c>
      <c r="BJ78" s="28">
        <f t="shared" si="368"/>
        <v>12769.295231812661</v>
      </c>
      <c r="BK78" s="28">
        <f t="shared" si="369"/>
        <v>9495.8214038462211</v>
      </c>
      <c r="BL78" s="28">
        <f t="shared" si="370"/>
        <v>17808.279918611923</v>
      </c>
      <c r="BM78" s="28">
        <f t="shared" si="371"/>
        <v>19247.305887145627</v>
      </c>
      <c r="BN78" s="28">
        <f t="shared" si="372"/>
        <v>17057.605396362713</v>
      </c>
      <c r="BO78" s="28">
        <f t="shared" si="373"/>
        <v>13029.560661190611</v>
      </c>
      <c r="BP78" s="28">
        <f t="shared" si="374"/>
        <v>10785.82860804799</v>
      </c>
      <c r="BQ78" s="29">
        <f t="shared" si="395"/>
        <v>157692.10493073639</v>
      </c>
      <c r="BR78" s="26">
        <f t="shared" si="375"/>
        <v>196549.17656257635</v>
      </c>
      <c r="BS78" s="26">
        <f t="shared" si="396"/>
        <v>354241.28149331274</v>
      </c>
      <c r="BT78" s="26">
        <f t="shared" si="376"/>
        <v>391741.28149331274</v>
      </c>
      <c r="BU78" s="111">
        <f t="shared" si="403"/>
        <v>2544000</v>
      </c>
      <c r="BV78" s="110">
        <v>67</v>
      </c>
      <c r="BX78" s="115" t="s">
        <v>664</v>
      </c>
      <c r="BY78" s="115" t="s">
        <v>670</v>
      </c>
      <c r="BZ78" s="115" t="s">
        <v>674</v>
      </c>
    </row>
    <row r="79" spans="1:82" s="110" customFormat="1" ht="13.5" customHeight="1" x14ac:dyDescent="0.2">
      <c r="A79" s="128">
        <v>72</v>
      </c>
      <c r="B79" s="128">
        <v>130</v>
      </c>
      <c r="C79" s="129" t="s">
        <v>80</v>
      </c>
      <c r="D79" s="130">
        <v>100000</v>
      </c>
      <c r="E79" s="130">
        <f t="shared" ref="E79:G79" si="421">+F79-15000</f>
        <v>1646000</v>
      </c>
      <c r="F79" s="130">
        <f t="shared" si="421"/>
        <v>1661000</v>
      </c>
      <c r="G79" s="130">
        <f t="shared" si="421"/>
        <v>1676000</v>
      </c>
      <c r="H79" s="130">
        <f t="shared" ref="H79:O79" si="422">+I79-20000</f>
        <v>1691000</v>
      </c>
      <c r="I79" s="130">
        <f t="shared" si="422"/>
        <v>1711000</v>
      </c>
      <c r="J79" s="130">
        <f t="shared" si="422"/>
        <v>1731000</v>
      </c>
      <c r="K79" s="130">
        <f t="shared" si="422"/>
        <v>1751000</v>
      </c>
      <c r="L79" s="130">
        <f t="shared" si="422"/>
        <v>1771000</v>
      </c>
      <c r="M79" s="130">
        <f t="shared" si="422"/>
        <v>1791000</v>
      </c>
      <c r="N79" s="130">
        <f t="shared" si="422"/>
        <v>1811000</v>
      </c>
      <c r="O79" s="130">
        <f t="shared" si="422"/>
        <v>1831000</v>
      </c>
      <c r="P79" s="130">
        <v>1851000</v>
      </c>
      <c r="Q79" s="130">
        <v>900000</v>
      </c>
      <c r="R79" s="130">
        <f>+Q79+150000</f>
        <v>1050000</v>
      </c>
      <c r="S79" s="130">
        <f t="shared" ref="S79:AA79" si="423">+R79+150000</f>
        <v>1200000</v>
      </c>
      <c r="T79" s="130">
        <f t="shared" si="423"/>
        <v>1350000</v>
      </c>
      <c r="U79" s="130">
        <f t="shared" si="423"/>
        <v>1500000</v>
      </c>
      <c r="V79" s="130">
        <v>0</v>
      </c>
      <c r="W79" s="130">
        <f t="shared" si="423"/>
        <v>150000</v>
      </c>
      <c r="X79" s="130">
        <f t="shared" si="423"/>
        <v>300000</v>
      </c>
      <c r="Y79" s="130">
        <f t="shared" si="423"/>
        <v>450000</v>
      </c>
      <c r="Z79" s="130">
        <f t="shared" si="423"/>
        <v>600000</v>
      </c>
      <c r="AA79" s="130">
        <f t="shared" si="423"/>
        <v>750000</v>
      </c>
      <c r="AB79" s="130">
        <v>900000</v>
      </c>
      <c r="AC79" s="130">
        <v>479000</v>
      </c>
      <c r="AD79" s="130">
        <f>+AC79+200000</f>
        <v>679000</v>
      </c>
      <c r="AE79" s="130">
        <f t="shared" ref="AE79:AM79" si="424">+AD79+200000</f>
        <v>879000</v>
      </c>
      <c r="AF79" s="130">
        <f t="shared" si="424"/>
        <v>1079000</v>
      </c>
      <c r="AG79" s="130">
        <f t="shared" si="424"/>
        <v>1279000</v>
      </c>
      <c r="AH79" s="130">
        <f t="shared" si="424"/>
        <v>1479000</v>
      </c>
      <c r="AI79" s="130">
        <f t="shared" si="424"/>
        <v>1679000</v>
      </c>
      <c r="AJ79" s="130">
        <f t="shared" si="424"/>
        <v>1879000</v>
      </c>
      <c r="AK79" s="130">
        <f t="shared" si="424"/>
        <v>2079000</v>
      </c>
      <c r="AL79" s="130">
        <f t="shared" si="424"/>
        <v>2279000</v>
      </c>
      <c r="AM79" s="130">
        <f t="shared" si="424"/>
        <v>2479000</v>
      </c>
      <c r="AN79" s="130">
        <v>2679000</v>
      </c>
      <c r="AO79" s="130">
        <f t="shared" si="382"/>
        <v>5530000</v>
      </c>
      <c r="AP79" s="131">
        <f t="shared" si="383"/>
        <v>6895</v>
      </c>
      <c r="AQ79" s="131">
        <f t="shared" si="384"/>
        <v>8645</v>
      </c>
      <c r="AR79" s="131">
        <f t="shared" si="385"/>
        <v>10395</v>
      </c>
      <c r="AS79" s="131">
        <f t="shared" si="386"/>
        <v>12145</v>
      </c>
      <c r="AT79" s="131">
        <f t="shared" si="387"/>
        <v>13895</v>
      </c>
      <c r="AU79" s="131">
        <f t="shared" si="388"/>
        <v>7395</v>
      </c>
      <c r="AV79" s="131">
        <f t="shared" si="389"/>
        <v>9145</v>
      </c>
      <c r="AW79" s="131">
        <f t="shared" si="390"/>
        <v>10895</v>
      </c>
      <c r="AX79" s="131">
        <f t="shared" si="391"/>
        <v>12645</v>
      </c>
      <c r="AY79" s="131">
        <f t="shared" si="392"/>
        <v>14395</v>
      </c>
      <c r="AZ79" s="131">
        <f t="shared" si="393"/>
        <v>16145</v>
      </c>
      <c r="BA79" s="131">
        <f t="shared" si="394"/>
        <v>17895</v>
      </c>
      <c r="BB79" s="130">
        <v>750000</v>
      </c>
      <c r="BC79" s="130">
        <v>1664000</v>
      </c>
      <c r="BD79" s="131">
        <f t="shared" si="258"/>
        <v>140490</v>
      </c>
      <c r="BE79" s="132">
        <f t="shared" si="363"/>
        <v>5538.7051042075891</v>
      </c>
      <c r="BF79" s="132">
        <f t="shared" si="364"/>
        <v>5617.5806000106495</v>
      </c>
      <c r="BG79" s="132">
        <f t="shared" si="365"/>
        <v>19374.389201896774</v>
      </c>
      <c r="BH79" s="132">
        <f t="shared" si="366"/>
        <v>33784.78946531751</v>
      </c>
      <c r="BI79" s="132">
        <f t="shared" si="367"/>
        <v>27973.908888163685</v>
      </c>
      <c r="BJ79" s="132">
        <f t="shared" si="368"/>
        <v>20678.261847994083</v>
      </c>
      <c r="BK79" s="132">
        <f t="shared" si="369"/>
        <v>15927.357687399313</v>
      </c>
      <c r="BL79" s="132">
        <f t="shared" si="370"/>
        <v>30769.425627294491</v>
      </c>
      <c r="BM79" s="132">
        <f t="shared" si="371"/>
        <v>34111.103456769713</v>
      </c>
      <c r="BN79" s="132">
        <f t="shared" si="372"/>
        <v>30902.394042578439</v>
      </c>
      <c r="BO79" s="132">
        <f t="shared" si="373"/>
        <v>24063.182896114373</v>
      </c>
      <c r="BP79" s="132">
        <f t="shared" si="374"/>
        <v>22558.862406393866</v>
      </c>
      <c r="BQ79" s="133">
        <f t="shared" si="395"/>
        <v>271299.96122414048</v>
      </c>
      <c r="BR79" s="130">
        <f t="shared" si="375"/>
        <v>163790.98046881362</v>
      </c>
      <c r="BS79" s="130">
        <f t="shared" si="396"/>
        <v>435090.9416929541</v>
      </c>
      <c r="BT79" s="130">
        <f t="shared" si="376"/>
        <v>575580.94169295416</v>
      </c>
      <c r="BU79" s="134">
        <f t="shared" si="403"/>
        <v>5430000</v>
      </c>
      <c r="BV79" s="135">
        <v>69</v>
      </c>
      <c r="BW79" s="135"/>
      <c r="BX79" s="112" t="s">
        <v>666</v>
      </c>
      <c r="BY79" s="112" t="s">
        <v>638</v>
      </c>
      <c r="BZ79" s="112"/>
      <c r="CA79" s="112" t="s">
        <v>637</v>
      </c>
      <c r="CB79" s="112" t="s">
        <v>638</v>
      </c>
      <c r="CC79" s="112"/>
      <c r="CD79" s="115" t="s">
        <v>665</v>
      </c>
    </row>
    <row r="80" spans="1:82" ht="13.5" customHeight="1" x14ac:dyDescent="0.2">
      <c r="A80" s="15">
        <v>73</v>
      </c>
      <c r="B80" s="15">
        <v>131</v>
      </c>
      <c r="C80" s="14" t="s">
        <v>81</v>
      </c>
      <c r="D80" s="8">
        <v>100000</v>
      </c>
      <c r="E80" s="8">
        <f t="shared" ref="E80:G80" si="425">+F80-15000</f>
        <v>1649000</v>
      </c>
      <c r="F80" s="8">
        <f t="shared" si="425"/>
        <v>1664000</v>
      </c>
      <c r="G80" s="8">
        <f t="shared" si="425"/>
        <v>1679000</v>
      </c>
      <c r="H80" s="8">
        <f t="shared" ref="H80:O80" si="426">+I80-20000</f>
        <v>1694000</v>
      </c>
      <c r="I80" s="8">
        <f t="shared" si="426"/>
        <v>1714000</v>
      </c>
      <c r="J80" s="8">
        <f t="shared" si="426"/>
        <v>1734000</v>
      </c>
      <c r="K80" s="8">
        <f t="shared" si="426"/>
        <v>1754000</v>
      </c>
      <c r="L80" s="8">
        <f t="shared" si="426"/>
        <v>1774000</v>
      </c>
      <c r="M80" s="8">
        <f t="shared" si="426"/>
        <v>1794000</v>
      </c>
      <c r="N80" s="8">
        <f t="shared" si="426"/>
        <v>1814000</v>
      </c>
      <c r="O80" s="8">
        <f t="shared" si="426"/>
        <v>1834000</v>
      </c>
      <c r="P80" s="8">
        <v>1854000</v>
      </c>
      <c r="Q80" s="8">
        <v>175000</v>
      </c>
      <c r="R80" s="8">
        <f>+Q80+25000</f>
        <v>200000</v>
      </c>
      <c r="S80" s="8">
        <f t="shared" ref="S80:T80" si="427">+R80+25000</f>
        <v>225000</v>
      </c>
      <c r="T80" s="8">
        <f t="shared" si="427"/>
        <v>250000</v>
      </c>
      <c r="U80" s="8">
        <f>+T80+225000</f>
        <v>475000</v>
      </c>
      <c r="V80" s="8">
        <v>0</v>
      </c>
      <c r="W80" s="8">
        <f>+V80+115000</f>
        <v>115000</v>
      </c>
      <c r="X80" s="8">
        <f t="shared" ref="X80:AA80" si="428">+W80+115000</f>
        <v>230000</v>
      </c>
      <c r="Y80" s="8">
        <f t="shared" si="428"/>
        <v>345000</v>
      </c>
      <c r="Z80" s="8">
        <f t="shared" si="428"/>
        <v>460000</v>
      </c>
      <c r="AA80" s="8">
        <f t="shared" si="428"/>
        <v>575000</v>
      </c>
      <c r="AB80" s="8">
        <v>690000</v>
      </c>
      <c r="AC80" s="8">
        <v>125000</v>
      </c>
      <c r="AD80" s="8">
        <f>+AC80+22000</f>
        <v>147000</v>
      </c>
      <c r="AE80" s="8">
        <f>+AD80+22000</f>
        <v>169000</v>
      </c>
      <c r="AF80" s="8">
        <f t="shared" ref="AF80:AM80" si="429">+AE80+17000</f>
        <v>186000</v>
      </c>
      <c r="AG80" s="8">
        <f t="shared" si="429"/>
        <v>203000</v>
      </c>
      <c r="AH80" s="8">
        <f t="shared" si="429"/>
        <v>220000</v>
      </c>
      <c r="AI80" s="8">
        <f t="shared" si="429"/>
        <v>237000</v>
      </c>
      <c r="AJ80" s="8">
        <f t="shared" si="429"/>
        <v>254000</v>
      </c>
      <c r="AK80" s="8">
        <f t="shared" si="429"/>
        <v>271000</v>
      </c>
      <c r="AL80" s="8">
        <f t="shared" si="429"/>
        <v>288000</v>
      </c>
      <c r="AM80" s="8">
        <f t="shared" si="429"/>
        <v>305000</v>
      </c>
      <c r="AN80" s="8">
        <v>73000</v>
      </c>
      <c r="AO80" s="8">
        <f t="shared" si="382"/>
        <v>2717000</v>
      </c>
      <c r="AP80" s="16">
        <f t="shared" si="383"/>
        <v>1500</v>
      </c>
      <c r="AQ80" s="16">
        <f t="shared" si="384"/>
        <v>1735</v>
      </c>
      <c r="AR80" s="16">
        <f t="shared" si="385"/>
        <v>1970</v>
      </c>
      <c r="AS80" s="16">
        <f t="shared" si="386"/>
        <v>2180</v>
      </c>
      <c r="AT80" s="16">
        <f t="shared" si="387"/>
        <v>3390</v>
      </c>
      <c r="AU80" s="16">
        <f t="shared" si="388"/>
        <v>1100</v>
      </c>
      <c r="AV80" s="16">
        <f t="shared" si="389"/>
        <v>1760</v>
      </c>
      <c r="AW80" s="16">
        <f t="shared" si="390"/>
        <v>2420</v>
      </c>
      <c r="AX80" s="16">
        <f t="shared" si="391"/>
        <v>3080</v>
      </c>
      <c r="AY80" s="16">
        <f t="shared" si="392"/>
        <v>3740</v>
      </c>
      <c r="AZ80" s="16">
        <f t="shared" si="393"/>
        <v>4400</v>
      </c>
      <c r="BA80" s="16">
        <f t="shared" si="394"/>
        <v>3815</v>
      </c>
      <c r="BB80" s="8">
        <v>405000</v>
      </c>
      <c r="BC80" s="8">
        <v>1833000</v>
      </c>
      <c r="BD80" s="16">
        <f t="shared" si="258"/>
        <v>31090</v>
      </c>
      <c r="BE80" s="23">
        <f t="shared" si="363"/>
        <v>3631.618162726832</v>
      </c>
      <c r="BF80" s="23">
        <f t="shared" si="364"/>
        <v>3397.9119331296506</v>
      </c>
      <c r="BG80" s="23">
        <f t="shared" si="365"/>
        <v>10921.024055958933</v>
      </c>
      <c r="BH80" s="23">
        <f t="shared" si="366"/>
        <v>17853.099646364466</v>
      </c>
      <c r="BI80" s="23">
        <f t="shared" si="367"/>
        <v>15187.577548867952</v>
      </c>
      <c r="BJ80" s="23">
        <f t="shared" si="368"/>
        <v>12831.767321987869</v>
      </c>
      <c r="BK80" s="23">
        <f t="shared" si="369"/>
        <v>9547.7584397833925</v>
      </c>
      <c r="BL80" s="23">
        <f t="shared" si="370"/>
        <v>17914.643365224794</v>
      </c>
      <c r="BM80" s="23">
        <f t="shared" si="371"/>
        <v>19370.784994681446</v>
      </c>
      <c r="BN80" s="23">
        <f t="shared" si="372"/>
        <v>17173.731302994533</v>
      </c>
      <c r="BO80" s="23">
        <f t="shared" si="373"/>
        <v>13122.828811950745</v>
      </c>
      <c r="BP80" s="23">
        <f t="shared" si="374"/>
        <v>11083.62190925355</v>
      </c>
      <c r="BQ80" s="22">
        <f t="shared" si="395"/>
        <v>152036.36749292418</v>
      </c>
      <c r="BR80" s="8">
        <f t="shared" si="375"/>
        <v>88447.129453159359</v>
      </c>
      <c r="BS80" s="8">
        <f t="shared" si="396"/>
        <v>240483.49694608356</v>
      </c>
      <c r="BT80" s="8">
        <f t="shared" si="376"/>
        <v>271573.49694608356</v>
      </c>
      <c r="BU80" s="6">
        <f t="shared" si="403"/>
        <v>2617000</v>
      </c>
      <c r="BX80" s="115" t="s">
        <v>640</v>
      </c>
      <c r="BY80" s="115" t="s">
        <v>641</v>
      </c>
    </row>
    <row r="81" spans="1:78" ht="13.5" customHeight="1" x14ac:dyDescent="0.2">
      <c r="A81" s="15">
        <v>74</v>
      </c>
      <c r="B81" s="15">
        <v>132</v>
      </c>
      <c r="C81" s="14" t="s">
        <v>82</v>
      </c>
      <c r="D81" s="8">
        <v>100000</v>
      </c>
      <c r="E81" s="8">
        <f t="shared" ref="E81:G81" si="430">+F81-15000</f>
        <v>1649000</v>
      </c>
      <c r="F81" s="8">
        <f t="shared" si="430"/>
        <v>1664000</v>
      </c>
      <c r="G81" s="8">
        <f t="shared" si="430"/>
        <v>1679000</v>
      </c>
      <c r="H81" s="8">
        <f t="shared" ref="H81:O81" si="431">+I81-20000</f>
        <v>1694000</v>
      </c>
      <c r="I81" s="8">
        <f t="shared" si="431"/>
        <v>1714000</v>
      </c>
      <c r="J81" s="8">
        <f t="shared" si="431"/>
        <v>1734000</v>
      </c>
      <c r="K81" s="8">
        <f t="shared" si="431"/>
        <v>1754000</v>
      </c>
      <c r="L81" s="8">
        <f t="shared" si="431"/>
        <v>1774000</v>
      </c>
      <c r="M81" s="8">
        <f t="shared" si="431"/>
        <v>1794000</v>
      </c>
      <c r="N81" s="8">
        <f t="shared" si="431"/>
        <v>1814000</v>
      </c>
      <c r="O81" s="8">
        <f t="shared" si="431"/>
        <v>1834000</v>
      </c>
      <c r="P81" s="8">
        <v>1854000</v>
      </c>
      <c r="Q81" s="8">
        <v>105000</v>
      </c>
      <c r="R81" s="8">
        <f>+Q81+15000</f>
        <v>120000</v>
      </c>
      <c r="S81" s="8">
        <f t="shared" ref="S81:U81" si="432">+R81+15000</f>
        <v>135000</v>
      </c>
      <c r="T81" s="8">
        <f t="shared" si="432"/>
        <v>150000</v>
      </c>
      <c r="U81" s="8">
        <f t="shared" si="432"/>
        <v>165000</v>
      </c>
      <c r="V81" s="8">
        <v>0</v>
      </c>
      <c r="W81" s="8"/>
      <c r="X81" s="8"/>
      <c r="Y81" s="8"/>
      <c r="Z81" s="8"/>
      <c r="AA81" s="8"/>
      <c r="AB81" s="8">
        <v>0</v>
      </c>
      <c r="AC81" s="8">
        <v>180000</v>
      </c>
      <c r="AD81" s="8">
        <f>+AC81+8000</f>
        <v>188000</v>
      </c>
      <c r="AE81" s="8">
        <f>+AD81+8000</f>
        <v>196000</v>
      </c>
      <c r="AF81" s="8">
        <f t="shared" ref="AF81:AL81" si="433">+AE81+3000</f>
        <v>199000</v>
      </c>
      <c r="AG81" s="8">
        <f t="shared" si="433"/>
        <v>202000</v>
      </c>
      <c r="AH81" s="8">
        <f t="shared" si="433"/>
        <v>205000</v>
      </c>
      <c r="AI81" s="8">
        <f t="shared" si="433"/>
        <v>208000</v>
      </c>
      <c r="AJ81" s="8">
        <v>11000</v>
      </c>
      <c r="AK81" s="8">
        <f t="shared" si="433"/>
        <v>14000</v>
      </c>
      <c r="AL81" s="8">
        <f t="shared" si="433"/>
        <v>17000</v>
      </c>
      <c r="AM81" s="8">
        <f>+AL81+3000</f>
        <v>20000</v>
      </c>
      <c r="AN81" s="8">
        <v>25000</v>
      </c>
      <c r="AO81" s="8">
        <f t="shared" si="382"/>
        <v>1979000</v>
      </c>
      <c r="AP81" s="16">
        <f t="shared" si="383"/>
        <v>1425</v>
      </c>
      <c r="AQ81" s="16">
        <f t="shared" si="384"/>
        <v>1540</v>
      </c>
      <c r="AR81" s="16">
        <f t="shared" si="385"/>
        <v>1655</v>
      </c>
      <c r="AS81" s="16">
        <f t="shared" si="386"/>
        <v>1745</v>
      </c>
      <c r="AT81" s="16">
        <f t="shared" si="387"/>
        <v>1835</v>
      </c>
      <c r="AU81" s="16">
        <f t="shared" si="388"/>
        <v>1025</v>
      </c>
      <c r="AV81" s="16">
        <f t="shared" si="389"/>
        <v>1040</v>
      </c>
      <c r="AW81" s="16">
        <f t="shared" si="390"/>
        <v>55</v>
      </c>
      <c r="AX81" s="16">
        <f t="shared" si="391"/>
        <v>70</v>
      </c>
      <c r="AY81" s="16">
        <f t="shared" si="392"/>
        <v>85</v>
      </c>
      <c r="AZ81" s="16">
        <f t="shared" si="393"/>
        <v>100</v>
      </c>
      <c r="BA81" s="16">
        <f t="shared" si="394"/>
        <v>125</v>
      </c>
      <c r="BB81" s="8">
        <v>525000</v>
      </c>
      <c r="BC81" s="8">
        <v>3250000</v>
      </c>
      <c r="BD81" s="16">
        <f t="shared" si="258"/>
        <v>10700</v>
      </c>
      <c r="BE81" s="23">
        <f t="shared" si="363"/>
        <v>3605.0323782266355</v>
      </c>
      <c r="BF81" s="23">
        <f t="shared" si="364"/>
        <v>3335.136677140993</v>
      </c>
      <c r="BG81" s="23">
        <f t="shared" si="365"/>
        <v>10604.399796628324</v>
      </c>
      <c r="BH81" s="23">
        <f t="shared" si="366"/>
        <v>17156.588583927823</v>
      </c>
      <c r="BI81" s="23">
        <f t="shared" si="367"/>
        <v>13292.177622022875</v>
      </c>
      <c r="BJ81" s="23">
        <f t="shared" si="368"/>
        <v>12738.059186725057</v>
      </c>
      <c r="BK81" s="23">
        <f t="shared" si="369"/>
        <v>8924.5140085373332</v>
      </c>
      <c r="BL81" s="23">
        <f t="shared" si="370"/>
        <v>14321.078347518547</v>
      </c>
      <c r="BM81" s="23">
        <f t="shared" si="371"/>
        <v>14724.883573646293</v>
      </c>
      <c r="BN81" s="23">
        <f t="shared" si="372"/>
        <v>12457.729205891224</v>
      </c>
      <c r="BO81" s="23">
        <f t="shared" si="373"/>
        <v>9112.2983292650169</v>
      </c>
      <c r="BP81" s="23">
        <f t="shared" si="374"/>
        <v>8073.0540148740438</v>
      </c>
      <c r="BQ81" s="22">
        <f t="shared" si="395"/>
        <v>128344.95172440416</v>
      </c>
      <c r="BR81" s="8">
        <f t="shared" si="375"/>
        <v>114653.68632816954</v>
      </c>
      <c r="BS81" s="8">
        <f t="shared" si="396"/>
        <v>242998.63805257372</v>
      </c>
      <c r="BT81" s="8">
        <f t="shared" si="376"/>
        <v>253698.63805257372</v>
      </c>
      <c r="BU81" s="6">
        <f t="shared" si="403"/>
        <v>1879000</v>
      </c>
      <c r="BX81" s="114" t="s">
        <v>642</v>
      </c>
      <c r="BY81" s="114" t="s">
        <v>643</v>
      </c>
      <c r="BZ81" s="114" t="s">
        <v>673</v>
      </c>
    </row>
    <row r="82" spans="1:78" s="110" customFormat="1" ht="13.5" customHeight="1" x14ac:dyDescent="0.2">
      <c r="A82" s="24">
        <v>75</v>
      </c>
      <c r="B82" s="24">
        <v>137</v>
      </c>
      <c r="C82" s="25" t="s">
        <v>83</v>
      </c>
      <c r="D82" s="26">
        <v>100000</v>
      </c>
      <c r="E82" s="26">
        <f t="shared" ref="E82:G82" si="434">+F82-25000</f>
        <v>2018000</v>
      </c>
      <c r="F82" s="26">
        <f t="shared" si="434"/>
        <v>2043000</v>
      </c>
      <c r="G82" s="26">
        <f t="shared" si="434"/>
        <v>2068000</v>
      </c>
      <c r="H82" s="26">
        <f t="shared" ref="H82:O82" si="435">+I82-50000</f>
        <v>2093000</v>
      </c>
      <c r="I82" s="26">
        <f t="shared" si="435"/>
        <v>2143000</v>
      </c>
      <c r="J82" s="26">
        <f t="shared" si="435"/>
        <v>2193000</v>
      </c>
      <c r="K82" s="26">
        <f t="shared" si="435"/>
        <v>2243000</v>
      </c>
      <c r="L82" s="26">
        <f t="shared" si="435"/>
        <v>2293000</v>
      </c>
      <c r="M82" s="26">
        <f t="shared" si="435"/>
        <v>2343000</v>
      </c>
      <c r="N82" s="26">
        <f t="shared" si="435"/>
        <v>2393000</v>
      </c>
      <c r="O82" s="26">
        <f t="shared" si="435"/>
        <v>2443000</v>
      </c>
      <c r="P82" s="26">
        <v>2493000</v>
      </c>
      <c r="Q82" s="26">
        <v>1500000</v>
      </c>
      <c r="R82" s="26">
        <f>+Q82+250000</f>
        <v>1750000</v>
      </c>
      <c r="S82" s="26">
        <f t="shared" ref="S82:U82" si="436">+R82+250000</f>
        <v>2000000</v>
      </c>
      <c r="T82" s="26">
        <f t="shared" si="436"/>
        <v>2250000</v>
      </c>
      <c r="U82" s="26">
        <f t="shared" si="436"/>
        <v>2500000</v>
      </c>
      <c r="V82" s="26">
        <v>0</v>
      </c>
      <c r="W82" s="26">
        <f>+V82+300000</f>
        <v>300000</v>
      </c>
      <c r="X82" s="26">
        <f t="shared" ref="X82:AA82" si="437">+W82+300000</f>
        <v>600000</v>
      </c>
      <c r="Y82" s="26">
        <f t="shared" si="437"/>
        <v>900000</v>
      </c>
      <c r="Z82" s="26">
        <f t="shared" si="437"/>
        <v>1200000</v>
      </c>
      <c r="AA82" s="26">
        <f t="shared" si="437"/>
        <v>1500000</v>
      </c>
      <c r="AB82" s="26">
        <v>1800000</v>
      </c>
      <c r="AC82" s="26">
        <v>2241000</v>
      </c>
      <c r="AD82" s="26">
        <f>+AC82+50000</f>
        <v>2291000</v>
      </c>
      <c r="AE82" s="26">
        <f t="shared" ref="AE82:AM82" si="438">+AD82+50000</f>
        <v>2341000</v>
      </c>
      <c r="AF82" s="26">
        <f t="shared" si="438"/>
        <v>2391000</v>
      </c>
      <c r="AG82" s="26">
        <f t="shared" si="438"/>
        <v>2441000</v>
      </c>
      <c r="AH82" s="26">
        <f t="shared" si="438"/>
        <v>2491000</v>
      </c>
      <c r="AI82" s="26">
        <f t="shared" si="438"/>
        <v>2541000</v>
      </c>
      <c r="AJ82" s="26">
        <f>+AI82+50000-2000000</f>
        <v>591000</v>
      </c>
      <c r="AK82" s="26">
        <f t="shared" si="438"/>
        <v>641000</v>
      </c>
      <c r="AL82" s="26">
        <f t="shared" si="438"/>
        <v>691000</v>
      </c>
      <c r="AM82" s="26">
        <f t="shared" si="438"/>
        <v>741000</v>
      </c>
      <c r="AN82" s="26">
        <v>791000</v>
      </c>
      <c r="AO82" s="26">
        <f t="shared" si="382"/>
        <v>5184000</v>
      </c>
      <c r="AP82" s="27">
        <f t="shared" si="383"/>
        <v>18705</v>
      </c>
      <c r="AQ82" s="27">
        <f t="shared" si="384"/>
        <v>20205</v>
      </c>
      <c r="AR82" s="27">
        <f t="shared" si="385"/>
        <v>21705</v>
      </c>
      <c r="AS82" s="27">
        <f t="shared" si="386"/>
        <v>23205</v>
      </c>
      <c r="AT82" s="27">
        <f t="shared" si="387"/>
        <v>24705</v>
      </c>
      <c r="AU82" s="27">
        <f t="shared" si="388"/>
        <v>12455</v>
      </c>
      <c r="AV82" s="27">
        <f t="shared" si="389"/>
        <v>14205</v>
      </c>
      <c r="AW82" s="27">
        <f t="shared" si="390"/>
        <v>5955</v>
      </c>
      <c r="AX82" s="27">
        <f t="shared" si="391"/>
        <v>7705</v>
      </c>
      <c r="AY82" s="27">
        <f t="shared" si="392"/>
        <v>9455</v>
      </c>
      <c r="AZ82" s="27">
        <f t="shared" si="393"/>
        <v>11205</v>
      </c>
      <c r="BA82" s="27">
        <f t="shared" si="394"/>
        <v>12955</v>
      </c>
      <c r="BB82" s="27">
        <v>675000</v>
      </c>
      <c r="BC82" s="26">
        <v>1247000</v>
      </c>
      <c r="BD82" s="27">
        <f t="shared" si="258"/>
        <v>182460</v>
      </c>
      <c r="BE82" s="28">
        <f t="shared" si="363"/>
        <v>10384.407425776724</v>
      </c>
      <c r="BF82" s="28">
        <f t="shared" si="364"/>
        <v>9953.9021290733108</v>
      </c>
      <c r="BG82" s="28">
        <f t="shared" si="365"/>
        <v>32712.814348935433</v>
      </c>
      <c r="BH82" s="28">
        <f t="shared" si="366"/>
        <v>54712.144835540246</v>
      </c>
      <c r="BI82" s="28">
        <f t="shared" si="367"/>
        <v>43783.128856768606</v>
      </c>
      <c r="BJ82" s="28">
        <f t="shared" si="368"/>
        <v>29886.647939819846</v>
      </c>
      <c r="BK82" s="28">
        <f t="shared" si="369"/>
        <v>22436.799524858161</v>
      </c>
      <c r="BL82" s="28">
        <f t="shared" si="370"/>
        <v>27229.042332894682</v>
      </c>
      <c r="BM82" s="28">
        <f t="shared" si="371"/>
        <v>30746.297776418676</v>
      </c>
      <c r="BN82" s="28">
        <f t="shared" si="372"/>
        <v>28283.109704105194</v>
      </c>
      <c r="BO82" s="28">
        <f t="shared" si="373"/>
        <v>22309.741661823868</v>
      </c>
      <c r="BP82" s="28">
        <f t="shared" si="374"/>
        <v>21147.403745885316</v>
      </c>
      <c r="BQ82" s="29">
        <f t="shared" si="395"/>
        <v>333585.44028190005</v>
      </c>
      <c r="BR82" s="26">
        <f t="shared" si="375"/>
        <v>147411.88242193227</v>
      </c>
      <c r="BS82" s="26">
        <f t="shared" si="396"/>
        <v>480997.32270383229</v>
      </c>
      <c r="BT82" s="26">
        <f t="shared" si="376"/>
        <v>663457.32270383229</v>
      </c>
      <c r="BU82" s="111">
        <f t="shared" si="403"/>
        <v>5084000</v>
      </c>
      <c r="BV82" s="110">
        <v>70</v>
      </c>
      <c r="BX82" s="114" t="s">
        <v>644</v>
      </c>
      <c r="BY82" s="114" t="s">
        <v>645</v>
      </c>
    </row>
    <row r="83" spans="1:78" ht="13.5" customHeight="1" x14ac:dyDescent="0.2">
      <c r="A83" s="15">
        <v>76</v>
      </c>
      <c r="B83" s="15">
        <v>138</v>
      </c>
      <c r="C83" s="14" t="s">
        <v>84</v>
      </c>
      <c r="D83" s="8">
        <v>100000</v>
      </c>
      <c r="E83" s="8">
        <f t="shared" ref="E83:G83" si="439">+F83-15000</f>
        <v>1663000</v>
      </c>
      <c r="F83" s="8">
        <f t="shared" si="439"/>
        <v>1678000</v>
      </c>
      <c r="G83" s="8">
        <f t="shared" si="439"/>
        <v>1693000</v>
      </c>
      <c r="H83" s="8">
        <f t="shared" ref="H83:O83" si="440">+I83-20000</f>
        <v>1708000</v>
      </c>
      <c r="I83" s="8">
        <f t="shared" si="440"/>
        <v>1728000</v>
      </c>
      <c r="J83" s="8">
        <f t="shared" si="440"/>
        <v>1748000</v>
      </c>
      <c r="K83" s="8">
        <f t="shared" si="440"/>
        <v>1768000</v>
      </c>
      <c r="L83" s="8">
        <f t="shared" si="440"/>
        <v>1788000</v>
      </c>
      <c r="M83" s="8">
        <f t="shared" si="440"/>
        <v>1808000</v>
      </c>
      <c r="N83" s="8">
        <f t="shared" si="440"/>
        <v>1828000</v>
      </c>
      <c r="O83" s="8">
        <f t="shared" si="440"/>
        <v>1848000</v>
      </c>
      <c r="P83" s="8">
        <v>1868000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>
        <v>0</v>
      </c>
      <c r="AC83" s="8">
        <v>261565</v>
      </c>
      <c r="AD83" s="8">
        <v>261565</v>
      </c>
      <c r="AE83" s="8">
        <v>261565</v>
      </c>
      <c r="AF83" s="8">
        <v>261565</v>
      </c>
      <c r="AG83" s="8">
        <v>261565</v>
      </c>
      <c r="AH83" s="8">
        <v>261565</v>
      </c>
      <c r="AI83" s="8">
        <v>146065</v>
      </c>
      <c r="AJ83" s="8">
        <v>146065</v>
      </c>
      <c r="AK83" s="8">
        <v>146065</v>
      </c>
      <c r="AL83" s="8">
        <v>146065</v>
      </c>
      <c r="AM83" s="8">
        <v>146065</v>
      </c>
      <c r="AN83" s="8">
        <v>146065</v>
      </c>
      <c r="AO83" s="8">
        <f t="shared" si="382"/>
        <v>2114065</v>
      </c>
      <c r="AP83" s="16">
        <f t="shared" si="383"/>
        <v>1307.825</v>
      </c>
      <c r="AQ83" s="16">
        <f t="shared" si="384"/>
        <v>1307.825</v>
      </c>
      <c r="AR83" s="16">
        <f t="shared" si="385"/>
        <v>1307.825</v>
      </c>
      <c r="AS83" s="16">
        <f t="shared" si="386"/>
        <v>1307.825</v>
      </c>
      <c r="AT83" s="16">
        <f t="shared" si="387"/>
        <v>1307.825</v>
      </c>
      <c r="AU83" s="16">
        <f t="shared" si="388"/>
        <v>1307.825</v>
      </c>
      <c r="AV83" s="16">
        <f t="shared" si="389"/>
        <v>730.32500000000005</v>
      </c>
      <c r="AW83" s="16">
        <f t="shared" si="390"/>
        <v>730.32500000000005</v>
      </c>
      <c r="AX83" s="16">
        <f t="shared" si="391"/>
        <v>730.32500000000005</v>
      </c>
      <c r="AY83" s="16">
        <f t="shared" si="392"/>
        <v>730.32500000000005</v>
      </c>
      <c r="AZ83" s="16">
        <f t="shared" si="393"/>
        <v>730.32500000000005</v>
      </c>
      <c r="BA83" s="16">
        <f t="shared" si="394"/>
        <v>730.32500000000005</v>
      </c>
      <c r="BB83" s="16">
        <v>0</v>
      </c>
      <c r="BC83" s="8">
        <v>0</v>
      </c>
      <c r="BD83" s="16">
        <f t="shared" ref="BD83:BD105" si="441">SUM(AP83:BA83)</f>
        <v>12228.900000000003</v>
      </c>
      <c r="BE83" s="23">
        <f t="shared" si="363"/>
        <v>3588.3099197760121</v>
      </c>
      <c r="BF83" s="23">
        <f t="shared" si="364"/>
        <v>3282.9285892437592</v>
      </c>
      <c r="BG83" s="23">
        <f t="shared" si="365"/>
        <v>10325.795577326859</v>
      </c>
      <c r="BH83" s="23">
        <f t="shared" si="366"/>
        <v>16568.677206111333</v>
      </c>
      <c r="BI83" s="23">
        <f t="shared" si="367"/>
        <v>12734.923948996895</v>
      </c>
      <c r="BJ83" s="23">
        <f t="shared" si="368"/>
        <v>13178.893491046416</v>
      </c>
      <c r="BK83" s="23">
        <f t="shared" si="369"/>
        <v>8717.0471903999714</v>
      </c>
      <c r="BL83" s="23">
        <f t="shared" si="370"/>
        <v>15453.583145329079</v>
      </c>
      <c r="BM83" s="23">
        <f t="shared" si="371"/>
        <v>15852.132063784997</v>
      </c>
      <c r="BN83" s="23">
        <f t="shared" si="372"/>
        <v>13380.704363240178</v>
      </c>
      <c r="BO83" s="23">
        <f t="shared" si="373"/>
        <v>9765.4785060759186</v>
      </c>
      <c r="BP83" s="23">
        <f t="shared" si="374"/>
        <v>8624.0328125086889</v>
      </c>
      <c r="BQ83" s="22">
        <f t="shared" si="395"/>
        <v>131472.5068138401</v>
      </c>
      <c r="BR83" s="8">
        <f t="shared" si="375"/>
        <v>0</v>
      </c>
      <c r="BS83" s="8">
        <f t="shared" si="396"/>
        <v>131472.5068138401</v>
      </c>
      <c r="BT83" s="8">
        <f t="shared" si="376"/>
        <v>143701.40681384009</v>
      </c>
      <c r="BU83" s="6">
        <f t="shared" si="403"/>
        <v>2014065</v>
      </c>
      <c r="BX83" s="115" t="s">
        <v>646</v>
      </c>
      <c r="BY83" s="115" t="s">
        <v>647</v>
      </c>
    </row>
    <row r="84" spans="1:78" ht="13.5" customHeight="1" x14ac:dyDescent="0.2">
      <c r="A84" s="15">
        <v>77</v>
      </c>
      <c r="B84" s="15">
        <v>141</v>
      </c>
      <c r="C84" s="14" t="s">
        <v>85</v>
      </c>
      <c r="D84" s="8">
        <v>100000</v>
      </c>
      <c r="E84" s="8">
        <f t="shared" ref="E84:G84" si="442">+F84-25000</f>
        <v>2010000</v>
      </c>
      <c r="F84" s="8">
        <f t="shared" si="442"/>
        <v>2035000</v>
      </c>
      <c r="G84" s="8">
        <f t="shared" si="442"/>
        <v>2060000</v>
      </c>
      <c r="H84" s="8">
        <f t="shared" ref="H84:O84" si="443">+I84-50000</f>
        <v>2085000</v>
      </c>
      <c r="I84" s="8">
        <f t="shared" si="443"/>
        <v>2135000</v>
      </c>
      <c r="J84" s="8">
        <f t="shared" si="443"/>
        <v>2185000</v>
      </c>
      <c r="K84" s="8">
        <f t="shared" si="443"/>
        <v>2235000</v>
      </c>
      <c r="L84" s="8">
        <f t="shared" si="443"/>
        <v>2285000</v>
      </c>
      <c r="M84" s="8">
        <f t="shared" si="443"/>
        <v>2335000</v>
      </c>
      <c r="N84" s="8">
        <f t="shared" si="443"/>
        <v>2385000</v>
      </c>
      <c r="O84" s="8">
        <f t="shared" si="443"/>
        <v>2435000</v>
      </c>
      <c r="P84" s="8">
        <v>2485000</v>
      </c>
      <c r="Q84" s="8">
        <v>350000</v>
      </c>
      <c r="R84" s="8">
        <f>+Q84+50000</f>
        <v>400000</v>
      </c>
      <c r="S84" s="8">
        <f t="shared" ref="S84:U84" si="444">+R84+50000</f>
        <v>450000</v>
      </c>
      <c r="T84" s="8">
        <f t="shared" si="444"/>
        <v>500000</v>
      </c>
      <c r="U84" s="8">
        <f t="shared" si="444"/>
        <v>550000</v>
      </c>
      <c r="V84" s="8">
        <v>0</v>
      </c>
      <c r="W84" s="8">
        <v>100000</v>
      </c>
      <c r="X84" s="8">
        <f>+W84+100000</f>
        <v>200000</v>
      </c>
      <c r="Y84" s="8">
        <f t="shared" ref="Y84:AA85" si="445">+X84+100000</f>
        <v>300000</v>
      </c>
      <c r="Z84" s="8">
        <f t="shared" si="445"/>
        <v>400000</v>
      </c>
      <c r="AA84" s="8">
        <f t="shared" si="445"/>
        <v>500000</v>
      </c>
      <c r="AB84" s="8">
        <v>600000</v>
      </c>
      <c r="AC84" s="8">
        <v>1417000</v>
      </c>
      <c r="AD84" s="8">
        <f>+AC84+50000</f>
        <v>1467000</v>
      </c>
      <c r="AE84" s="8">
        <f t="shared" ref="AE84:AM84" si="446">+AD84+50000</f>
        <v>1517000</v>
      </c>
      <c r="AF84" s="8">
        <f t="shared" si="446"/>
        <v>1567000</v>
      </c>
      <c r="AG84" s="8">
        <f t="shared" si="446"/>
        <v>1617000</v>
      </c>
      <c r="AH84" s="8">
        <f t="shared" si="446"/>
        <v>1667000</v>
      </c>
      <c r="AI84" s="8">
        <f t="shared" si="446"/>
        <v>1717000</v>
      </c>
      <c r="AJ84" s="8">
        <f t="shared" si="446"/>
        <v>1767000</v>
      </c>
      <c r="AK84" s="8">
        <f t="shared" si="446"/>
        <v>1817000</v>
      </c>
      <c r="AL84" s="8">
        <f t="shared" si="446"/>
        <v>1867000</v>
      </c>
      <c r="AM84" s="8">
        <f t="shared" si="446"/>
        <v>1917000</v>
      </c>
      <c r="AN84" s="8">
        <v>1967000</v>
      </c>
      <c r="AO84" s="8">
        <f t="shared" si="382"/>
        <v>5152000</v>
      </c>
      <c r="AP84" s="16">
        <f t="shared" si="383"/>
        <v>8835</v>
      </c>
      <c r="AQ84" s="16">
        <f t="shared" si="384"/>
        <v>9335</v>
      </c>
      <c r="AR84" s="16">
        <f t="shared" si="385"/>
        <v>9835</v>
      </c>
      <c r="AS84" s="16">
        <f t="shared" si="386"/>
        <v>10335</v>
      </c>
      <c r="AT84" s="16">
        <f t="shared" si="387"/>
        <v>10835</v>
      </c>
      <c r="AU84" s="16">
        <f t="shared" si="388"/>
        <v>8335</v>
      </c>
      <c r="AV84" s="16">
        <f t="shared" si="389"/>
        <v>9085</v>
      </c>
      <c r="AW84" s="16">
        <f t="shared" si="390"/>
        <v>9835</v>
      </c>
      <c r="AX84" s="16">
        <f t="shared" si="391"/>
        <v>10585</v>
      </c>
      <c r="AY84" s="16">
        <f t="shared" si="392"/>
        <v>11335</v>
      </c>
      <c r="AZ84" s="16">
        <f t="shared" si="393"/>
        <v>12085</v>
      </c>
      <c r="BA84" s="16">
        <f t="shared" si="394"/>
        <v>12835</v>
      </c>
      <c r="BB84" s="16">
        <v>810000</v>
      </c>
      <c r="BC84" s="8">
        <v>70000</v>
      </c>
      <c r="BD84" s="16">
        <f t="shared" si="441"/>
        <v>123270</v>
      </c>
      <c r="BE84" s="23">
        <f t="shared" si="363"/>
        <v>6871.5391004841031</v>
      </c>
      <c r="BF84" s="23">
        <f t="shared" si="364"/>
        <v>6441.7070376053352</v>
      </c>
      <c r="BG84" s="23">
        <f t="shared" si="365"/>
        <v>20741.40187710194</v>
      </c>
      <c r="BH84" s="23">
        <f t="shared" si="366"/>
        <v>34040.977442305695</v>
      </c>
      <c r="BI84" s="23">
        <f t="shared" si="367"/>
        <v>26828.136585119071</v>
      </c>
      <c r="BJ84" s="23">
        <f t="shared" si="368"/>
        <v>24688.970037242481</v>
      </c>
      <c r="BK84" s="23">
        <f t="shared" si="369"/>
        <v>17970.214434261397</v>
      </c>
      <c r="BL84" s="23">
        <f t="shared" si="370"/>
        <v>33063.837118514974</v>
      </c>
      <c r="BM84" s="23">
        <f t="shared" si="371"/>
        <v>35129.806093940213</v>
      </c>
      <c r="BN84" s="23">
        <f t="shared" si="372"/>
        <v>30657.239350800155</v>
      </c>
      <c r="BO84" s="23">
        <f t="shared" si="373"/>
        <v>23093.194128208987</v>
      </c>
      <c r="BP84" s="23">
        <f t="shared" si="374"/>
        <v>21016.864216589729</v>
      </c>
      <c r="BQ84" s="22">
        <f t="shared" si="395"/>
        <v>280543.88742217416</v>
      </c>
      <c r="BR84" s="8">
        <f t="shared" si="375"/>
        <v>176894.25890631872</v>
      </c>
      <c r="BS84" s="8">
        <f t="shared" si="396"/>
        <v>457438.14632849291</v>
      </c>
      <c r="BT84" s="8">
        <f t="shared" si="376"/>
        <v>580708.14632849291</v>
      </c>
      <c r="BU84" s="6">
        <f>AO84-100000</f>
        <v>5052000</v>
      </c>
      <c r="BX84" s="115" t="s">
        <v>648</v>
      </c>
      <c r="BY84" s="115" t="s">
        <v>649</v>
      </c>
    </row>
    <row r="85" spans="1:78" ht="13.5" customHeight="1" x14ac:dyDescent="0.2">
      <c r="A85" s="15">
        <v>78</v>
      </c>
      <c r="B85" s="15">
        <v>143</v>
      </c>
      <c r="C85" s="14" t="s">
        <v>86</v>
      </c>
      <c r="D85" s="8">
        <v>100000</v>
      </c>
      <c r="E85" s="8">
        <f t="shared" ref="E85:G85" si="447">+F85-15000</f>
        <v>1622000</v>
      </c>
      <c r="F85" s="8">
        <f t="shared" si="447"/>
        <v>1637000</v>
      </c>
      <c r="G85" s="8">
        <f t="shared" si="447"/>
        <v>1652000</v>
      </c>
      <c r="H85" s="8">
        <f t="shared" ref="H85:O85" si="448">+I85-20000</f>
        <v>1667000</v>
      </c>
      <c r="I85" s="8">
        <f t="shared" si="448"/>
        <v>1687000</v>
      </c>
      <c r="J85" s="8">
        <f t="shared" si="448"/>
        <v>1707000</v>
      </c>
      <c r="K85" s="8">
        <f t="shared" si="448"/>
        <v>1727000</v>
      </c>
      <c r="L85" s="8">
        <f t="shared" si="448"/>
        <v>1747000</v>
      </c>
      <c r="M85" s="8">
        <f t="shared" si="448"/>
        <v>1767000</v>
      </c>
      <c r="N85" s="8">
        <f t="shared" si="448"/>
        <v>1787000</v>
      </c>
      <c r="O85" s="8">
        <f t="shared" si="448"/>
        <v>1807000</v>
      </c>
      <c r="P85" s="8">
        <v>1827000</v>
      </c>
      <c r="Q85" s="8">
        <v>120000</v>
      </c>
      <c r="R85" s="8">
        <f>+Q85+20000</f>
        <v>140000</v>
      </c>
      <c r="S85" s="8">
        <f t="shared" ref="S85:U85" si="449">+R85+20000</f>
        <v>160000</v>
      </c>
      <c r="T85" s="8">
        <f t="shared" si="449"/>
        <v>180000</v>
      </c>
      <c r="U85" s="8">
        <f t="shared" si="449"/>
        <v>200000</v>
      </c>
      <c r="V85" s="8">
        <v>0</v>
      </c>
      <c r="W85" s="8">
        <f>+V85+100000</f>
        <v>100000</v>
      </c>
      <c r="X85" s="8">
        <f t="shared" ref="X85" si="450">+W85+100000</f>
        <v>200000</v>
      </c>
      <c r="Y85" s="8">
        <f t="shared" si="445"/>
        <v>300000</v>
      </c>
      <c r="Z85" s="8">
        <f t="shared" si="445"/>
        <v>400000</v>
      </c>
      <c r="AA85" s="8">
        <f t="shared" si="445"/>
        <v>500000</v>
      </c>
      <c r="AB85" s="8">
        <v>600000</v>
      </c>
      <c r="AC85" s="8">
        <v>150000</v>
      </c>
      <c r="AD85" s="8">
        <f>+AC85+10000</f>
        <v>160000</v>
      </c>
      <c r="AE85" s="8">
        <f>+AD85+10000-150000</f>
        <v>20000</v>
      </c>
      <c r="AF85" s="8">
        <f t="shared" ref="AF85:AM85" si="451">+AE85+10000</f>
        <v>30000</v>
      </c>
      <c r="AG85" s="8">
        <f t="shared" si="451"/>
        <v>40000</v>
      </c>
      <c r="AH85" s="8">
        <f t="shared" si="451"/>
        <v>50000</v>
      </c>
      <c r="AI85" s="8">
        <f t="shared" si="451"/>
        <v>60000</v>
      </c>
      <c r="AJ85" s="8">
        <f t="shared" si="451"/>
        <v>70000</v>
      </c>
      <c r="AK85" s="8">
        <f t="shared" si="451"/>
        <v>80000</v>
      </c>
      <c r="AL85" s="8">
        <f t="shared" si="451"/>
        <v>90000</v>
      </c>
      <c r="AM85" s="8">
        <f t="shared" si="451"/>
        <v>100000</v>
      </c>
      <c r="AN85" s="8">
        <v>110000</v>
      </c>
      <c r="AO85" s="8">
        <f t="shared" si="382"/>
        <v>2637000</v>
      </c>
      <c r="AP85" s="16">
        <f t="shared" si="383"/>
        <v>1350</v>
      </c>
      <c r="AQ85" s="16">
        <f t="shared" si="384"/>
        <v>1500</v>
      </c>
      <c r="AR85" s="16">
        <f t="shared" si="385"/>
        <v>900</v>
      </c>
      <c r="AS85" s="16">
        <f t="shared" si="386"/>
        <v>1050</v>
      </c>
      <c r="AT85" s="16">
        <f t="shared" si="387"/>
        <v>1200</v>
      </c>
      <c r="AU85" s="16">
        <f t="shared" si="388"/>
        <v>250</v>
      </c>
      <c r="AV85" s="16">
        <f t="shared" si="389"/>
        <v>800</v>
      </c>
      <c r="AW85" s="16">
        <f t="shared" si="390"/>
        <v>1350</v>
      </c>
      <c r="AX85" s="16">
        <f t="shared" si="391"/>
        <v>1900</v>
      </c>
      <c r="AY85" s="16">
        <f t="shared" si="392"/>
        <v>2450</v>
      </c>
      <c r="AZ85" s="16">
        <f t="shared" si="393"/>
        <v>3000</v>
      </c>
      <c r="BA85" s="16">
        <f t="shared" si="394"/>
        <v>3550</v>
      </c>
      <c r="BB85" s="16">
        <v>900000</v>
      </c>
      <c r="BC85" s="8">
        <v>5000000</v>
      </c>
      <c r="BD85" s="16">
        <f t="shared" si="441"/>
        <v>19300</v>
      </c>
      <c r="BE85" s="23">
        <f t="shared" si="363"/>
        <v>3530.5921816260857</v>
      </c>
      <c r="BF85" s="23">
        <f t="shared" si="364"/>
        <v>3278.7999089460436</v>
      </c>
      <c r="BG85" s="23">
        <f t="shared" si="365"/>
        <v>9709.8106194720021</v>
      </c>
      <c r="BH85" s="23">
        <f t="shared" si="366"/>
        <v>15827.61345330159</v>
      </c>
      <c r="BI85" s="23">
        <f t="shared" si="367"/>
        <v>12353.619458890586</v>
      </c>
      <c r="BJ85" s="23">
        <f t="shared" si="368"/>
        <v>11601.067145536257</v>
      </c>
      <c r="BK85" s="23">
        <f t="shared" si="369"/>
        <v>8599.9075339300089</v>
      </c>
      <c r="BL85" s="23">
        <f t="shared" si="370"/>
        <v>16083.672605674676</v>
      </c>
      <c r="BM85" s="23">
        <f t="shared" si="371"/>
        <v>17341.097164561437</v>
      </c>
      <c r="BN85" s="23">
        <f t="shared" si="372"/>
        <v>15335.071114657401</v>
      </c>
      <c r="BO85" s="23">
        <f t="shared" si="373"/>
        <v>11691.1626977827</v>
      </c>
      <c r="BP85" s="23">
        <f t="shared" si="374"/>
        <v>10757.27308601458</v>
      </c>
      <c r="BQ85" s="22">
        <f t="shared" si="395"/>
        <v>136109.68697039338</v>
      </c>
      <c r="BR85" s="8">
        <f t="shared" si="375"/>
        <v>196549.17656257635</v>
      </c>
      <c r="BS85" s="8">
        <f t="shared" si="396"/>
        <v>332658.86353296973</v>
      </c>
      <c r="BT85" s="8">
        <f t="shared" si="376"/>
        <v>351958.86353296973</v>
      </c>
      <c r="BU85" s="6">
        <f>AO85-100000</f>
        <v>2537000</v>
      </c>
      <c r="BX85" s="115" t="s">
        <v>650</v>
      </c>
      <c r="BY85" s="115" t="s">
        <v>651</v>
      </c>
    </row>
    <row r="86" spans="1:78" ht="13.5" customHeight="1" x14ac:dyDescent="0.2">
      <c r="A86" s="15">
        <v>79</v>
      </c>
      <c r="B86" s="15">
        <v>145</v>
      </c>
      <c r="C86" s="14" t="s">
        <v>87</v>
      </c>
      <c r="D86" s="8">
        <v>100000</v>
      </c>
      <c r="E86" s="8">
        <f t="shared" ref="E86:G88" si="452">+F86-25000</f>
        <v>1953000</v>
      </c>
      <c r="F86" s="8">
        <f t="shared" si="452"/>
        <v>1978000</v>
      </c>
      <c r="G86" s="8">
        <f t="shared" si="452"/>
        <v>2003000</v>
      </c>
      <c r="H86" s="8">
        <f t="shared" ref="H86:O88" si="453">+I86-50000</f>
        <v>2028000</v>
      </c>
      <c r="I86" s="8">
        <f t="shared" si="453"/>
        <v>2078000</v>
      </c>
      <c r="J86" s="8">
        <f t="shared" si="453"/>
        <v>2128000</v>
      </c>
      <c r="K86" s="8">
        <f t="shared" si="453"/>
        <v>2178000</v>
      </c>
      <c r="L86" s="8">
        <f t="shared" si="453"/>
        <v>2228000</v>
      </c>
      <c r="M86" s="8">
        <f t="shared" si="453"/>
        <v>2278000</v>
      </c>
      <c r="N86" s="8">
        <f t="shared" si="453"/>
        <v>2328000</v>
      </c>
      <c r="O86" s="8">
        <f t="shared" si="453"/>
        <v>2378000</v>
      </c>
      <c r="P86" s="8">
        <v>2428000</v>
      </c>
      <c r="Q86" s="8">
        <v>1800000</v>
      </c>
      <c r="R86" s="8">
        <f>+Q86+300000</f>
        <v>2100000</v>
      </c>
      <c r="S86" s="8">
        <f t="shared" ref="S86:AA87" si="454">+R86+300000</f>
        <v>2400000</v>
      </c>
      <c r="T86" s="8">
        <f t="shared" si="454"/>
        <v>2700000</v>
      </c>
      <c r="U86" s="8">
        <f t="shared" si="454"/>
        <v>3000000</v>
      </c>
      <c r="V86" s="8">
        <v>0</v>
      </c>
      <c r="W86" s="8">
        <f t="shared" si="454"/>
        <v>300000</v>
      </c>
      <c r="X86" s="8">
        <f t="shared" si="454"/>
        <v>600000</v>
      </c>
      <c r="Y86" s="8">
        <f t="shared" si="454"/>
        <v>900000</v>
      </c>
      <c r="Z86" s="8">
        <f t="shared" si="454"/>
        <v>1200000</v>
      </c>
      <c r="AA86" s="8">
        <f t="shared" si="454"/>
        <v>1500000</v>
      </c>
      <c r="AB86" s="8">
        <v>1800000</v>
      </c>
      <c r="AC86" s="8">
        <v>2022000</v>
      </c>
      <c r="AD86" s="8">
        <f>+AC86+25000</f>
        <v>2047000</v>
      </c>
      <c r="AE86" s="8">
        <f t="shared" ref="AE86:AM86" si="455">+AD86+25000</f>
        <v>2072000</v>
      </c>
      <c r="AF86" s="8">
        <f t="shared" si="455"/>
        <v>2097000</v>
      </c>
      <c r="AG86" s="8">
        <f t="shared" si="455"/>
        <v>2122000</v>
      </c>
      <c r="AH86" s="8">
        <f t="shared" si="455"/>
        <v>2147000</v>
      </c>
      <c r="AI86" s="8">
        <f t="shared" si="455"/>
        <v>2172000</v>
      </c>
      <c r="AJ86" s="8">
        <f t="shared" si="455"/>
        <v>2197000</v>
      </c>
      <c r="AK86" s="8">
        <f t="shared" si="455"/>
        <v>2222000</v>
      </c>
      <c r="AL86" s="8">
        <f t="shared" si="455"/>
        <v>2247000</v>
      </c>
      <c r="AM86" s="8">
        <f t="shared" si="455"/>
        <v>2272000</v>
      </c>
      <c r="AN86" s="8">
        <v>2297000</v>
      </c>
      <c r="AO86" s="8">
        <f t="shared" si="382"/>
        <v>6625000</v>
      </c>
      <c r="AP86" s="16">
        <f t="shared" si="383"/>
        <v>19110</v>
      </c>
      <c r="AQ86" s="16">
        <f t="shared" si="384"/>
        <v>20735</v>
      </c>
      <c r="AR86" s="16">
        <f t="shared" si="385"/>
        <v>22360</v>
      </c>
      <c r="AS86" s="16">
        <f t="shared" si="386"/>
        <v>23985</v>
      </c>
      <c r="AT86" s="16">
        <f t="shared" si="387"/>
        <v>25610</v>
      </c>
      <c r="AU86" s="16">
        <f t="shared" si="388"/>
        <v>10735</v>
      </c>
      <c r="AV86" s="16">
        <f t="shared" si="389"/>
        <v>12360</v>
      </c>
      <c r="AW86" s="16">
        <f t="shared" si="390"/>
        <v>13985</v>
      </c>
      <c r="AX86" s="16">
        <f t="shared" si="391"/>
        <v>15610</v>
      </c>
      <c r="AY86" s="16">
        <f t="shared" si="392"/>
        <v>17235</v>
      </c>
      <c r="AZ86" s="16">
        <f t="shared" si="393"/>
        <v>18860</v>
      </c>
      <c r="BA86" s="16">
        <f t="shared" si="394"/>
        <v>20485</v>
      </c>
      <c r="BB86" s="16">
        <v>420000</v>
      </c>
      <c r="BC86" s="8">
        <v>4500000</v>
      </c>
      <c r="BD86" s="16">
        <f t="shared" si="441"/>
        <v>221070</v>
      </c>
      <c r="BE86" s="23">
        <f t="shared" si="363"/>
        <v>10412.765595910267</v>
      </c>
      <c r="BF86" s="23">
        <f t="shared" si="364"/>
        <v>10019.896628958822</v>
      </c>
      <c r="BG86" s="23">
        <f t="shared" si="365"/>
        <v>33044.515953948452</v>
      </c>
      <c r="BH86" s="23">
        <f t="shared" si="366"/>
        <v>55440.679395100415</v>
      </c>
      <c r="BI86" s="23">
        <f t="shared" si="367"/>
        <v>44490.094745881244</v>
      </c>
      <c r="BJ86" s="23">
        <f t="shared" si="368"/>
        <v>27331.539451653811</v>
      </c>
      <c r="BK86" s="23">
        <f t="shared" si="369"/>
        <v>20558.410058463789</v>
      </c>
      <c r="BL86" s="23">
        <f t="shared" si="370"/>
        <v>38936.618849354141</v>
      </c>
      <c r="BM86" s="23">
        <f t="shared" si="371"/>
        <v>42445.94321543743</v>
      </c>
      <c r="BN86" s="23">
        <f t="shared" si="372"/>
        <v>37902.205636774182</v>
      </c>
      <c r="BO86" s="23">
        <f t="shared" si="373"/>
        <v>29146.297112541633</v>
      </c>
      <c r="BP86" s="23">
        <f t="shared" si="374"/>
        <v>27025.76192447728</v>
      </c>
      <c r="BQ86" s="22">
        <f t="shared" si="395"/>
        <v>376754.72856850142</v>
      </c>
      <c r="BR86" s="8">
        <f t="shared" si="375"/>
        <v>91722.949062535641</v>
      </c>
      <c r="BS86" s="8">
        <f t="shared" si="396"/>
        <v>468477.67763103708</v>
      </c>
      <c r="BT86" s="8">
        <f t="shared" si="376"/>
        <v>689547.67763103708</v>
      </c>
      <c r="BU86" s="6">
        <f t="shared" ref="BU86:BU94" si="456">AO86-100000</f>
        <v>6525000</v>
      </c>
      <c r="BX86" s="115" t="s">
        <v>652</v>
      </c>
      <c r="BY86" s="115" t="s">
        <v>653</v>
      </c>
      <c r="BZ86" s="114" t="s">
        <v>672</v>
      </c>
    </row>
    <row r="87" spans="1:78" ht="13.5" customHeight="1" x14ac:dyDescent="0.2">
      <c r="A87" s="15">
        <v>80</v>
      </c>
      <c r="B87" s="15">
        <v>146</v>
      </c>
      <c r="C87" s="14" t="s">
        <v>88</v>
      </c>
      <c r="D87" s="8">
        <v>100000</v>
      </c>
      <c r="E87" s="8">
        <f t="shared" si="452"/>
        <v>1959000</v>
      </c>
      <c r="F87" s="8">
        <f t="shared" si="452"/>
        <v>1984000</v>
      </c>
      <c r="G87" s="8">
        <f t="shared" si="452"/>
        <v>2009000</v>
      </c>
      <c r="H87" s="8">
        <f t="shared" si="453"/>
        <v>2034000</v>
      </c>
      <c r="I87" s="8">
        <f t="shared" si="453"/>
        <v>2084000</v>
      </c>
      <c r="J87" s="8">
        <f t="shared" si="453"/>
        <v>2134000</v>
      </c>
      <c r="K87" s="8">
        <f t="shared" si="453"/>
        <v>2184000</v>
      </c>
      <c r="L87" s="8">
        <f t="shared" si="453"/>
        <v>2234000</v>
      </c>
      <c r="M87" s="8">
        <f t="shared" si="453"/>
        <v>2284000</v>
      </c>
      <c r="N87" s="8">
        <f t="shared" si="453"/>
        <v>2334000</v>
      </c>
      <c r="O87" s="8">
        <f t="shared" si="453"/>
        <v>2384000</v>
      </c>
      <c r="P87" s="8">
        <v>2434000</v>
      </c>
      <c r="Q87" s="8">
        <v>2100000</v>
      </c>
      <c r="R87" s="8">
        <f>+Q87+300000</f>
        <v>2400000</v>
      </c>
      <c r="S87" s="8">
        <f t="shared" si="454"/>
        <v>2700000</v>
      </c>
      <c r="T87" s="8">
        <f t="shared" si="454"/>
        <v>3000000</v>
      </c>
      <c r="U87" s="8">
        <f t="shared" si="454"/>
        <v>3300000</v>
      </c>
      <c r="V87" s="8">
        <v>0</v>
      </c>
      <c r="W87" s="8">
        <f t="shared" si="454"/>
        <v>300000</v>
      </c>
      <c r="X87" s="8">
        <f t="shared" si="454"/>
        <v>600000</v>
      </c>
      <c r="Y87" s="8">
        <f t="shared" si="454"/>
        <v>900000</v>
      </c>
      <c r="Z87" s="8">
        <f t="shared" si="454"/>
        <v>1200000</v>
      </c>
      <c r="AA87" s="8">
        <f t="shared" si="454"/>
        <v>1500000</v>
      </c>
      <c r="AB87" s="8">
        <v>1800000</v>
      </c>
      <c r="AC87" s="8">
        <v>185000</v>
      </c>
      <c r="AD87" s="8">
        <v>185000</v>
      </c>
      <c r="AE87" s="8">
        <f t="shared" ref="AE87:AM87" si="457">+AD87+100000</f>
        <v>285000</v>
      </c>
      <c r="AF87" s="8">
        <v>35000</v>
      </c>
      <c r="AG87" s="8">
        <f t="shared" si="457"/>
        <v>135000</v>
      </c>
      <c r="AH87" s="8">
        <v>35000</v>
      </c>
      <c r="AI87" s="8">
        <v>35000</v>
      </c>
      <c r="AJ87" s="8">
        <f t="shared" si="457"/>
        <v>135000</v>
      </c>
      <c r="AK87" s="8">
        <v>35000</v>
      </c>
      <c r="AL87" s="8">
        <v>35000</v>
      </c>
      <c r="AM87" s="8">
        <f t="shared" si="457"/>
        <v>135000</v>
      </c>
      <c r="AN87" s="8">
        <v>35000</v>
      </c>
      <c r="AO87" s="8">
        <f t="shared" si="382"/>
        <v>4369000</v>
      </c>
      <c r="AP87" s="16">
        <f t="shared" si="383"/>
        <v>11425</v>
      </c>
      <c r="AQ87" s="16">
        <f t="shared" si="384"/>
        <v>12925</v>
      </c>
      <c r="AR87" s="16">
        <f t="shared" si="385"/>
        <v>14925</v>
      </c>
      <c r="AS87" s="16">
        <f t="shared" si="386"/>
        <v>15175</v>
      </c>
      <c r="AT87" s="16">
        <f t="shared" si="387"/>
        <v>17175</v>
      </c>
      <c r="AU87" s="16">
        <f t="shared" si="388"/>
        <v>175</v>
      </c>
      <c r="AV87" s="16">
        <f t="shared" si="389"/>
        <v>1675</v>
      </c>
      <c r="AW87" s="16">
        <f t="shared" si="390"/>
        <v>3675</v>
      </c>
      <c r="AX87" s="16">
        <f t="shared" si="391"/>
        <v>4675</v>
      </c>
      <c r="AY87" s="16">
        <f t="shared" si="392"/>
        <v>6175</v>
      </c>
      <c r="AZ87" s="16">
        <f t="shared" si="393"/>
        <v>8175</v>
      </c>
      <c r="BA87" s="16">
        <f t="shared" si="394"/>
        <v>9175</v>
      </c>
      <c r="BB87" s="16">
        <v>0</v>
      </c>
      <c r="BC87" s="8">
        <v>5000000</v>
      </c>
      <c r="BD87" s="16">
        <f t="shared" si="441"/>
        <v>105350</v>
      </c>
      <c r="BE87" s="23">
        <f t="shared" si="363"/>
        <v>7699.2431912568854</v>
      </c>
      <c r="BF87" s="23">
        <f t="shared" si="364"/>
        <v>7515.3248772062243</v>
      </c>
      <c r="BG87" s="23">
        <f t="shared" si="365"/>
        <v>25601.332968732077</v>
      </c>
      <c r="BH87" s="23">
        <f t="shared" si="366"/>
        <v>41382.364157873504</v>
      </c>
      <c r="BI87" s="23">
        <f t="shared" si="367"/>
        <v>34245.183887274892</v>
      </c>
      <c r="BJ87" s="23">
        <f t="shared" si="368"/>
        <v>14174.917260754857</v>
      </c>
      <c r="BK87" s="23">
        <f t="shared" si="369"/>
        <v>11335.258093287717</v>
      </c>
      <c r="BL87" s="23">
        <f t="shared" si="370"/>
        <v>23316.386975349826</v>
      </c>
      <c r="BM87" s="23">
        <f t="shared" si="371"/>
        <v>25614.197369461242</v>
      </c>
      <c r="BN87" s="23">
        <f t="shared" si="372"/>
        <v>23670.330635119059</v>
      </c>
      <c r="BO87" s="23">
        <f t="shared" si="373"/>
        <v>19208.575649049439</v>
      </c>
      <c r="BP87" s="23">
        <f t="shared" si="374"/>
        <v>17822.7251091383</v>
      </c>
      <c r="BQ87" s="22">
        <f t="shared" si="395"/>
        <v>251585.84017450403</v>
      </c>
      <c r="BR87" s="8">
        <f t="shared" si="375"/>
        <v>0</v>
      </c>
      <c r="BS87" s="8">
        <f t="shared" si="396"/>
        <v>251585.84017450403</v>
      </c>
      <c r="BT87" s="8">
        <f t="shared" si="376"/>
        <v>356935.84017450403</v>
      </c>
      <c r="BU87" s="6">
        <f t="shared" si="456"/>
        <v>4269000</v>
      </c>
      <c r="BX87" s="136" t="s">
        <v>654</v>
      </c>
      <c r="BY87" s="136" t="s">
        <v>655</v>
      </c>
    </row>
    <row r="88" spans="1:78" s="110" customFormat="1" ht="13.5" customHeight="1" x14ac:dyDescent="0.2">
      <c r="A88" s="24">
        <v>81</v>
      </c>
      <c r="B88" s="24">
        <v>148</v>
      </c>
      <c r="C88" s="25" t="s">
        <v>55</v>
      </c>
      <c r="D88" s="26">
        <v>100000</v>
      </c>
      <c r="E88" s="26">
        <f t="shared" si="452"/>
        <v>1950000</v>
      </c>
      <c r="F88" s="26">
        <f t="shared" si="452"/>
        <v>1975000</v>
      </c>
      <c r="G88" s="26">
        <f t="shared" si="452"/>
        <v>2000000</v>
      </c>
      <c r="H88" s="26">
        <f t="shared" si="453"/>
        <v>2025000</v>
      </c>
      <c r="I88" s="26">
        <f t="shared" si="453"/>
        <v>2075000</v>
      </c>
      <c r="J88" s="26">
        <f t="shared" si="453"/>
        <v>2125000</v>
      </c>
      <c r="K88" s="26">
        <f t="shared" si="453"/>
        <v>2175000</v>
      </c>
      <c r="L88" s="26">
        <f t="shared" si="453"/>
        <v>2225000</v>
      </c>
      <c r="M88" s="26">
        <f t="shared" si="453"/>
        <v>2275000</v>
      </c>
      <c r="N88" s="26">
        <f t="shared" si="453"/>
        <v>2325000</v>
      </c>
      <c r="O88" s="26">
        <f t="shared" si="453"/>
        <v>2375000</v>
      </c>
      <c r="P88" s="26">
        <v>2425000</v>
      </c>
      <c r="Q88" s="26">
        <v>3000000</v>
      </c>
      <c r="R88" s="26">
        <f>+Q88+500000</f>
        <v>3500000</v>
      </c>
      <c r="S88" s="26">
        <f t="shared" ref="S88:AA88" si="458">+R88+500000</f>
        <v>4000000</v>
      </c>
      <c r="T88" s="26">
        <f t="shared" si="458"/>
        <v>4500000</v>
      </c>
      <c r="U88" s="26">
        <f t="shared" si="458"/>
        <v>5000000</v>
      </c>
      <c r="V88" s="26">
        <v>0</v>
      </c>
      <c r="W88" s="26">
        <f t="shared" si="458"/>
        <v>500000</v>
      </c>
      <c r="X88" s="26">
        <f t="shared" si="458"/>
        <v>1000000</v>
      </c>
      <c r="Y88" s="26">
        <f t="shared" si="458"/>
        <v>1500000</v>
      </c>
      <c r="Z88" s="26">
        <f t="shared" si="458"/>
        <v>2000000</v>
      </c>
      <c r="AA88" s="26">
        <f t="shared" si="458"/>
        <v>2500000</v>
      </c>
      <c r="AB88" s="26">
        <v>3000000</v>
      </c>
      <c r="AC88" s="26">
        <v>7000000</v>
      </c>
      <c r="AD88" s="26">
        <f>+AC88+500000-1500000</f>
        <v>6000000</v>
      </c>
      <c r="AE88" s="26">
        <f t="shared" ref="AE88:AM88" si="459">+AD88+500000</f>
        <v>6500000</v>
      </c>
      <c r="AF88" s="26">
        <f t="shared" si="459"/>
        <v>7000000</v>
      </c>
      <c r="AG88" s="26">
        <f>+AF88+500000-1000000</f>
        <v>6500000</v>
      </c>
      <c r="AH88" s="26">
        <f t="shared" si="459"/>
        <v>7000000</v>
      </c>
      <c r="AI88" s="26">
        <f t="shared" si="459"/>
        <v>7500000</v>
      </c>
      <c r="AJ88" s="26">
        <f>+AI88+500000-3000000</f>
        <v>5000000</v>
      </c>
      <c r="AK88" s="26">
        <f>+AJ88+500000-2000000</f>
        <v>3500000</v>
      </c>
      <c r="AL88" s="26">
        <f t="shared" si="459"/>
        <v>4000000</v>
      </c>
      <c r="AM88" s="26">
        <f t="shared" si="459"/>
        <v>4500000</v>
      </c>
      <c r="AN88" s="26">
        <v>5000000</v>
      </c>
      <c r="AO88" s="26">
        <f t="shared" si="382"/>
        <v>10525000</v>
      </c>
      <c r="AP88" s="27">
        <f t="shared" si="383"/>
        <v>50000</v>
      </c>
      <c r="AQ88" s="27">
        <f t="shared" si="384"/>
        <v>47500</v>
      </c>
      <c r="AR88" s="27">
        <f t="shared" si="385"/>
        <v>52500</v>
      </c>
      <c r="AS88" s="27">
        <f t="shared" si="386"/>
        <v>57500</v>
      </c>
      <c r="AT88" s="27">
        <f t="shared" si="387"/>
        <v>57500</v>
      </c>
      <c r="AU88" s="27">
        <f t="shared" si="388"/>
        <v>35000</v>
      </c>
      <c r="AV88" s="27">
        <f t="shared" si="389"/>
        <v>40000</v>
      </c>
      <c r="AW88" s="27">
        <f t="shared" si="390"/>
        <v>30000</v>
      </c>
      <c r="AX88" s="27">
        <f t="shared" si="391"/>
        <v>25000</v>
      </c>
      <c r="AY88" s="27">
        <f t="shared" si="392"/>
        <v>30000</v>
      </c>
      <c r="AZ88" s="27">
        <f t="shared" si="393"/>
        <v>35000</v>
      </c>
      <c r="BA88" s="27">
        <f t="shared" si="394"/>
        <v>40000</v>
      </c>
      <c r="BB88" s="27">
        <v>1050000</v>
      </c>
      <c r="BC88" s="26">
        <v>0</v>
      </c>
      <c r="BD88" s="27">
        <f t="shared" si="441"/>
        <v>500000</v>
      </c>
      <c r="BE88" s="28">
        <f t="shared" si="363"/>
        <v>21357.246881824463</v>
      </c>
      <c r="BF88" s="28">
        <f t="shared" si="364"/>
        <v>18631.374053043917</v>
      </c>
      <c r="BG88" s="28">
        <f t="shared" si="365"/>
        <v>63324.851866121746</v>
      </c>
      <c r="BH88" s="28">
        <f t="shared" si="366"/>
        <v>109080.03707700262</v>
      </c>
      <c r="BI88" s="28">
        <f t="shared" si="367"/>
        <v>83342.745979441912</v>
      </c>
      <c r="BJ88" s="28">
        <f t="shared" si="368"/>
        <v>57630.503186630034</v>
      </c>
      <c r="BK88" s="28">
        <f t="shared" si="369"/>
        <v>44471.087021203246</v>
      </c>
      <c r="BL88" s="28">
        <f t="shared" si="370"/>
        <v>63248.263789438679</v>
      </c>
      <c r="BM88" s="28">
        <f t="shared" si="371"/>
        <v>56916.151129791098</v>
      </c>
      <c r="BN88" s="28">
        <f t="shared" si="372"/>
        <v>54353.375742948505</v>
      </c>
      <c r="BO88" s="28">
        <f t="shared" si="373"/>
        <v>44185.786422613121</v>
      </c>
      <c r="BP88" s="28">
        <f t="shared" si="374"/>
        <v>42935.267057377117</v>
      </c>
      <c r="BQ88" s="29">
        <f t="shared" si="395"/>
        <v>659476.69020743645</v>
      </c>
      <c r="BR88" s="26">
        <f t="shared" si="375"/>
        <v>229307.37265633908</v>
      </c>
      <c r="BS88" s="26">
        <f t="shared" si="396"/>
        <v>888784.06286377553</v>
      </c>
      <c r="BT88" s="26">
        <f t="shared" si="376"/>
        <v>1388784.0628637755</v>
      </c>
      <c r="BU88" s="111">
        <f t="shared" si="456"/>
        <v>10425000</v>
      </c>
      <c r="BV88" s="110">
        <v>72</v>
      </c>
      <c r="BX88" s="136" t="s">
        <v>656</v>
      </c>
      <c r="BY88" s="136" t="s">
        <v>657</v>
      </c>
    </row>
    <row r="89" spans="1:78" ht="13.5" customHeight="1" x14ac:dyDescent="0.2">
      <c r="A89" s="15">
        <v>82</v>
      </c>
      <c r="B89" s="15">
        <v>149</v>
      </c>
      <c r="C89" s="14" t="s">
        <v>89</v>
      </c>
      <c r="D89" s="8">
        <v>100000</v>
      </c>
      <c r="E89" s="8">
        <f t="shared" ref="E89:G89" si="460">+F89-15000</f>
        <v>1570000</v>
      </c>
      <c r="F89" s="8">
        <f t="shared" si="460"/>
        <v>1585000</v>
      </c>
      <c r="G89" s="8">
        <f t="shared" si="460"/>
        <v>1600000</v>
      </c>
      <c r="H89" s="8">
        <f t="shared" ref="H89:O89" si="461">+I89-20000</f>
        <v>1615000</v>
      </c>
      <c r="I89" s="8">
        <f t="shared" si="461"/>
        <v>1635000</v>
      </c>
      <c r="J89" s="8">
        <f t="shared" si="461"/>
        <v>1655000</v>
      </c>
      <c r="K89" s="8">
        <f t="shared" si="461"/>
        <v>1675000</v>
      </c>
      <c r="L89" s="8">
        <f t="shared" si="461"/>
        <v>1695000</v>
      </c>
      <c r="M89" s="8">
        <f t="shared" si="461"/>
        <v>1715000</v>
      </c>
      <c r="N89" s="8">
        <f t="shared" si="461"/>
        <v>1735000</v>
      </c>
      <c r="O89" s="8">
        <f t="shared" si="461"/>
        <v>1755000</v>
      </c>
      <c r="P89" s="8">
        <v>1775000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219000</v>
      </c>
      <c r="AD89" s="8">
        <v>0</v>
      </c>
      <c r="AE89" s="8">
        <v>0</v>
      </c>
      <c r="AF89" s="8">
        <f>+AE89+5000</f>
        <v>5000</v>
      </c>
      <c r="AG89" s="8">
        <f t="shared" ref="AG89:AM89" si="462">+AF89+5000</f>
        <v>10000</v>
      </c>
      <c r="AH89" s="8">
        <f t="shared" si="462"/>
        <v>15000</v>
      </c>
      <c r="AI89" s="8">
        <f t="shared" si="462"/>
        <v>20000</v>
      </c>
      <c r="AJ89" s="8">
        <f t="shared" si="462"/>
        <v>25000</v>
      </c>
      <c r="AK89" s="8">
        <f t="shared" si="462"/>
        <v>30000</v>
      </c>
      <c r="AL89" s="8">
        <f t="shared" si="462"/>
        <v>35000</v>
      </c>
      <c r="AM89" s="8">
        <f t="shared" si="462"/>
        <v>40000</v>
      </c>
      <c r="AN89" s="8">
        <v>45000</v>
      </c>
      <c r="AO89" s="8">
        <f t="shared" si="382"/>
        <v>1920000</v>
      </c>
      <c r="AP89" s="16">
        <f t="shared" si="383"/>
        <v>1095</v>
      </c>
      <c r="AQ89" s="16">
        <f t="shared" si="384"/>
        <v>0</v>
      </c>
      <c r="AR89" s="16">
        <f t="shared" si="385"/>
        <v>0</v>
      </c>
      <c r="AS89" s="16">
        <f t="shared" si="386"/>
        <v>25</v>
      </c>
      <c r="AT89" s="16">
        <f t="shared" si="387"/>
        <v>50</v>
      </c>
      <c r="AU89" s="16">
        <f t="shared" si="388"/>
        <v>75</v>
      </c>
      <c r="AV89" s="16">
        <f t="shared" si="389"/>
        <v>100</v>
      </c>
      <c r="AW89" s="16">
        <f t="shared" si="390"/>
        <v>125</v>
      </c>
      <c r="AX89" s="16">
        <f t="shared" si="391"/>
        <v>150</v>
      </c>
      <c r="AY89" s="16">
        <f t="shared" si="392"/>
        <v>175</v>
      </c>
      <c r="AZ89" s="16">
        <f t="shared" si="393"/>
        <v>200</v>
      </c>
      <c r="BA89" s="16">
        <f t="shared" si="394"/>
        <v>225</v>
      </c>
      <c r="BB89" s="16">
        <v>900000</v>
      </c>
      <c r="BC89" s="8">
        <v>1250000</v>
      </c>
      <c r="BD89" s="16">
        <f t="shared" si="441"/>
        <v>2220</v>
      </c>
      <c r="BE89" s="23">
        <f t="shared" si="363"/>
        <v>3348.0364613914035</v>
      </c>
      <c r="BF89" s="23">
        <f t="shared" si="364"/>
        <v>2712.2129830996973</v>
      </c>
      <c r="BG89" s="23">
        <f t="shared" si="365"/>
        <v>8543.8292200322994</v>
      </c>
      <c r="BH89" s="23">
        <f t="shared" si="366"/>
        <v>13770.103763115192</v>
      </c>
      <c r="BI89" s="23">
        <f t="shared" si="367"/>
        <v>10634.961004323666</v>
      </c>
      <c r="BJ89" s="23">
        <f t="shared" si="368"/>
        <v>11057.559961011943</v>
      </c>
      <c r="BK89" s="23">
        <f t="shared" si="369"/>
        <v>7768.9149589352628</v>
      </c>
      <c r="BL89" s="23">
        <f t="shared" si="370"/>
        <v>13827.24805967308</v>
      </c>
      <c r="BM89" s="23">
        <f t="shared" si="371"/>
        <v>14238.68458772401</v>
      </c>
      <c r="BN89" s="23">
        <f t="shared" si="372"/>
        <v>12064.191411194506</v>
      </c>
      <c r="BO89" s="23">
        <f t="shared" si="373"/>
        <v>8837.1572845226237</v>
      </c>
      <c r="BP89" s="23">
        <f t="shared" si="374"/>
        <v>7832.3717577353027</v>
      </c>
      <c r="BQ89" s="22">
        <f t="shared" si="395"/>
        <v>114635.27145275899</v>
      </c>
      <c r="BR89" s="8">
        <f t="shared" si="375"/>
        <v>196549.17656257635</v>
      </c>
      <c r="BS89" s="8">
        <f t="shared" si="396"/>
        <v>311184.44801533537</v>
      </c>
      <c r="BT89" s="8">
        <f t="shared" si="376"/>
        <v>313404.44801533537</v>
      </c>
      <c r="BU89" s="6">
        <f t="shared" si="456"/>
        <v>1820000</v>
      </c>
      <c r="BX89" s="136" t="s">
        <v>658</v>
      </c>
      <c r="BY89" s="136" t="s">
        <v>659</v>
      </c>
    </row>
    <row r="90" spans="1:78" s="110" customFormat="1" ht="13.5" customHeight="1" x14ac:dyDescent="0.2">
      <c r="A90" s="24">
        <v>83</v>
      </c>
      <c r="B90" s="24">
        <v>150</v>
      </c>
      <c r="C90" s="25" t="s">
        <v>90</v>
      </c>
      <c r="D90" s="26">
        <v>100000</v>
      </c>
      <c r="E90" s="26">
        <f t="shared" ref="E90:G90" si="463">+F90-15000</f>
        <v>1511000</v>
      </c>
      <c r="F90" s="26">
        <f t="shared" si="463"/>
        <v>1526000</v>
      </c>
      <c r="G90" s="26">
        <f t="shared" si="463"/>
        <v>1541000</v>
      </c>
      <c r="H90" s="26">
        <f t="shared" ref="H90:O90" si="464">+I90-20000</f>
        <v>1556000</v>
      </c>
      <c r="I90" s="26">
        <f t="shared" si="464"/>
        <v>1576000</v>
      </c>
      <c r="J90" s="26">
        <f t="shared" si="464"/>
        <v>1596000</v>
      </c>
      <c r="K90" s="26">
        <f t="shared" si="464"/>
        <v>1616000</v>
      </c>
      <c r="L90" s="26">
        <f t="shared" si="464"/>
        <v>1636000</v>
      </c>
      <c r="M90" s="26">
        <f t="shared" si="464"/>
        <v>1656000</v>
      </c>
      <c r="N90" s="26">
        <f t="shared" si="464"/>
        <v>1676000</v>
      </c>
      <c r="O90" s="26">
        <f t="shared" si="464"/>
        <v>1696000</v>
      </c>
      <c r="P90" s="26">
        <v>1716000</v>
      </c>
      <c r="Q90" s="26">
        <v>300000</v>
      </c>
      <c r="R90" s="26">
        <f>+Q90+50000</f>
        <v>350000</v>
      </c>
      <c r="S90" s="26">
        <f t="shared" ref="S90" si="465">+R90+50000</f>
        <v>400000</v>
      </c>
      <c r="T90" s="26">
        <f t="shared" ref="T90" si="466">+S90+50000</f>
        <v>450000</v>
      </c>
      <c r="U90" s="26">
        <f t="shared" ref="U90" si="467">+T90+50000</f>
        <v>500000</v>
      </c>
      <c r="V90" s="26">
        <v>0</v>
      </c>
      <c r="W90" s="26">
        <f>+V90+100000</f>
        <v>100000</v>
      </c>
      <c r="X90" s="26">
        <f t="shared" ref="X90:AA90" si="468">+W90+100000</f>
        <v>200000</v>
      </c>
      <c r="Y90" s="26">
        <f t="shared" si="468"/>
        <v>300000</v>
      </c>
      <c r="Z90" s="26">
        <f t="shared" si="468"/>
        <v>400000</v>
      </c>
      <c r="AA90" s="26">
        <f t="shared" si="468"/>
        <v>500000</v>
      </c>
      <c r="AB90" s="26">
        <v>600000</v>
      </c>
      <c r="AC90" s="26">
        <v>10000000</v>
      </c>
      <c r="AD90" s="26">
        <v>10000000</v>
      </c>
      <c r="AE90" s="26">
        <v>10000000</v>
      </c>
      <c r="AF90" s="26">
        <v>10000000</v>
      </c>
      <c r="AG90" s="26">
        <v>0</v>
      </c>
      <c r="AH90" s="26">
        <v>0</v>
      </c>
      <c r="AI90" s="26">
        <v>0</v>
      </c>
      <c r="AJ90" s="26">
        <v>8000000</v>
      </c>
      <c r="AK90" s="26">
        <v>8000000</v>
      </c>
      <c r="AL90" s="26">
        <v>14000000</v>
      </c>
      <c r="AM90" s="26">
        <v>14000000</v>
      </c>
      <c r="AN90" s="26">
        <v>14000000</v>
      </c>
      <c r="AO90" s="26">
        <f t="shared" si="382"/>
        <v>16416000</v>
      </c>
      <c r="AP90" s="27">
        <f t="shared" si="383"/>
        <v>51500</v>
      </c>
      <c r="AQ90" s="27">
        <f t="shared" si="384"/>
        <v>51750</v>
      </c>
      <c r="AR90" s="27">
        <f t="shared" si="385"/>
        <v>52000</v>
      </c>
      <c r="AS90" s="27">
        <f t="shared" si="386"/>
        <v>52250</v>
      </c>
      <c r="AT90" s="27">
        <f t="shared" si="387"/>
        <v>2500</v>
      </c>
      <c r="AU90" s="27">
        <f t="shared" si="388"/>
        <v>0</v>
      </c>
      <c r="AV90" s="27">
        <f t="shared" si="389"/>
        <v>500</v>
      </c>
      <c r="AW90" s="27">
        <f t="shared" si="390"/>
        <v>41000</v>
      </c>
      <c r="AX90" s="27">
        <f t="shared" si="391"/>
        <v>41500</v>
      </c>
      <c r="AY90" s="27">
        <f t="shared" si="392"/>
        <v>72000</v>
      </c>
      <c r="AZ90" s="27">
        <f t="shared" si="393"/>
        <v>72500</v>
      </c>
      <c r="BA90" s="27">
        <f t="shared" si="394"/>
        <v>73000</v>
      </c>
      <c r="BB90" s="27">
        <v>900000</v>
      </c>
      <c r="BC90" s="26">
        <v>324000</v>
      </c>
      <c r="BD90" s="27">
        <f t="shared" si="441"/>
        <v>510500</v>
      </c>
      <c r="BE90" s="28">
        <f t="shared" si="363"/>
        <v>21110.885278789308</v>
      </c>
      <c r="BF90" s="28">
        <f t="shared" si="364"/>
        <v>19276.83245436319</v>
      </c>
      <c r="BG90" s="28">
        <f t="shared" si="365"/>
        <v>60515.439787299365</v>
      </c>
      <c r="BH90" s="28">
        <f t="shared" si="366"/>
        <v>96919.114044344489</v>
      </c>
      <c r="BI90" s="28">
        <f t="shared" si="367"/>
        <v>13261.70495438871</v>
      </c>
      <c r="BJ90" s="28">
        <f t="shared" si="368"/>
        <v>10595.266493715397</v>
      </c>
      <c r="BK90" s="28">
        <f t="shared" si="369"/>
        <v>7859.8047718253129</v>
      </c>
      <c r="BL90" s="28">
        <f t="shared" si="370"/>
        <v>75487.657538962492</v>
      </c>
      <c r="BM90" s="28">
        <f t="shared" si="371"/>
        <v>77606.619086261606</v>
      </c>
      <c r="BN90" s="28">
        <f t="shared" si="372"/>
        <v>104358.48142646113</v>
      </c>
      <c r="BO90" s="28">
        <f t="shared" si="373"/>
        <v>75994.889239356547</v>
      </c>
      <c r="BP90" s="28">
        <f t="shared" si="374"/>
        <v>66966.778528636831</v>
      </c>
      <c r="BQ90" s="29">
        <f t="shared" si="395"/>
        <v>629953.47360440437</v>
      </c>
      <c r="BR90" s="26">
        <f t="shared" si="375"/>
        <v>196549.17656257635</v>
      </c>
      <c r="BS90" s="26">
        <f t="shared" si="396"/>
        <v>826502.65016698069</v>
      </c>
      <c r="BT90" s="26">
        <f t="shared" si="376"/>
        <v>1337002.6501669807</v>
      </c>
      <c r="BU90" s="111">
        <f t="shared" si="456"/>
        <v>16316000</v>
      </c>
      <c r="BV90" s="110">
        <v>73</v>
      </c>
      <c r="BX90" s="136" t="s">
        <v>660</v>
      </c>
      <c r="BY90" s="136" t="s">
        <v>661</v>
      </c>
    </row>
    <row r="91" spans="1:78" s="110" customFormat="1" ht="13.5" customHeight="1" x14ac:dyDescent="0.2">
      <c r="A91" s="128">
        <v>84</v>
      </c>
      <c r="B91" s="128">
        <v>151</v>
      </c>
      <c r="C91" s="129" t="s">
        <v>91</v>
      </c>
      <c r="D91" s="130">
        <v>100000</v>
      </c>
      <c r="E91" s="130">
        <f t="shared" ref="E91:G91" si="469">+F91-15000</f>
        <v>1505000</v>
      </c>
      <c r="F91" s="130">
        <f t="shared" si="469"/>
        <v>1520000</v>
      </c>
      <c r="G91" s="130">
        <f t="shared" si="469"/>
        <v>1535000</v>
      </c>
      <c r="H91" s="130">
        <f t="shared" ref="H91:O91" si="470">+I91-20000</f>
        <v>1550000</v>
      </c>
      <c r="I91" s="130">
        <f t="shared" si="470"/>
        <v>1570000</v>
      </c>
      <c r="J91" s="130">
        <f t="shared" si="470"/>
        <v>1590000</v>
      </c>
      <c r="K91" s="130">
        <f t="shared" si="470"/>
        <v>1610000</v>
      </c>
      <c r="L91" s="130">
        <f t="shared" si="470"/>
        <v>1630000</v>
      </c>
      <c r="M91" s="130">
        <f t="shared" si="470"/>
        <v>1650000</v>
      </c>
      <c r="N91" s="130">
        <f t="shared" si="470"/>
        <v>1670000</v>
      </c>
      <c r="O91" s="130">
        <f t="shared" si="470"/>
        <v>1690000</v>
      </c>
      <c r="P91" s="130">
        <v>1710000</v>
      </c>
      <c r="Q91" s="130">
        <v>0</v>
      </c>
      <c r="R91" s="130">
        <v>0</v>
      </c>
      <c r="S91" s="130">
        <v>0</v>
      </c>
      <c r="T91" s="130">
        <v>0</v>
      </c>
      <c r="U91" s="130">
        <v>0</v>
      </c>
      <c r="V91" s="130">
        <v>0</v>
      </c>
      <c r="W91" s="130">
        <v>0</v>
      </c>
      <c r="X91" s="130">
        <v>0</v>
      </c>
      <c r="Y91" s="130">
        <v>0</v>
      </c>
      <c r="Z91" s="130">
        <v>0</v>
      </c>
      <c r="AA91" s="130">
        <v>0</v>
      </c>
      <c r="AB91" s="130">
        <v>0</v>
      </c>
      <c r="AC91" s="130">
        <v>7166000</v>
      </c>
      <c r="AD91" s="130">
        <f>+AC91+10000</f>
        <v>7176000</v>
      </c>
      <c r="AE91" s="130">
        <f t="shared" ref="AE91:AM91" si="471">+AD91+10000</f>
        <v>7186000</v>
      </c>
      <c r="AF91" s="130">
        <f>+AE91+10000-2000000</f>
        <v>5196000</v>
      </c>
      <c r="AG91" s="130">
        <f t="shared" si="471"/>
        <v>5206000</v>
      </c>
      <c r="AH91" s="130">
        <f t="shared" si="471"/>
        <v>5216000</v>
      </c>
      <c r="AI91" s="130">
        <f t="shared" si="471"/>
        <v>5226000</v>
      </c>
      <c r="AJ91" s="130">
        <f t="shared" si="471"/>
        <v>5236000</v>
      </c>
      <c r="AK91" s="130">
        <f t="shared" si="471"/>
        <v>5246000</v>
      </c>
      <c r="AL91" s="130">
        <f t="shared" si="471"/>
        <v>5256000</v>
      </c>
      <c r="AM91" s="130">
        <f t="shared" si="471"/>
        <v>5266000</v>
      </c>
      <c r="AN91" s="130">
        <v>5776000</v>
      </c>
      <c r="AO91" s="130">
        <f t="shared" si="382"/>
        <v>7586000</v>
      </c>
      <c r="AP91" s="131">
        <f t="shared" si="383"/>
        <v>35830</v>
      </c>
      <c r="AQ91" s="131">
        <f t="shared" si="384"/>
        <v>35880</v>
      </c>
      <c r="AR91" s="131">
        <f t="shared" si="385"/>
        <v>35930</v>
      </c>
      <c r="AS91" s="131">
        <f t="shared" si="386"/>
        <v>25980</v>
      </c>
      <c r="AT91" s="131">
        <f t="shared" si="387"/>
        <v>26030</v>
      </c>
      <c r="AU91" s="131">
        <f t="shared" si="388"/>
        <v>26080</v>
      </c>
      <c r="AV91" s="131">
        <f t="shared" si="389"/>
        <v>26130</v>
      </c>
      <c r="AW91" s="131">
        <f t="shared" si="390"/>
        <v>26180</v>
      </c>
      <c r="AX91" s="131">
        <f t="shared" si="391"/>
        <v>26230</v>
      </c>
      <c r="AY91" s="131">
        <f t="shared" si="392"/>
        <v>26280</v>
      </c>
      <c r="AZ91" s="131">
        <f t="shared" si="393"/>
        <v>26330</v>
      </c>
      <c r="BA91" s="131">
        <f t="shared" si="394"/>
        <v>28880</v>
      </c>
      <c r="BB91" s="131">
        <v>540000</v>
      </c>
      <c r="BC91" s="130">
        <v>1750000</v>
      </c>
      <c r="BD91" s="131">
        <f t="shared" si="441"/>
        <v>345760</v>
      </c>
      <c r="BE91" s="132">
        <f t="shared" si="363"/>
        <v>15545.594390081524</v>
      </c>
      <c r="BF91" s="132">
        <f t="shared" si="364"/>
        <v>14158.234658364949</v>
      </c>
      <c r="BG91" s="132">
        <f t="shared" si="365"/>
        <v>44332.422088179359</v>
      </c>
      <c r="BH91" s="132">
        <f t="shared" si="366"/>
        <v>54808.215326910817</v>
      </c>
      <c r="BI91" s="132">
        <f t="shared" si="367"/>
        <v>41906.012530504027</v>
      </c>
      <c r="BJ91" s="132">
        <f t="shared" si="368"/>
        <v>43143.225474999133</v>
      </c>
      <c r="BK91" s="132">
        <f t="shared" si="369"/>
        <v>30019.606771685227</v>
      </c>
      <c r="BL91" s="132">
        <f t="shared" si="370"/>
        <v>52923.412078946523</v>
      </c>
      <c r="BM91" s="132">
        <f t="shared" si="371"/>
        <v>53991.239770036409</v>
      </c>
      <c r="BN91" s="132">
        <f t="shared" si="372"/>
        <v>45327.81222195326</v>
      </c>
      <c r="BO91" s="132">
        <f t="shared" si="373"/>
        <v>32905.003588175001</v>
      </c>
      <c r="BP91" s="132">
        <f t="shared" si="374"/>
        <v>30946.027163635419</v>
      </c>
      <c r="BQ91" s="133">
        <f t="shared" si="395"/>
        <v>460006.80606347165</v>
      </c>
      <c r="BR91" s="130">
        <f t="shared" si="375"/>
        <v>117929.50593754582</v>
      </c>
      <c r="BS91" s="130">
        <f t="shared" si="396"/>
        <v>577936.3120010175</v>
      </c>
      <c r="BT91" s="130">
        <f t="shared" si="376"/>
        <v>923696.3120010175</v>
      </c>
      <c r="BU91" s="134">
        <f t="shared" si="456"/>
        <v>7486000</v>
      </c>
      <c r="BV91" s="135">
        <v>74</v>
      </c>
      <c r="BX91" s="136" t="s">
        <v>662</v>
      </c>
      <c r="BY91" s="136" t="s">
        <v>663</v>
      </c>
    </row>
    <row r="92" spans="1:78" s="110" customFormat="1" ht="13.5" customHeight="1" x14ac:dyDescent="0.2">
      <c r="A92" s="128">
        <v>85</v>
      </c>
      <c r="B92" s="128">
        <v>152</v>
      </c>
      <c r="C92" s="129" t="s">
        <v>92</v>
      </c>
      <c r="D92" s="130">
        <v>100000</v>
      </c>
      <c r="E92" s="130">
        <f t="shared" ref="E92:G92" si="472">+F92-15000</f>
        <v>1502000</v>
      </c>
      <c r="F92" s="130">
        <f t="shared" si="472"/>
        <v>1517000</v>
      </c>
      <c r="G92" s="130">
        <f t="shared" si="472"/>
        <v>1532000</v>
      </c>
      <c r="H92" s="130">
        <f t="shared" ref="H92:O92" si="473">+I92-20000</f>
        <v>1547000</v>
      </c>
      <c r="I92" s="130">
        <f t="shared" si="473"/>
        <v>1567000</v>
      </c>
      <c r="J92" s="130">
        <f t="shared" si="473"/>
        <v>1587000</v>
      </c>
      <c r="K92" s="130">
        <f t="shared" si="473"/>
        <v>1607000</v>
      </c>
      <c r="L92" s="130">
        <f t="shared" si="473"/>
        <v>1627000</v>
      </c>
      <c r="M92" s="130">
        <f t="shared" si="473"/>
        <v>1647000</v>
      </c>
      <c r="N92" s="130">
        <f t="shared" si="473"/>
        <v>1667000</v>
      </c>
      <c r="O92" s="130">
        <f t="shared" si="473"/>
        <v>1687000</v>
      </c>
      <c r="P92" s="130">
        <v>1707000</v>
      </c>
      <c r="Q92" s="130">
        <v>150000</v>
      </c>
      <c r="R92" s="130">
        <f>+Q92+25000</f>
        <v>175000</v>
      </c>
      <c r="S92" s="130">
        <f t="shared" ref="S92:U92" si="474">+R92+25000</f>
        <v>200000</v>
      </c>
      <c r="T92" s="130">
        <f t="shared" si="474"/>
        <v>225000</v>
      </c>
      <c r="U92" s="130">
        <f t="shared" si="474"/>
        <v>250000</v>
      </c>
      <c r="V92" s="130">
        <v>0</v>
      </c>
      <c r="W92" s="130">
        <f>+V92+50000</f>
        <v>50000</v>
      </c>
      <c r="X92" s="130">
        <f t="shared" ref="X92:AA92" si="475">+W92+50000</f>
        <v>100000</v>
      </c>
      <c r="Y92" s="130">
        <f t="shared" si="475"/>
        <v>150000</v>
      </c>
      <c r="Z92" s="130">
        <f t="shared" si="475"/>
        <v>200000</v>
      </c>
      <c r="AA92" s="130">
        <f t="shared" si="475"/>
        <v>250000</v>
      </c>
      <c r="AB92" s="130">
        <v>300000</v>
      </c>
      <c r="AC92" s="130">
        <v>111500</v>
      </c>
      <c r="AD92" s="130">
        <f>+AC92+20000</f>
        <v>131500</v>
      </c>
      <c r="AE92" s="130">
        <f t="shared" ref="AE92:AM92" si="476">+AD92+20000</f>
        <v>151500</v>
      </c>
      <c r="AF92" s="130">
        <f>+AE92+20000-150000</f>
        <v>21500</v>
      </c>
      <c r="AG92" s="130">
        <f t="shared" si="476"/>
        <v>41500</v>
      </c>
      <c r="AH92" s="130">
        <f t="shared" si="476"/>
        <v>61500</v>
      </c>
      <c r="AI92" s="130">
        <f t="shared" si="476"/>
        <v>81500</v>
      </c>
      <c r="AJ92" s="130">
        <f t="shared" si="476"/>
        <v>101500</v>
      </c>
      <c r="AK92" s="130">
        <f t="shared" si="476"/>
        <v>121500</v>
      </c>
      <c r="AL92" s="130">
        <f t="shared" si="476"/>
        <v>141500</v>
      </c>
      <c r="AM92" s="130">
        <f t="shared" si="476"/>
        <v>161500</v>
      </c>
      <c r="AN92" s="130">
        <v>181500</v>
      </c>
      <c r="AO92" s="130">
        <f t="shared" si="382"/>
        <v>2288500</v>
      </c>
      <c r="AP92" s="131">
        <f t="shared" si="383"/>
        <v>1307.5</v>
      </c>
      <c r="AQ92" s="131">
        <f t="shared" si="384"/>
        <v>1532.5</v>
      </c>
      <c r="AR92" s="131">
        <f t="shared" si="385"/>
        <v>1757.5</v>
      </c>
      <c r="AS92" s="131">
        <f t="shared" si="386"/>
        <v>1232.5</v>
      </c>
      <c r="AT92" s="131">
        <f t="shared" si="387"/>
        <v>1457.5</v>
      </c>
      <c r="AU92" s="131">
        <f t="shared" si="388"/>
        <v>307.5</v>
      </c>
      <c r="AV92" s="131">
        <f t="shared" si="389"/>
        <v>657.5</v>
      </c>
      <c r="AW92" s="131">
        <f t="shared" si="390"/>
        <v>1007.5</v>
      </c>
      <c r="AX92" s="131">
        <f t="shared" si="391"/>
        <v>1357.5</v>
      </c>
      <c r="AY92" s="131">
        <f t="shared" si="392"/>
        <v>1707.5</v>
      </c>
      <c r="AZ92" s="131">
        <f t="shared" si="393"/>
        <v>2057.5</v>
      </c>
      <c r="BA92" s="131">
        <f t="shared" si="394"/>
        <v>2407.5</v>
      </c>
      <c r="BB92" s="131">
        <v>900000</v>
      </c>
      <c r="BC92" s="130">
        <v>4579000</v>
      </c>
      <c r="BD92" s="131">
        <f t="shared" si="441"/>
        <v>16790</v>
      </c>
      <c r="BE92" s="132">
        <f t="shared" si="363"/>
        <v>3302.8406277410695</v>
      </c>
      <c r="BF92" s="132">
        <f t="shared" si="364"/>
        <v>3096.1078177995655</v>
      </c>
      <c r="BG92" s="132">
        <f t="shared" si="365"/>
        <v>9968.6383870200389</v>
      </c>
      <c r="BH92" s="132">
        <f t="shared" si="366"/>
        <v>15159.122950848034</v>
      </c>
      <c r="BI92" s="132">
        <f t="shared" si="367"/>
        <v>11936.143912302523</v>
      </c>
      <c r="BJ92" s="132">
        <f t="shared" si="368"/>
        <v>10923.244967135242</v>
      </c>
      <c r="BK92" s="132">
        <f t="shared" si="369"/>
        <v>7957.1867142075098</v>
      </c>
      <c r="BL92" s="132">
        <f t="shared" si="370"/>
        <v>14651.564770922821</v>
      </c>
      <c r="BM92" s="132">
        <f t="shared" si="371"/>
        <v>15577.661160065536</v>
      </c>
      <c r="BN92" s="132">
        <f t="shared" si="372"/>
        <v>13602.859674066103</v>
      </c>
      <c r="BO92" s="132">
        <f t="shared" si="373"/>
        <v>10252.501472307646</v>
      </c>
      <c r="BP92" s="132">
        <f t="shared" si="374"/>
        <v>9335.6160247798125</v>
      </c>
      <c r="BQ92" s="133">
        <f t="shared" si="395"/>
        <v>125763.48847919589</v>
      </c>
      <c r="BR92" s="130">
        <f t="shared" si="375"/>
        <v>196549.17656257635</v>
      </c>
      <c r="BS92" s="130">
        <f t="shared" si="396"/>
        <v>322312.66504177224</v>
      </c>
      <c r="BT92" s="130">
        <f t="shared" si="376"/>
        <v>339102.66504177224</v>
      </c>
      <c r="BU92" s="134">
        <f t="shared" si="456"/>
        <v>2188500</v>
      </c>
      <c r="BV92" s="135">
        <v>75</v>
      </c>
      <c r="BX92" s="112" t="s">
        <v>666</v>
      </c>
      <c r="BY92" s="112" t="s">
        <v>638</v>
      </c>
      <c r="BZ92" s="115" t="s">
        <v>671</v>
      </c>
    </row>
    <row r="93" spans="1:78" s="110" customFormat="1" ht="13.5" customHeight="1" x14ac:dyDescent="0.2">
      <c r="A93" s="24">
        <v>86</v>
      </c>
      <c r="B93" s="24">
        <v>153</v>
      </c>
      <c r="C93" s="25" t="s">
        <v>93</v>
      </c>
      <c r="D93" s="26">
        <v>100000</v>
      </c>
      <c r="E93" s="26">
        <f t="shared" ref="E93:G93" si="477">+F93-15000</f>
        <v>1503000</v>
      </c>
      <c r="F93" s="26">
        <f t="shared" si="477"/>
        <v>1518000</v>
      </c>
      <c r="G93" s="26">
        <f t="shared" si="477"/>
        <v>1533000</v>
      </c>
      <c r="H93" s="26">
        <f t="shared" ref="H93:O93" si="478">+I93-20000</f>
        <v>1548000</v>
      </c>
      <c r="I93" s="26">
        <f t="shared" si="478"/>
        <v>1568000</v>
      </c>
      <c r="J93" s="26">
        <f t="shared" si="478"/>
        <v>1588000</v>
      </c>
      <c r="K93" s="26">
        <f t="shared" si="478"/>
        <v>1608000</v>
      </c>
      <c r="L93" s="26">
        <f t="shared" si="478"/>
        <v>1628000</v>
      </c>
      <c r="M93" s="26">
        <f t="shared" si="478"/>
        <v>1648000</v>
      </c>
      <c r="N93" s="26">
        <f t="shared" si="478"/>
        <v>1668000</v>
      </c>
      <c r="O93" s="26">
        <f t="shared" si="478"/>
        <v>1688000</v>
      </c>
      <c r="P93" s="26">
        <v>1708000</v>
      </c>
      <c r="Q93" s="26">
        <v>600000</v>
      </c>
      <c r="R93" s="26">
        <f>+Q93+100000</f>
        <v>700000</v>
      </c>
      <c r="S93" s="26">
        <f t="shared" ref="S93:U93" si="479">+R93+100000</f>
        <v>800000</v>
      </c>
      <c r="T93" s="26">
        <f t="shared" si="479"/>
        <v>900000</v>
      </c>
      <c r="U93" s="26">
        <f t="shared" si="479"/>
        <v>1000000</v>
      </c>
      <c r="V93" s="26">
        <v>0</v>
      </c>
      <c r="W93" s="26">
        <f>+V93+150000</f>
        <v>150000</v>
      </c>
      <c r="X93" s="26">
        <f t="shared" ref="X93:AA93" si="480">+W93+150000</f>
        <v>300000</v>
      </c>
      <c r="Y93" s="26">
        <f t="shared" si="480"/>
        <v>450000</v>
      </c>
      <c r="Z93" s="26">
        <f t="shared" si="480"/>
        <v>600000</v>
      </c>
      <c r="AA93" s="26">
        <f t="shared" si="480"/>
        <v>750000</v>
      </c>
      <c r="AB93" s="26">
        <v>900000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f t="shared" si="382"/>
        <v>2708000</v>
      </c>
      <c r="AP93" s="27">
        <f t="shared" si="383"/>
        <v>3000</v>
      </c>
      <c r="AQ93" s="27">
        <f t="shared" si="384"/>
        <v>3500</v>
      </c>
      <c r="AR93" s="27">
        <f t="shared" si="385"/>
        <v>4000</v>
      </c>
      <c r="AS93" s="27">
        <f t="shared" si="386"/>
        <v>4500</v>
      </c>
      <c r="AT93" s="27">
        <f t="shared" si="387"/>
        <v>5000</v>
      </c>
      <c r="AU93" s="27">
        <f t="shared" si="388"/>
        <v>0</v>
      </c>
      <c r="AV93" s="27">
        <f t="shared" si="389"/>
        <v>750</v>
      </c>
      <c r="AW93" s="27">
        <f t="shared" si="390"/>
        <v>1500</v>
      </c>
      <c r="AX93" s="27">
        <f t="shared" si="391"/>
        <v>2250</v>
      </c>
      <c r="AY93" s="27">
        <f t="shared" si="392"/>
        <v>3000</v>
      </c>
      <c r="AZ93" s="27">
        <f t="shared" si="393"/>
        <v>3750</v>
      </c>
      <c r="BA93" s="27">
        <f t="shared" si="394"/>
        <v>4500</v>
      </c>
      <c r="BB93" s="27">
        <v>900000</v>
      </c>
      <c r="BC93" s="26">
        <v>0</v>
      </c>
      <c r="BD93" s="27">
        <f t="shared" si="441"/>
        <v>35750</v>
      </c>
      <c r="BE93" s="28">
        <f t="shared" si="363"/>
        <v>3904.5655502621821</v>
      </c>
      <c r="BF93" s="28">
        <f t="shared" si="364"/>
        <v>3731.1036764540645</v>
      </c>
      <c r="BG93" s="28">
        <f t="shared" si="365"/>
        <v>12227.727348434461</v>
      </c>
      <c r="BH93" s="28">
        <f t="shared" si="366"/>
        <v>20398.967667684599</v>
      </c>
      <c r="BI93" s="28">
        <f t="shared" si="367"/>
        <v>16260.215449590569</v>
      </c>
      <c r="BJ93" s="28">
        <f t="shared" si="368"/>
        <v>10545.28882157523</v>
      </c>
      <c r="BK93" s="28">
        <f t="shared" si="369"/>
        <v>8041.5843976054139</v>
      </c>
      <c r="BL93" s="28">
        <f t="shared" si="370"/>
        <v>15407.504980778574</v>
      </c>
      <c r="BM93" s="28">
        <f t="shared" si="371"/>
        <v>16962.942397732993</v>
      </c>
      <c r="BN93" s="28">
        <f t="shared" si="372"/>
        <v>15277.008161341491</v>
      </c>
      <c r="BO93" s="28">
        <f t="shared" si="373"/>
        <v>11835.728331460907</v>
      </c>
      <c r="BP93" s="28">
        <f t="shared" si="374"/>
        <v>11046.907666639167</v>
      </c>
      <c r="BQ93" s="29">
        <f t="shared" si="395"/>
        <v>145639.54444955965</v>
      </c>
      <c r="BR93" s="26">
        <f t="shared" si="375"/>
        <v>196549.17656257635</v>
      </c>
      <c r="BS93" s="26">
        <f t="shared" si="396"/>
        <v>342188.72101213597</v>
      </c>
      <c r="BT93" s="26">
        <f t="shared" si="376"/>
        <v>377938.72101213597</v>
      </c>
      <c r="BU93" s="111">
        <f t="shared" si="456"/>
        <v>2608000</v>
      </c>
      <c r="BV93" s="110">
        <v>76</v>
      </c>
      <c r="BX93" s="112" t="s">
        <v>637</v>
      </c>
      <c r="BY93" s="112" t="s">
        <v>638</v>
      </c>
      <c r="BZ93" s="110" t="s">
        <v>675</v>
      </c>
    </row>
    <row r="94" spans="1:78" s="110" customFormat="1" ht="13.5" customHeight="1" x14ac:dyDescent="0.2">
      <c r="A94" s="24">
        <v>87</v>
      </c>
      <c r="B94" s="24">
        <v>155</v>
      </c>
      <c r="C94" s="25" t="s">
        <v>94</v>
      </c>
      <c r="D94" s="26">
        <v>100000</v>
      </c>
      <c r="E94" s="26">
        <f t="shared" ref="E94:G94" si="481">+F94-15000</f>
        <v>1509000</v>
      </c>
      <c r="F94" s="26">
        <f t="shared" si="481"/>
        <v>1524000</v>
      </c>
      <c r="G94" s="26">
        <f t="shared" si="481"/>
        <v>1539000</v>
      </c>
      <c r="H94" s="26">
        <f t="shared" ref="H94:O94" si="482">+I94-20000</f>
        <v>1554000</v>
      </c>
      <c r="I94" s="26">
        <f t="shared" si="482"/>
        <v>1574000</v>
      </c>
      <c r="J94" s="26">
        <f t="shared" si="482"/>
        <v>1594000</v>
      </c>
      <c r="K94" s="26">
        <f t="shared" si="482"/>
        <v>1614000</v>
      </c>
      <c r="L94" s="26">
        <f t="shared" si="482"/>
        <v>1634000</v>
      </c>
      <c r="M94" s="26">
        <f t="shared" si="482"/>
        <v>1654000</v>
      </c>
      <c r="N94" s="26">
        <f t="shared" si="482"/>
        <v>1674000</v>
      </c>
      <c r="O94" s="26">
        <f t="shared" si="482"/>
        <v>1694000</v>
      </c>
      <c r="P94" s="26">
        <v>1714000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95000</v>
      </c>
      <c r="AD94" s="26">
        <f>+AC94+20000</f>
        <v>115000</v>
      </c>
      <c r="AE94" s="26">
        <f t="shared" ref="AE94:AM94" si="483">+AD94+20000</f>
        <v>135000</v>
      </c>
      <c r="AF94" s="26">
        <f t="shared" si="483"/>
        <v>155000</v>
      </c>
      <c r="AG94" s="26">
        <v>75000</v>
      </c>
      <c r="AH94" s="26">
        <f t="shared" si="483"/>
        <v>95000</v>
      </c>
      <c r="AI94" s="26">
        <f t="shared" si="483"/>
        <v>115000</v>
      </c>
      <c r="AJ94" s="26">
        <f t="shared" si="483"/>
        <v>135000</v>
      </c>
      <c r="AK94" s="26">
        <f t="shared" si="483"/>
        <v>155000</v>
      </c>
      <c r="AL94" s="26">
        <v>75000</v>
      </c>
      <c r="AM94" s="26">
        <f t="shared" si="483"/>
        <v>95000</v>
      </c>
      <c r="AN94" s="26">
        <v>115000</v>
      </c>
      <c r="AO94" s="26">
        <f t="shared" si="382"/>
        <v>1929000</v>
      </c>
      <c r="AP94" s="27">
        <f t="shared" si="383"/>
        <v>475</v>
      </c>
      <c r="AQ94" s="27">
        <f t="shared" si="384"/>
        <v>575</v>
      </c>
      <c r="AR94" s="27">
        <f t="shared" si="385"/>
        <v>675</v>
      </c>
      <c r="AS94" s="27">
        <f t="shared" si="386"/>
        <v>775</v>
      </c>
      <c r="AT94" s="27">
        <f t="shared" si="387"/>
        <v>375</v>
      </c>
      <c r="AU94" s="27">
        <f t="shared" si="388"/>
        <v>475</v>
      </c>
      <c r="AV94" s="27">
        <f t="shared" si="389"/>
        <v>575</v>
      </c>
      <c r="AW94" s="27">
        <f t="shared" si="390"/>
        <v>675</v>
      </c>
      <c r="AX94" s="27">
        <f t="shared" si="391"/>
        <v>775</v>
      </c>
      <c r="AY94" s="27">
        <f t="shared" si="392"/>
        <v>375</v>
      </c>
      <c r="AZ94" s="27">
        <f t="shared" si="393"/>
        <v>475</v>
      </c>
      <c r="BA94" s="27">
        <f t="shared" si="394"/>
        <v>575</v>
      </c>
      <c r="BB94" s="27">
        <v>300000</v>
      </c>
      <c r="BC94" s="26">
        <v>0</v>
      </c>
      <c r="BD94" s="27">
        <f t="shared" si="441"/>
        <v>6800</v>
      </c>
      <c r="BE94" s="28">
        <f t="shared" si="363"/>
        <v>3020.145119222314</v>
      </c>
      <c r="BF94" s="28">
        <f t="shared" si="364"/>
        <v>2799.132568314762</v>
      </c>
      <c r="BG94" s="28">
        <f t="shared" si="365"/>
        <v>8915.7370801984107</v>
      </c>
      <c r="BH94" s="28">
        <f t="shared" si="366"/>
        <v>14482.626574113594</v>
      </c>
      <c r="BI94" s="28">
        <f t="shared" si="367"/>
        <v>10659.339138431</v>
      </c>
      <c r="BJ94" s="28">
        <f t="shared" si="368"/>
        <v>11176.256932344839</v>
      </c>
      <c r="BK94" s="28">
        <f t="shared" si="369"/>
        <v>7916.0698940905822</v>
      </c>
      <c r="BL94" s="28">
        <f t="shared" si="370"/>
        <v>14199.520122818125</v>
      </c>
      <c r="BM94" s="28">
        <f t="shared" si="371"/>
        <v>14732.601017867282</v>
      </c>
      <c r="BN94" s="28">
        <f t="shared" si="372"/>
        <v>11928.711186790717</v>
      </c>
      <c r="BO94" s="28">
        <f t="shared" si="373"/>
        <v>8809.1768392945833</v>
      </c>
      <c r="BP94" s="28">
        <f t="shared" si="374"/>
        <v>7869.0860003496864</v>
      </c>
      <c r="BQ94" s="29">
        <f t="shared" si="395"/>
        <v>116508.40247383591</v>
      </c>
      <c r="BR94" s="26">
        <f t="shared" si="375"/>
        <v>65516.392187525453</v>
      </c>
      <c r="BS94" s="26">
        <f t="shared" si="396"/>
        <v>182024.79466136137</v>
      </c>
      <c r="BT94" s="26">
        <f t="shared" si="376"/>
        <v>188824.79466136137</v>
      </c>
      <c r="BU94" s="111">
        <f t="shared" si="456"/>
        <v>1829000</v>
      </c>
      <c r="BV94" s="110">
        <v>77</v>
      </c>
      <c r="BW94" s="115" t="s">
        <v>668</v>
      </c>
    </row>
    <row r="95" spans="1:78" s="110" customFormat="1" ht="13.5" customHeight="1" x14ac:dyDescent="0.2">
      <c r="A95" s="24">
        <v>88</v>
      </c>
      <c r="B95" s="24">
        <v>156</v>
      </c>
      <c r="C95" s="25" t="s">
        <v>95</v>
      </c>
      <c r="D95" s="26">
        <v>100000</v>
      </c>
      <c r="E95" s="26">
        <f t="shared" ref="E95:G95" si="484">+F95-15000</f>
        <v>1499000</v>
      </c>
      <c r="F95" s="26">
        <f t="shared" si="484"/>
        <v>1514000</v>
      </c>
      <c r="G95" s="26">
        <f t="shared" si="484"/>
        <v>1529000</v>
      </c>
      <c r="H95" s="26">
        <f t="shared" ref="H95:O95" si="485">+I95-20000</f>
        <v>1544000</v>
      </c>
      <c r="I95" s="26">
        <f t="shared" si="485"/>
        <v>1564000</v>
      </c>
      <c r="J95" s="26">
        <f t="shared" si="485"/>
        <v>1584000</v>
      </c>
      <c r="K95" s="26">
        <f t="shared" si="485"/>
        <v>1604000</v>
      </c>
      <c r="L95" s="26">
        <f t="shared" si="485"/>
        <v>1624000</v>
      </c>
      <c r="M95" s="26">
        <f t="shared" si="485"/>
        <v>1644000</v>
      </c>
      <c r="N95" s="26">
        <f t="shared" si="485"/>
        <v>1664000</v>
      </c>
      <c r="O95" s="26">
        <f t="shared" si="485"/>
        <v>1684000</v>
      </c>
      <c r="P95" s="26">
        <v>1704000</v>
      </c>
      <c r="Q95" s="26">
        <v>250000</v>
      </c>
      <c r="R95" s="26">
        <f>+Q95+50000</f>
        <v>300000</v>
      </c>
      <c r="S95" s="26">
        <f t="shared" ref="S95:AA95" si="486">+R95+50000</f>
        <v>350000</v>
      </c>
      <c r="T95" s="26">
        <f t="shared" si="486"/>
        <v>400000</v>
      </c>
      <c r="U95" s="26">
        <f t="shared" si="486"/>
        <v>450000</v>
      </c>
      <c r="V95" s="26">
        <v>0</v>
      </c>
      <c r="W95" s="26">
        <v>0</v>
      </c>
      <c r="X95" s="26">
        <f t="shared" si="486"/>
        <v>50000</v>
      </c>
      <c r="Y95" s="26">
        <f t="shared" si="486"/>
        <v>100000</v>
      </c>
      <c r="Z95" s="26">
        <f t="shared" si="486"/>
        <v>150000</v>
      </c>
      <c r="AA95" s="26">
        <f t="shared" si="486"/>
        <v>200000</v>
      </c>
      <c r="AB95" s="26">
        <v>250000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>
        <v>9270500</v>
      </c>
      <c r="AO95" s="26">
        <f t="shared" si="382"/>
        <v>11324500</v>
      </c>
      <c r="AP95" s="27">
        <f t="shared" si="383"/>
        <v>1250</v>
      </c>
      <c r="AQ95" s="27">
        <f t="shared" si="384"/>
        <v>1500</v>
      </c>
      <c r="AR95" s="27">
        <f t="shared" si="385"/>
        <v>1750</v>
      </c>
      <c r="AS95" s="27">
        <f t="shared" si="386"/>
        <v>2000</v>
      </c>
      <c r="AT95" s="27">
        <f t="shared" si="387"/>
        <v>2250</v>
      </c>
      <c r="AU95" s="27">
        <f t="shared" si="388"/>
        <v>0</v>
      </c>
      <c r="AV95" s="27">
        <f t="shared" si="389"/>
        <v>0</v>
      </c>
      <c r="AW95" s="27">
        <f t="shared" si="390"/>
        <v>250</v>
      </c>
      <c r="AX95" s="27">
        <f t="shared" si="391"/>
        <v>500</v>
      </c>
      <c r="AY95" s="27">
        <f t="shared" si="392"/>
        <v>750</v>
      </c>
      <c r="AZ95" s="27">
        <f t="shared" si="393"/>
        <v>1000</v>
      </c>
      <c r="BA95" s="27">
        <f t="shared" si="394"/>
        <v>47602.5</v>
      </c>
      <c r="BB95" s="27">
        <v>720000</v>
      </c>
      <c r="BC95" s="26">
        <v>3000000</v>
      </c>
      <c r="BD95" s="27">
        <f t="shared" si="441"/>
        <v>58852.5</v>
      </c>
      <c r="BE95" s="28">
        <f t="shared" si="363"/>
        <v>3277.1410360575464</v>
      </c>
      <c r="BF95" s="28">
        <f t="shared" si="364"/>
        <v>3080.8164092895081</v>
      </c>
      <c r="BG95" s="28">
        <f t="shared" si="365"/>
        <v>9946.022368496424</v>
      </c>
      <c r="BH95" s="28">
        <f t="shared" si="366"/>
        <v>16364.007030120612</v>
      </c>
      <c r="BI95" s="28">
        <f t="shared" si="367"/>
        <v>12883.843875725061</v>
      </c>
      <c r="BJ95" s="28">
        <f t="shared" si="368"/>
        <v>10520.299985505148</v>
      </c>
      <c r="BK95" s="28">
        <f t="shared" si="369"/>
        <v>7375.0591030783771</v>
      </c>
      <c r="BL95" s="28">
        <f t="shared" si="370"/>
        <v>13477.768163659364</v>
      </c>
      <c r="BM95" s="28">
        <f t="shared" si="371"/>
        <v>14230.967143503021</v>
      </c>
      <c r="BN95" s="28">
        <f t="shared" si="372"/>
        <v>12348.054738516728</v>
      </c>
      <c r="BO95" s="28">
        <f t="shared" si="373"/>
        <v>9252.2005554052157</v>
      </c>
      <c r="BP95" s="28">
        <f t="shared" si="374"/>
        <v>46196.715609621577</v>
      </c>
      <c r="BQ95" s="29">
        <f t="shared" si="395"/>
        <v>158952.89601897859</v>
      </c>
      <c r="BR95" s="26">
        <f t="shared" si="375"/>
        <v>157239.34125006109</v>
      </c>
      <c r="BS95" s="26">
        <f t="shared" si="396"/>
        <v>316192.23726903967</v>
      </c>
      <c r="BT95" s="26">
        <f t="shared" si="376"/>
        <v>375044.73726903967</v>
      </c>
      <c r="BU95" s="111">
        <f>AO95-100000</f>
        <v>11224500</v>
      </c>
      <c r="BV95" s="110">
        <v>78</v>
      </c>
    </row>
    <row r="96" spans="1:78" ht="13.5" customHeight="1" x14ac:dyDescent="0.2">
      <c r="A96" s="15">
        <v>89</v>
      </c>
      <c r="B96" s="15">
        <v>158</v>
      </c>
      <c r="C96" s="14" t="s">
        <v>96</v>
      </c>
      <c r="D96" s="8">
        <v>100000</v>
      </c>
      <c r="E96" s="8">
        <f t="shared" ref="E96:G96" si="487">+F96-15000</f>
        <v>1107000</v>
      </c>
      <c r="F96" s="8">
        <f t="shared" si="487"/>
        <v>1122000</v>
      </c>
      <c r="G96" s="8">
        <f t="shared" si="487"/>
        <v>1137000</v>
      </c>
      <c r="H96" s="8">
        <f t="shared" ref="H96:O96" si="488">+I96-20000</f>
        <v>1152000</v>
      </c>
      <c r="I96" s="8">
        <f t="shared" si="488"/>
        <v>1172000</v>
      </c>
      <c r="J96" s="8">
        <f t="shared" si="488"/>
        <v>1192000</v>
      </c>
      <c r="K96" s="8">
        <f t="shared" si="488"/>
        <v>1212000</v>
      </c>
      <c r="L96" s="8">
        <f t="shared" si="488"/>
        <v>1232000</v>
      </c>
      <c r="M96" s="8">
        <f t="shared" si="488"/>
        <v>1252000</v>
      </c>
      <c r="N96" s="8">
        <f t="shared" si="488"/>
        <v>1272000</v>
      </c>
      <c r="O96" s="8">
        <f t="shared" si="488"/>
        <v>1292000</v>
      </c>
      <c r="P96" s="8">
        <v>1312000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726400</v>
      </c>
      <c r="AD96" s="8">
        <v>726400</v>
      </c>
      <c r="AE96" s="8">
        <v>726400</v>
      </c>
      <c r="AF96" s="8">
        <v>726400</v>
      </c>
      <c r="AG96" s="8">
        <v>726400</v>
      </c>
      <c r="AH96" s="8">
        <v>726400</v>
      </c>
      <c r="AI96" s="8">
        <v>726400</v>
      </c>
      <c r="AJ96" s="8">
        <v>726400</v>
      </c>
      <c r="AK96" s="8">
        <v>726400</v>
      </c>
      <c r="AL96" s="8">
        <v>726400</v>
      </c>
      <c r="AM96" s="8">
        <v>726400</v>
      </c>
      <c r="AN96" s="8">
        <v>726400</v>
      </c>
      <c r="AO96" s="8">
        <f t="shared" si="382"/>
        <v>2138400</v>
      </c>
      <c r="AP96" s="16">
        <f t="shared" si="383"/>
        <v>3632</v>
      </c>
      <c r="AQ96" s="16">
        <f t="shared" si="384"/>
        <v>3632</v>
      </c>
      <c r="AR96" s="16">
        <f t="shared" si="385"/>
        <v>3632</v>
      </c>
      <c r="AS96" s="16">
        <f t="shared" si="386"/>
        <v>3632</v>
      </c>
      <c r="AT96" s="16">
        <f t="shared" si="387"/>
        <v>3632</v>
      </c>
      <c r="AU96" s="16">
        <f t="shared" si="388"/>
        <v>3632</v>
      </c>
      <c r="AV96" s="16">
        <f t="shared" si="389"/>
        <v>3632</v>
      </c>
      <c r="AW96" s="16">
        <f t="shared" si="390"/>
        <v>3632</v>
      </c>
      <c r="AX96" s="16">
        <f t="shared" si="391"/>
        <v>3632</v>
      </c>
      <c r="AY96" s="16">
        <f t="shared" si="392"/>
        <v>3632</v>
      </c>
      <c r="AZ96" s="16">
        <f t="shared" si="393"/>
        <v>3632</v>
      </c>
      <c r="BA96" s="16">
        <f t="shared" si="394"/>
        <v>3632</v>
      </c>
      <c r="BB96" s="16">
        <v>0</v>
      </c>
      <c r="BC96" s="8">
        <v>0</v>
      </c>
      <c r="BD96" s="16">
        <f t="shared" si="441"/>
        <v>43584</v>
      </c>
      <c r="BE96" s="23">
        <f t="shared" si="363"/>
        <v>3426.7303835119847</v>
      </c>
      <c r="BF96" s="23">
        <f t="shared" si="364"/>
        <v>3136.1874043154007</v>
      </c>
      <c r="BG96" s="23">
        <f t="shared" si="365"/>
        <v>9867.6201709478919</v>
      </c>
      <c r="BH96" s="23">
        <f t="shared" si="366"/>
        <v>15838.821677294824</v>
      </c>
      <c r="BI96" s="23">
        <f t="shared" si="367"/>
        <v>12179.315800023162</v>
      </c>
      <c r="BJ96" s="23">
        <f t="shared" si="368"/>
        <v>12609.366680964125</v>
      </c>
      <c r="BK96" s="23">
        <f t="shared" si="369"/>
        <v>8822.3711711942287</v>
      </c>
      <c r="BL96" s="23">
        <f t="shared" si="370"/>
        <v>15638.465607709379</v>
      </c>
      <c r="BM96" s="23">
        <f t="shared" si="371"/>
        <v>16039.936068902756</v>
      </c>
      <c r="BN96" s="23">
        <f t="shared" si="372"/>
        <v>13537.700137567139</v>
      </c>
      <c r="BO96" s="23">
        <f t="shared" si="373"/>
        <v>9878.9625285133116</v>
      </c>
      <c r="BP96" s="23">
        <f t="shared" si="374"/>
        <v>8723.3040451776924</v>
      </c>
      <c r="BQ96" s="22">
        <f t="shared" si="395"/>
        <v>129698.78167612189</v>
      </c>
      <c r="BR96" s="8">
        <f t="shared" si="375"/>
        <v>0</v>
      </c>
      <c r="BS96" s="8">
        <f t="shared" si="396"/>
        <v>129698.78167612189</v>
      </c>
      <c r="BT96" s="8">
        <f t="shared" si="376"/>
        <v>173282.78167612187</v>
      </c>
      <c r="BU96" s="6">
        <f>AO96-100000</f>
        <v>2038400</v>
      </c>
    </row>
    <row r="97" spans="1:80" ht="13.5" customHeight="1" x14ac:dyDescent="0.2">
      <c r="A97" s="15">
        <v>90</v>
      </c>
      <c r="B97" s="15">
        <v>159</v>
      </c>
      <c r="C97" s="14" t="s">
        <v>97</v>
      </c>
      <c r="D97" s="8">
        <v>100000</v>
      </c>
      <c r="E97" s="8">
        <f t="shared" ref="E97:G97" si="489">+F97-15000</f>
        <v>1496000</v>
      </c>
      <c r="F97" s="8">
        <f t="shared" si="489"/>
        <v>1511000</v>
      </c>
      <c r="G97" s="8">
        <f t="shared" si="489"/>
        <v>1526000</v>
      </c>
      <c r="H97" s="8">
        <f t="shared" ref="H97:O97" si="490">+I97-20000</f>
        <v>1541000</v>
      </c>
      <c r="I97" s="8">
        <f t="shared" si="490"/>
        <v>1561000</v>
      </c>
      <c r="J97" s="8">
        <f t="shared" si="490"/>
        <v>1581000</v>
      </c>
      <c r="K97" s="8">
        <f t="shared" si="490"/>
        <v>1601000</v>
      </c>
      <c r="L97" s="8">
        <f t="shared" si="490"/>
        <v>1621000</v>
      </c>
      <c r="M97" s="8">
        <f t="shared" si="490"/>
        <v>1641000</v>
      </c>
      <c r="N97" s="8">
        <f t="shared" si="490"/>
        <v>1661000</v>
      </c>
      <c r="O97" s="8">
        <f t="shared" si="490"/>
        <v>1681000</v>
      </c>
      <c r="P97" s="8">
        <v>1701000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402328</v>
      </c>
      <c r="AD97" s="8">
        <v>402328</v>
      </c>
      <c r="AE97" s="8">
        <v>402328</v>
      </c>
      <c r="AF97" s="8">
        <v>402328</v>
      </c>
      <c r="AG97" s="8">
        <v>402328</v>
      </c>
      <c r="AH97" s="8">
        <v>292428</v>
      </c>
      <c r="AI97" s="8">
        <v>292428</v>
      </c>
      <c r="AJ97" s="8">
        <v>292428</v>
      </c>
      <c r="AK97" s="8">
        <v>292428</v>
      </c>
      <c r="AL97" s="8">
        <v>292428</v>
      </c>
      <c r="AM97" s="8">
        <v>292428</v>
      </c>
      <c r="AN97" s="8">
        <v>292428</v>
      </c>
      <c r="AO97" s="8">
        <f t="shared" si="382"/>
        <v>2093428</v>
      </c>
      <c r="AP97" s="16">
        <f t="shared" si="383"/>
        <v>2011.64</v>
      </c>
      <c r="AQ97" s="16">
        <f t="shared" si="384"/>
        <v>2011.64</v>
      </c>
      <c r="AR97" s="16">
        <f t="shared" si="385"/>
        <v>2011.64</v>
      </c>
      <c r="AS97" s="16">
        <f t="shared" si="386"/>
        <v>2011.64</v>
      </c>
      <c r="AT97" s="16">
        <f t="shared" si="387"/>
        <v>2011.64</v>
      </c>
      <c r="AU97" s="16">
        <f t="shared" si="388"/>
        <v>1462.14</v>
      </c>
      <c r="AV97" s="16">
        <f t="shared" si="389"/>
        <v>1462.14</v>
      </c>
      <c r="AW97" s="16">
        <f t="shared" si="390"/>
        <v>1462.14</v>
      </c>
      <c r="AX97" s="16">
        <f t="shared" si="391"/>
        <v>1462.14</v>
      </c>
      <c r="AY97" s="16">
        <f t="shared" si="392"/>
        <v>1462.14</v>
      </c>
      <c r="AZ97" s="16">
        <f t="shared" si="393"/>
        <v>1462.14</v>
      </c>
      <c r="BA97" s="16">
        <f t="shared" si="394"/>
        <v>1462.14</v>
      </c>
      <c r="BB97" s="16"/>
      <c r="BC97" s="8">
        <v>100000</v>
      </c>
      <c r="BD97" s="16">
        <f t="shared" si="441"/>
        <v>20293.179999999997</v>
      </c>
      <c r="BE97" s="23">
        <f t="shared" si="363"/>
        <v>3541.8078379139019</v>
      </c>
      <c r="BF97" s="23">
        <f t="shared" si="364"/>
        <v>3240.6969381828771</v>
      </c>
      <c r="BG97" s="23">
        <f t="shared" si="365"/>
        <v>10193.934137770397</v>
      </c>
      <c r="BH97" s="23">
        <f t="shared" si="366"/>
        <v>16358.62708260386</v>
      </c>
      <c r="BI97" s="23">
        <f t="shared" si="367"/>
        <v>12575.021672853378</v>
      </c>
      <c r="BJ97" s="23">
        <f t="shared" si="368"/>
        <v>12328.417197028177</v>
      </c>
      <c r="BK97" s="23">
        <f t="shared" si="369"/>
        <v>8627.7284728470204</v>
      </c>
      <c r="BL97" s="23">
        <f t="shared" si="370"/>
        <v>15296.795827632664</v>
      </c>
      <c r="BM97" s="23">
        <f t="shared" si="371"/>
        <v>15692.867167396455</v>
      </c>
      <c r="BN97" s="23">
        <f t="shared" si="372"/>
        <v>13247.566011286797</v>
      </c>
      <c r="BO97" s="23">
        <f t="shared" si="373"/>
        <v>9669.2397647140751</v>
      </c>
      <c r="BP97" s="23">
        <f t="shared" si="374"/>
        <v>8539.8470541939059</v>
      </c>
      <c r="BQ97" s="22">
        <f t="shared" si="395"/>
        <v>129312.5491644235</v>
      </c>
      <c r="BR97" s="8">
        <f t="shared" si="375"/>
        <v>0</v>
      </c>
      <c r="BS97" s="8">
        <f t="shared" si="396"/>
        <v>129312.5491644235</v>
      </c>
      <c r="BT97" s="8">
        <f t="shared" si="376"/>
        <v>149605.72916442351</v>
      </c>
      <c r="BU97" s="6">
        <f t="shared" ref="BU97:BU105" si="491">AO97-100000</f>
        <v>1993428</v>
      </c>
    </row>
    <row r="98" spans="1:80" ht="13.5" customHeight="1" x14ac:dyDescent="0.2">
      <c r="A98" s="15">
        <v>91</v>
      </c>
      <c r="B98" s="15">
        <v>160</v>
      </c>
      <c r="C98" s="14" t="s">
        <v>98</v>
      </c>
      <c r="D98" s="8">
        <v>100000</v>
      </c>
      <c r="E98" s="8">
        <f t="shared" ref="E98:G98" si="492">+F98-25000</f>
        <v>1869000</v>
      </c>
      <c r="F98" s="8">
        <f t="shared" si="492"/>
        <v>1894000</v>
      </c>
      <c r="G98" s="8">
        <f t="shared" si="492"/>
        <v>1919000</v>
      </c>
      <c r="H98" s="8">
        <f t="shared" ref="H98:O98" si="493">+I98-50000</f>
        <v>1944000</v>
      </c>
      <c r="I98" s="8">
        <f t="shared" si="493"/>
        <v>1994000</v>
      </c>
      <c r="J98" s="8">
        <f t="shared" si="493"/>
        <v>2044000</v>
      </c>
      <c r="K98" s="8">
        <f t="shared" si="493"/>
        <v>2094000</v>
      </c>
      <c r="L98" s="8">
        <f t="shared" si="493"/>
        <v>2144000</v>
      </c>
      <c r="M98" s="8">
        <f t="shared" si="493"/>
        <v>2194000</v>
      </c>
      <c r="N98" s="8">
        <f t="shared" si="493"/>
        <v>2244000</v>
      </c>
      <c r="O98" s="8">
        <f t="shared" si="493"/>
        <v>2294000</v>
      </c>
      <c r="P98" s="8">
        <v>2344000</v>
      </c>
      <c r="Q98" s="8">
        <v>1500000</v>
      </c>
      <c r="R98" s="8">
        <f>+Q98+250000</f>
        <v>1750000</v>
      </c>
      <c r="S98" s="8">
        <f t="shared" ref="S98:AA98" si="494">+R98+250000</f>
        <v>2000000</v>
      </c>
      <c r="T98" s="8">
        <f t="shared" si="494"/>
        <v>2250000</v>
      </c>
      <c r="U98" s="8">
        <f t="shared" si="494"/>
        <v>2500000</v>
      </c>
      <c r="V98" s="8">
        <v>0</v>
      </c>
      <c r="W98" s="8">
        <f t="shared" si="494"/>
        <v>250000</v>
      </c>
      <c r="X98" s="8">
        <f t="shared" si="494"/>
        <v>500000</v>
      </c>
      <c r="Y98" s="8">
        <f t="shared" si="494"/>
        <v>750000</v>
      </c>
      <c r="Z98" s="8">
        <f t="shared" si="494"/>
        <v>1000000</v>
      </c>
      <c r="AA98" s="8">
        <f t="shared" si="494"/>
        <v>1250000</v>
      </c>
      <c r="AB98" s="8">
        <v>1500000</v>
      </c>
      <c r="AC98" s="8">
        <v>79000</v>
      </c>
      <c r="AD98" s="8">
        <f>+AC98+3000</f>
        <v>82000</v>
      </c>
      <c r="AE98" s="8">
        <f t="shared" ref="AE98:AM98" si="495">+AD98+3000</f>
        <v>85000</v>
      </c>
      <c r="AF98" s="8">
        <f t="shared" si="495"/>
        <v>88000</v>
      </c>
      <c r="AG98" s="8">
        <f t="shared" si="495"/>
        <v>91000</v>
      </c>
      <c r="AH98" s="8">
        <f t="shared" si="495"/>
        <v>94000</v>
      </c>
      <c r="AI98" s="8">
        <f t="shared" si="495"/>
        <v>97000</v>
      </c>
      <c r="AJ98" s="8">
        <f t="shared" si="495"/>
        <v>100000</v>
      </c>
      <c r="AK98" s="8">
        <f t="shared" si="495"/>
        <v>103000</v>
      </c>
      <c r="AL98" s="8">
        <f t="shared" si="495"/>
        <v>106000</v>
      </c>
      <c r="AM98" s="8">
        <f t="shared" si="495"/>
        <v>109000</v>
      </c>
      <c r="AN98" s="8">
        <v>112000</v>
      </c>
      <c r="AO98" s="8">
        <f t="shared" si="382"/>
        <v>4056000</v>
      </c>
      <c r="AP98" s="16">
        <f t="shared" si="383"/>
        <v>7895</v>
      </c>
      <c r="AQ98" s="16">
        <f t="shared" si="384"/>
        <v>9160</v>
      </c>
      <c r="AR98" s="16">
        <f t="shared" si="385"/>
        <v>10425</v>
      </c>
      <c r="AS98" s="16">
        <f t="shared" si="386"/>
        <v>11690</v>
      </c>
      <c r="AT98" s="16">
        <f t="shared" si="387"/>
        <v>12955</v>
      </c>
      <c r="AU98" s="16">
        <f t="shared" si="388"/>
        <v>470</v>
      </c>
      <c r="AV98" s="16">
        <f t="shared" si="389"/>
        <v>1735</v>
      </c>
      <c r="AW98" s="16">
        <f t="shared" si="390"/>
        <v>3000</v>
      </c>
      <c r="AX98" s="16">
        <f t="shared" si="391"/>
        <v>4265</v>
      </c>
      <c r="AY98" s="16">
        <f t="shared" si="392"/>
        <v>5530</v>
      </c>
      <c r="AZ98" s="16">
        <f t="shared" si="393"/>
        <v>6795</v>
      </c>
      <c r="BA98" s="16">
        <f t="shared" si="394"/>
        <v>8060</v>
      </c>
      <c r="BB98" s="16">
        <v>800000</v>
      </c>
      <c r="BC98" s="8">
        <v>5000000</v>
      </c>
      <c r="BD98" s="16">
        <f t="shared" si="441"/>
        <v>81980</v>
      </c>
      <c r="BE98" s="23">
        <f t="shared" si="363"/>
        <v>6288.4242271131279</v>
      </c>
      <c r="BF98" s="23">
        <f t="shared" si="364"/>
        <v>6158.4135746821621</v>
      </c>
      <c r="BG98" s="23">
        <f t="shared" si="365"/>
        <v>20625.8088935368</v>
      </c>
      <c r="BH98" s="23">
        <f t="shared" si="366"/>
        <v>35081.741098820217</v>
      </c>
      <c r="BI98" s="23">
        <f t="shared" si="367"/>
        <v>28552.889573212826</v>
      </c>
      <c r="BJ98" s="23">
        <f t="shared" si="368"/>
        <v>13981.25378121171</v>
      </c>
      <c r="BK98" s="23">
        <f t="shared" si="369"/>
        <v>10997.667359696101</v>
      </c>
      <c r="BL98" s="23">
        <f t="shared" si="370"/>
        <v>21606.974440500133</v>
      </c>
      <c r="BM98" s="23">
        <f t="shared" si="371"/>
        <v>24286.796963451197</v>
      </c>
      <c r="BN98" s="23">
        <f t="shared" si="372"/>
        <v>22257.465437765262</v>
      </c>
      <c r="BO98" s="23">
        <f t="shared" si="373"/>
        <v>17501.768490139002</v>
      </c>
      <c r="BP98" s="23">
        <f t="shared" si="374"/>
        <v>16545.885338215827</v>
      </c>
      <c r="BQ98" s="22">
        <f t="shared" si="395"/>
        <v>223885.08917834438</v>
      </c>
      <c r="BR98" s="8">
        <f t="shared" si="375"/>
        <v>174710.37916673452</v>
      </c>
      <c r="BS98" s="8">
        <f t="shared" si="396"/>
        <v>398595.46834507887</v>
      </c>
      <c r="BT98" s="8">
        <f t="shared" si="376"/>
        <v>480575.46834507887</v>
      </c>
      <c r="BU98" s="6">
        <f t="shared" si="491"/>
        <v>3956000</v>
      </c>
      <c r="BY98" t="s">
        <v>677</v>
      </c>
    </row>
    <row r="99" spans="1:80" ht="13.5" customHeight="1" x14ac:dyDescent="0.2">
      <c r="A99" s="15">
        <v>92</v>
      </c>
      <c r="B99" s="15">
        <v>161</v>
      </c>
      <c r="C99" s="14" t="s">
        <v>99</v>
      </c>
      <c r="D99" s="8">
        <v>100000</v>
      </c>
      <c r="E99" s="8">
        <f t="shared" ref="E99:G99" si="496">+F99-15000</f>
        <v>1499000</v>
      </c>
      <c r="F99" s="8">
        <f t="shared" si="496"/>
        <v>1514000</v>
      </c>
      <c r="G99" s="8">
        <f t="shared" si="496"/>
        <v>1529000</v>
      </c>
      <c r="H99" s="8">
        <f t="shared" ref="H99:O99" si="497">+I99-20000</f>
        <v>1544000</v>
      </c>
      <c r="I99" s="8">
        <f t="shared" si="497"/>
        <v>1564000</v>
      </c>
      <c r="J99" s="8">
        <f t="shared" si="497"/>
        <v>1584000</v>
      </c>
      <c r="K99" s="8">
        <f t="shared" si="497"/>
        <v>1604000</v>
      </c>
      <c r="L99" s="8">
        <f t="shared" si="497"/>
        <v>1624000</v>
      </c>
      <c r="M99" s="8">
        <f t="shared" si="497"/>
        <v>1644000</v>
      </c>
      <c r="N99" s="8">
        <f t="shared" si="497"/>
        <v>1664000</v>
      </c>
      <c r="O99" s="8">
        <f t="shared" si="497"/>
        <v>1684000</v>
      </c>
      <c r="P99" s="8">
        <v>1704000</v>
      </c>
      <c r="Q99" s="8">
        <v>1200000</v>
      </c>
      <c r="R99" s="8">
        <f>+Q99+200000</f>
        <v>1400000</v>
      </c>
      <c r="S99" s="8">
        <f t="shared" ref="S99:Y99" si="498">+R99+200000</f>
        <v>1600000</v>
      </c>
      <c r="T99" s="8">
        <f t="shared" si="498"/>
        <v>1800000</v>
      </c>
      <c r="U99" s="8">
        <f t="shared" si="498"/>
        <v>2000000</v>
      </c>
      <c r="V99" s="8">
        <v>0</v>
      </c>
      <c r="W99" s="8">
        <f t="shared" si="498"/>
        <v>200000</v>
      </c>
      <c r="X99" s="8">
        <f t="shared" si="498"/>
        <v>400000</v>
      </c>
      <c r="Y99" s="8">
        <f t="shared" si="498"/>
        <v>600000</v>
      </c>
      <c r="Z99" s="8">
        <f>+Y99+250000</f>
        <v>850000</v>
      </c>
      <c r="AA99" s="8">
        <f>+Z99+250000</f>
        <v>1100000</v>
      </c>
      <c r="AB99" s="8">
        <v>1350000</v>
      </c>
      <c r="AC99" s="8">
        <v>282000</v>
      </c>
      <c r="AD99" s="8">
        <v>221000</v>
      </c>
      <c r="AE99" s="8">
        <v>160000</v>
      </c>
      <c r="AF99" s="8">
        <f t="shared" ref="AF99:AM99" si="499">+AE99+39000</f>
        <v>199000</v>
      </c>
      <c r="AG99" s="8">
        <f t="shared" si="499"/>
        <v>238000</v>
      </c>
      <c r="AH99" s="8">
        <f t="shared" si="499"/>
        <v>277000</v>
      </c>
      <c r="AI99" s="8">
        <f t="shared" si="499"/>
        <v>316000</v>
      </c>
      <c r="AJ99" s="8">
        <f t="shared" si="499"/>
        <v>355000</v>
      </c>
      <c r="AK99" s="8">
        <f t="shared" si="499"/>
        <v>394000</v>
      </c>
      <c r="AL99" s="8">
        <v>233000</v>
      </c>
      <c r="AM99" s="8">
        <f t="shared" si="499"/>
        <v>272000</v>
      </c>
      <c r="AN99" s="8">
        <v>311000</v>
      </c>
      <c r="AO99" s="8">
        <f t="shared" si="382"/>
        <v>3465000</v>
      </c>
      <c r="AP99" s="16">
        <f t="shared" si="383"/>
        <v>7410</v>
      </c>
      <c r="AQ99" s="16">
        <f t="shared" si="384"/>
        <v>8105</v>
      </c>
      <c r="AR99" s="16">
        <f t="shared" si="385"/>
        <v>8800</v>
      </c>
      <c r="AS99" s="16">
        <f t="shared" si="386"/>
        <v>9995</v>
      </c>
      <c r="AT99" s="16">
        <f t="shared" si="387"/>
        <v>11190</v>
      </c>
      <c r="AU99" s="16">
        <f t="shared" si="388"/>
        <v>1385</v>
      </c>
      <c r="AV99" s="16">
        <f t="shared" si="389"/>
        <v>2580</v>
      </c>
      <c r="AW99" s="16">
        <f t="shared" si="390"/>
        <v>3775</v>
      </c>
      <c r="AX99" s="16">
        <f t="shared" si="391"/>
        <v>4970</v>
      </c>
      <c r="AY99" s="16">
        <f t="shared" si="392"/>
        <v>5415</v>
      </c>
      <c r="AZ99" s="16">
        <f t="shared" si="393"/>
        <v>6860</v>
      </c>
      <c r="BA99" s="16">
        <f t="shared" si="394"/>
        <v>8305</v>
      </c>
      <c r="BB99" s="16">
        <v>540000</v>
      </c>
      <c r="BC99" s="8">
        <v>4000000</v>
      </c>
      <c r="BD99" s="16">
        <f t="shared" si="441"/>
        <v>78790</v>
      </c>
      <c r="BE99" s="23">
        <f t="shared" si="363"/>
        <v>5460.7201363403465</v>
      </c>
      <c r="BF99" s="23">
        <f t="shared" si="364"/>
        <v>5207.1270031617332</v>
      </c>
      <c r="BG99" s="23">
        <f t="shared" si="365"/>
        <v>17032.374839229095</v>
      </c>
      <c r="BH99" s="23">
        <f t="shared" si="366"/>
        <v>29165.400005249212</v>
      </c>
      <c r="BI99" s="23">
        <f t="shared" si="367"/>
        <v>23780.869821702549</v>
      </c>
      <c r="BJ99" s="23">
        <f t="shared" si="368"/>
        <v>12250.776883358429</v>
      </c>
      <c r="BK99" s="23">
        <f t="shared" si="369"/>
        <v>9608.3516483767598</v>
      </c>
      <c r="BL99" s="23">
        <f t="shared" si="370"/>
        <v>18833.92743952174</v>
      </c>
      <c r="BM99" s="23">
        <f t="shared" si="371"/>
        <v>21130.362277066852</v>
      </c>
      <c r="BN99" s="23">
        <f t="shared" si="372"/>
        <v>18367.247565599337</v>
      </c>
      <c r="BO99" s="23">
        <f t="shared" si="373"/>
        <v>14717.714189949023</v>
      </c>
      <c r="BP99" s="23">
        <f t="shared" si="374"/>
        <v>14134.983406537929</v>
      </c>
      <c r="BQ99" s="22">
        <f t="shared" si="395"/>
        <v>189689.85521609298</v>
      </c>
      <c r="BR99" s="8">
        <f t="shared" si="375"/>
        <v>117929.50593754582</v>
      </c>
      <c r="BS99" s="8">
        <f t="shared" si="396"/>
        <v>307619.36115363881</v>
      </c>
      <c r="BT99" s="8">
        <f t="shared" si="376"/>
        <v>386409.36115363881</v>
      </c>
      <c r="BU99" s="6">
        <f t="shared" si="491"/>
        <v>3365000</v>
      </c>
      <c r="BX99" s="112" t="s">
        <v>666</v>
      </c>
      <c r="BY99" s="112" t="s">
        <v>638</v>
      </c>
      <c r="BZ99" s="115" t="s">
        <v>671</v>
      </c>
      <c r="CA99" s="110"/>
    </row>
    <row r="100" spans="1:80" ht="13.5" customHeight="1" x14ac:dyDescent="0.2">
      <c r="A100" s="15">
        <v>93</v>
      </c>
      <c r="B100" s="15">
        <v>162</v>
      </c>
      <c r="C100" s="14" t="s">
        <v>100</v>
      </c>
      <c r="D100" s="8">
        <v>100000</v>
      </c>
      <c r="E100" s="8">
        <f t="shared" ref="E100:G100" si="500">+F100-25000</f>
        <v>1869000</v>
      </c>
      <c r="F100" s="8">
        <f t="shared" si="500"/>
        <v>1894000</v>
      </c>
      <c r="G100" s="8">
        <f t="shared" si="500"/>
        <v>1919000</v>
      </c>
      <c r="H100" s="8">
        <f t="shared" ref="H100:O100" si="501">+I100-50000</f>
        <v>1944000</v>
      </c>
      <c r="I100" s="8">
        <f t="shared" si="501"/>
        <v>1994000</v>
      </c>
      <c r="J100" s="8">
        <f t="shared" si="501"/>
        <v>2044000</v>
      </c>
      <c r="K100" s="8">
        <f t="shared" si="501"/>
        <v>2094000</v>
      </c>
      <c r="L100" s="8">
        <f t="shared" si="501"/>
        <v>2144000</v>
      </c>
      <c r="M100" s="8">
        <f t="shared" si="501"/>
        <v>2194000</v>
      </c>
      <c r="N100" s="8">
        <f t="shared" si="501"/>
        <v>2244000</v>
      </c>
      <c r="O100" s="8">
        <f t="shared" si="501"/>
        <v>2294000</v>
      </c>
      <c r="P100" s="8">
        <v>2344000</v>
      </c>
      <c r="Q100" s="8">
        <v>90000</v>
      </c>
      <c r="R100" s="8">
        <f>+Q100+15000</f>
        <v>105000</v>
      </c>
      <c r="S100" s="8">
        <f t="shared" ref="S100:U100" si="502">+R100+15000</f>
        <v>120000</v>
      </c>
      <c r="T100" s="8">
        <f t="shared" si="502"/>
        <v>135000</v>
      </c>
      <c r="U100" s="8">
        <f t="shared" si="502"/>
        <v>150000</v>
      </c>
      <c r="V100" s="8">
        <v>0</v>
      </c>
      <c r="W100" s="8">
        <f>+V100+215000</f>
        <v>215000</v>
      </c>
      <c r="X100" s="8">
        <f t="shared" ref="X100:Z100" si="503">+W100+215000</f>
        <v>430000</v>
      </c>
      <c r="Y100" s="8">
        <f t="shared" si="503"/>
        <v>645000</v>
      </c>
      <c r="Z100" s="8">
        <f t="shared" si="503"/>
        <v>860000</v>
      </c>
      <c r="AA100" s="8">
        <f>+Z100+15000</f>
        <v>875000</v>
      </c>
      <c r="AB100" s="8">
        <v>890000</v>
      </c>
      <c r="AC100" s="8">
        <v>425000</v>
      </c>
      <c r="AD100" s="8">
        <f>+AC100+5000</f>
        <v>430000</v>
      </c>
      <c r="AE100" s="8">
        <f t="shared" ref="AE100:AM100" si="504">+AD100+5000</f>
        <v>435000</v>
      </c>
      <c r="AF100" s="8">
        <f>+AE100+5000+10000000</f>
        <v>10440000</v>
      </c>
      <c r="AG100" s="8">
        <f t="shared" si="504"/>
        <v>10445000</v>
      </c>
      <c r="AH100" s="8">
        <f t="shared" si="504"/>
        <v>10450000</v>
      </c>
      <c r="AI100" s="8">
        <f>+AH100+5000+300000</f>
        <v>10755000</v>
      </c>
      <c r="AJ100" s="8">
        <f t="shared" si="504"/>
        <v>10760000</v>
      </c>
      <c r="AK100" s="8">
        <f t="shared" si="504"/>
        <v>10765000</v>
      </c>
      <c r="AL100" s="8">
        <f t="shared" si="504"/>
        <v>10770000</v>
      </c>
      <c r="AM100" s="8">
        <f t="shared" si="504"/>
        <v>10775000</v>
      </c>
      <c r="AN100" s="8">
        <v>10780000</v>
      </c>
      <c r="AO100" s="8">
        <f t="shared" si="382"/>
        <v>14114000</v>
      </c>
      <c r="AP100" s="16">
        <f t="shared" si="383"/>
        <v>2575</v>
      </c>
      <c r="AQ100" s="16">
        <f t="shared" si="384"/>
        <v>2675</v>
      </c>
      <c r="AR100" s="16">
        <f t="shared" si="385"/>
        <v>2775</v>
      </c>
      <c r="AS100" s="16">
        <f t="shared" si="386"/>
        <v>52875</v>
      </c>
      <c r="AT100" s="16">
        <f t="shared" si="387"/>
        <v>52975</v>
      </c>
      <c r="AU100" s="16">
        <f t="shared" si="388"/>
        <v>52250</v>
      </c>
      <c r="AV100" s="16">
        <f t="shared" si="389"/>
        <v>54850</v>
      </c>
      <c r="AW100" s="16">
        <f t="shared" si="390"/>
        <v>55950</v>
      </c>
      <c r="AX100" s="16">
        <f t="shared" si="391"/>
        <v>57050</v>
      </c>
      <c r="AY100" s="16">
        <f t="shared" si="392"/>
        <v>58150</v>
      </c>
      <c r="AZ100" s="16">
        <f t="shared" si="393"/>
        <v>58250</v>
      </c>
      <c r="BA100" s="16">
        <f t="shared" si="394"/>
        <v>58350</v>
      </c>
      <c r="BB100" s="16">
        <v>900000</v>
      </c>
      <c r="BC100" s="8">
        <v>1247000</v>
      </c>
      <c r="BD100" s="16">
        <f t="shared" si="441"/>
        <v>508725</v>
      </c>
      <c r="BE100" s="23">
        <f t="shared" si="363"/>
        <v>4402.6059132325281</v>
      </c>
      <c r="BF100" s="23">
        <f t="shared" si="364"/>
        <v>4070.733907572187</v>
      </c>
      <c r="BG100" s="23">
        <f t="shared" si="365"/>
        <v>12936.362595507728</v>
      </c>
      <c r="BH100" s="23">
        <f t="shared" si="366"/>
        <v>101026.1275504364</v>
      </c>
      <c r="BI100" s="23">
        <f t="shared" si="367"/>
        <v>77333.535921984527</v>
      </c>
      <c r="BJ100" s="23">
        <f t="shared" si="368"/>
        <v>78677.350366657847</v>
      </c>
      <c r="BK100" s="23">
        <f t="shared" si="369"/>
        <v>56974.928423077326</v>
      </c>
      <c r="BL100" s="23">
        <f t="shared" si="370"/>
        <v>102063.32441409239</v>
      </c>
      <c r="BM100" s="23">
        <f t="shared" si="371"/>
        <v>105759.8556044281</v>
      </c>
      <c r="BN100" s="23">
        <f t="shared" si="372"/>
        <v>90152.412181835301</v>
      </c>
      <c r="BO100" s="23">
        <f t="shared" si="373"/>
        <v>65492.895463765555</v>
      </c>
      <c r="BP100" s="23">
        <f t="shared" si="374"/>
        <v>57576.091139935445</v>
      </c>
      <c r="BQ100" s="22">
        <f t="shared" si="395"/>
        <v>756466.22348252533</v>
      </c>
      <c r="BR100" s="8">
        <f t="shared" si="375"/>
        <v>196549.17656257635</v>
      </c>
      <c r="BS100" s="8">
        <f t="shared" si="396"/>
        <v>953015.40004510165</v>
      </c>
      <c r="BT100" s="8">
        <f t="shared" si="376"/>
        <v>1461740.4000451015</v>
      </c>
      <c r="BU100" s="6">
        <f t="shared" si="491"/>
        <v>14014000</v>
      </c>
      <c r="BX100" s="112" t="s">
        <v>637</v>
      </c>
      <c r="BY100" s="112" t="s">
        <v>638</v>
      </c>
      <c r="BZ100" s="110" t="s">
        <v>675</v>
      </c>
      <c r="CA100" s="110"/>
    </row>
    <row r="101" spans="1:80" ht="13.5" customHeight="1" x14ac:dyDescent="0.2">
      <c r="A101" s="15">
        <v>94</v>
      </c>
      <c r="B101" s="15">
        <v>163</v>
      </c>
      <c r="C101" s="14" t="s">
        <v>177</v>
      </c>
      <c r="D101" s="8">
        <v>100000</v>
      </c>
      <c r="E101" s="8">
        <f t="shared" ref="E101:G101" si="505">+F101-25000</f>
        <v>1862000</v>
      </c>
      <c r="F101" s="8">
        <f t="shared" si="505"/>
        <v>1887000</v>
      </c>
      <c r="G101" s="8">
        <f t="shared" si="505"/>
        <v>1912000</v>
      </c>
      <c r="H101" s="8">
        <f t="shared" ref="H101:O101" si="506">+I101-50000</f>
        <v>1937000</v>
      </c>
      <c r="I101" s="8">
        <f t="shared" si="506"/>
        <v>1987000</v>
      </c>
      <c r="J101" s="8">
        <f t="shared" si="506"/>
        <v>2037000</v>
      </c>
      <c r="K101" s="8">
        <f t="shared" si="506"/>
        <v>2087000</v>
      </c>
      <c r="L101" s="8">
        <f t="shared" si="506"/>
        <v>2137000</v>
      </c>
      <c r="M101" s="8">
        <f t="shared" si="506"/>
        <v>2187000</v>
      </c>
      <c r="N101" s="8">
        <f t="shared" si="506"/>
        <v>2237000</v>
      </c>
      <c r="O101" s="8">
        <f t="shared" si="506"/>
        <v>2287000</v>
      </c>
      <c r="P101" s="8">
        <v>2337000</v>
      </c>
      <c r="Q101" s="8">
        <v>900000</v>
      </c>
      <c r="R101" s="8">
        <f>+Q101+150000</f>
        <v>1050000</v>
      </c>
      <c r="S101" s="8">
        <f t="shared" ref="S101:U101" si="507">+R101+150000</f>
        <v>1200000</v>
      </c>
      <c r="T101" s="8">
        <f t="shared" si="507"/>
        <v>1350000</v>
      </c>
      <c r="U101" s="8">
        <f t="shared" si="507"/>
        <v>1500000</v>
      </c>
      <c r="V101" s="8">
        <v>0</v>
      </c>
      <c r="W101" s="8">
        <f>+V101+200000</f>
        <v>200000</v>
      </c>
      <c r="X101" s="8">
        <f t="shared" ref="X101:AA101" si="508">+W101+200000</f>
        <v>400000</v>
      </c>
      <c r="Y101" s="8">
        <f t="shared" si="508"/>
        <v>600000</v>
      </c>
      <c r="Z101" s="8">
        <f t="shared" si="508"/>
        <v>800000</v>
      </c>
      <c r="AA101" s="8">
        <f t="shared" si="508"/>
        <v>1000000</v>
      </c>
      <c r="AB101" s="8">
        <v>1200000</v>
      </c>
      <c r="AC101" s="8">
        <v>1604000</v>
      </c>
      <c r="AD101" s="8">
        <f>+AC101+25000</f>
        <v>1629000</v>
      </c>
      <c r="AE101" s="8">
        <f t="shared" ref="AE101:AM101" si="509">+AD101+25000</f>
        <v>1654000</v>
      </c>
      <c r="AF101" s="8">
        <f t="shared" si="509"/>
        <v>1679000</v>
      </c>
      <c r="AG101" s="8">
        <f t="shared" si="509"/>
        <v>1704000</v>
      </c>
      <c r="AH101" s="8">
        <f t="shared" si="509"/>
        <v>1729000</v>
      </c>
      <c r="AI101" s="8">
        <f t="shared" si="509"/>
        <v>1754000</v>
      </c>
      <c r="AJ101" s="8">
        <f t="shared" si="509"/>
        <v>1779000</v>
      </c>
      <c r="AK101" s="8">
        <f t="shared" si="509"/>
        <v>1804000</v>
      </c>
      <c r="AL101" s="8">
        <f t="shared" si="509"/>
        <v>1829000</v>
      </c>
      <c r="AM101" s="8">
        <f t="shared" si="509"/>
        <v>1854000</v>
      </c>
      <c r="AN101" s="8">
        <v>1879000</v>
      </c>
      <c r="AO101" s="8">
        <f t="shared" si="382"/>
        <v>5516000</v>
      </c>
      <c r="AP101" s="16">
        <f t="shared" si="383"/>
        <v>12520</v>
      </c>
      <c r="AQ101" s="16">
        <f t="shared" si="384"/>
        <v>13395</v>
      </c>
      <c r="AR101" s="16">
        <f t="shared" si="385"/>
        <v>14270</v>
      </c>
      <c r="AS101" s="16">
        <f t="shared" si="386"/>
        <v>15145</v>
      </c>
      <c r="AT101" s="16">
        <f t="shared" si="387"/>
        <v>16020</v>
      </c>
      <c r="AU101" s="16">
        <f t="shared" si="388"/>
        <v>8645</v>
      </c>
      <c r="AV101" s="16">
        <f t="shared" si="389"/>
        <v>9770</v>
      </c>
      <c r="AW101" s="16">
        <f t="shared" si="390"/>
        <v>10895</v>
      </c>
      <c r="AX101" s="16">
        <f t="shared" si="391"/>
        <v>12020</v>
      </c>
      <c r="AY101" s="16">
        <f t="shared" si="392"/>
        <v>13145</v>
      </c>
      <c r="AZ101" s="16">
        <f t="shared" si="393"/>
        <v>14270</v>
      </c>
      <c r="BA101" s="16">
        <f t="shared" si="394"/>
        <v>15395</v>
      </c>
      <c r="BB101" s="16">
        <v>300000</v>
      </c>
      <c r="BC101" s="8">
        <v>0</v>
      </c>
      <c r="BD101" s="16">
        <f t="shared" si="441"/>
        <v>155490</v>
      </c>
      <c r="BE101" s="23">
        <f t="shared" si="363"/>
        <v>7915.4742385251493</v>
      </c>
      <c r="BF101" s="23">
        <f t="shared" si="364"/>
        <v>7510.4960113609422</v>
      </c>
      <c r="BG101" s="23">
        <f t="shared" si="365"/>
        <v>24455.454696868921</v>
      </c>
      <c r="BH101" s="23">
        <f t="shared" si="366"/>
        <v>40557.759106942773</v>
      </c>
      <c r="BI101" s="23">
        <f t="shared" si="367"/>
        <v>32246.176890473653</v>
      </c>
      <c r="BJ101" s="23">
        <f t="shared" si="368"/>
        <v>24151.710061735688</v>
      </c>
      <c r="BK101" s="23">
        <f t="shared" si="369"/>
        <v>17922.605484652326</v>
      </c>
      <c r="BL101" s="23">
        <f t="shared" si="370"/>
        <v>33550.070017316662</v>
      </c>
      <c r="BM101" s="23">
        <f t="shared" si="371"/>
        <v>36202.530840657637</v>
      </c>
      <c r="BN101" s="23">
        <f t="shared" si="372"/>
        <v>32037.847351867335</v>
      </c>
      <c r="BO101" s="23">
        <f t="shared" si="373"/>
        <v>24440.918906692914</v>
      </c>
      <c r="BP101" s="23">
        <f t="shared" si="374"/>
        <v>22501.751362327046</v>
      </c>
      <c r="BQ101" s="22">
        <f t="shared" si="395"/>
        <v>303492.794969421</v>
      </c>
      <c r="BR101" s="8">
        <f t="shared" si="375"/>
        <v>65516.392187525453</v>
      </c>
      <c r="BS101" s="8">
        <f t="shared" si="396"/>
        <v>369009.18715694646</v>
      </c>
      <c r="BT101" s="8">
        <f t="shared" si="376"/>
        <v>524499.1871569464</v>
      </c>
      <c r="BU101" s="6">
        <f t="shared" si="491"/>
        <v>5416000</v>
      </c>
      <c r="BX101" s="115" t="s">
        <v>664</v>
      </c>
      <c r="BY101" s="115" t="s">
        <v>670</v>
      </c>
      <c r="BZ101" s="115" t="s">
        <v>674</v>
      </c>
      <c r="CA101" s="110"/>
      <c r="CB101" s="110"/>
    </row>
    <row r="102" spans="1:80" s="110" customFormat="1" ht="13.5" customHeight="1" x14ac:dyDescent="0.2">
      <c r="A102" s="24">
        <v>95</v>
      </c>
      <c r="B102" s="24">
        <v>164</v>
      </c>
      <c r="C102" s="25" t="s">
        <v>101</v>
      </c>
      <c r="D102" s="26">
        <v>100000</v>
      </c>
      <c r="E102" s="26">
        <f t="shared" ref="E102:G102" si="510">+F102-15000</f>
        <v>1492000</v>
      </c>
      <c r="F102" s="26">
        <f t="shared" si="510"/>
        <v>1507000</v>
      </c>
      <c r="G102" s="26">
        <f t="shared" si="510"/>
        <v>1522000</v>
      </c>
      <c r="H102" s="26">
        <f t="shared" ref="H102:O102" si="511">+I102-20000</f>
        <v>1537000</v>
      </c>
      <c r="I102" s="26">
        <f t="shared" si="511"/>
        <v>1557000</v>
      </c>
      <c r="J102" s="26">
        <f t="shared" si="511"/>
        <v>1577000</v>
      </c>
      <c r="K102" s="26">
        <f t="shared" si="511"/>
        <v>1597000</v>
      </c>
      <c r="L102" s="26">
        <f t="shared" si="511"/>
        <v>1617000</v>
      </c>
      <c r="M102" s="26">
        <f t="shared" si="511"/>
        <v>1637000</v>
      </c>
      <c r="N102" s="26">
        <f t="shared" si="511"/>
        <v>1657000</v>
      </c>
      <c r="O102" s="26">
        <f t="shared" si="511"/>
        <v>1677000</v>
      </c>
      <c r="P102" s="26">
        <v>1697000</v>
      </c>
      <c r="Q102" s="26">
        <v>700000</v>
      </c>
      <c r="R102" s="26">
        <f>+Q102+100000</f>
        <v>800000</v>
      </c>
      <c r="S102" s="26">
        <f t="shared" ref="S102:U102" si="512">+R102+100000</f>
        <v>900000</v>
      </c>
      <c r="T102" s="26">
        <f t="shared" si="512"/>
        <v>1000000</v>
      </c>
      <c r="U102" s="26">
        <f t="shared" si="512"/>
        <v>1100000</v>
      </c>
      <c r="V102" s="26">
        <v>0</v>
      </c>
      <c r="W102" s="26">
        <f>+V102+150000</f>
        <v>150000</v>
      </c>
      <c r="X102" s="26">
        <f t="shared" ref="X102:AA102" si="513">+W102+150000</f>
        <v>300000</v>
      </c>
      <c r="Y102" s="26">
        <f t="shared" si="513"/>
        <v>450000</v>
      </c>
      <c r="Z102" s="26">
        <f t="shared" si="513"/>
        <v>600000</v>
      </c>
      <c r="AA102" s="26">
        <f t="shared" si="513"/>
        <v>750000</v>
      </c>
      <c r="AB102" s="26">
        <v>900000</v>
      </c>
      <c r="AC102" s="26">
        <v>2073000</v>
      </c>
      <c r="AD102" s="26">
        <f>+AC102+100000</f>
        <v>2173000</v>
      </c>
      <c r="AE102" s="26">
        <f t="shared" ref="AE102:AM102" si="514">+AD102+100000</f>
        <v>2273000</v>
      </c>
      <c r="AF102" s="26">
        <v>1973000</v>
      </c>
      <c r="AG102" s="26">
        <f t="shared" si="514"/>
        <v>2073000</v>
      </c>
      <c r="AH102" s="26">
        <v>1173000</v>
      </c>
      <c r="AI102" s="26">
        <f t="shared" si="514"/>
        <v>1273000</v>
      </c>
      <c r="AJ102" s="26">
        <f t="shared" si="514"/>
        <v>1373000</v>
      </c>
      <c r="AK102" s="26">
        <f>+AJ102+100000+500000</f>
        <v>1973000</v>
      </c>
      <c r="AL102" s="26">
        <f t="shared" si="514"/>
        <v>2073000</v>
      </c>
      <c r="AM102" s="26">
        <f t="shared" si="514"/>
        <v>2173000</v>
      </c>
      <c r="AN102" s="26">
        <v>2273000</v>
      </c>
      <c r="AO102" s="26">
        <f t="shared" si="382"/>
        <v>4970000</v>
      </c>
      <c r="AP102" s="27">
        <f t="shared" si="383"/>
        <v>13865</v>
      </c>
      <c r="AQ102" s="27">
        <f t="shared" si="384"/>
        <v>14865</v>
      </c>
      <c r="AR102" s="27">
        <f t="shared" si="385"/>
        <v>15865</v>
      </c>
      <c r="AS102" s="27">
        <f t="shared" si="386"/>
        <v>14865</v>
      </c>
      <c r="AT102" s="27">
        <f t="shared" si="387"/>
        <v>15865</v>
      </c>
      <c r="AU102" s="27">
        <f t="shared" si="388"/>
        <v>5865</v>
      </c>
      <c r="AV102" s="27">
        <f t="shared" si="389"/>
        <v>7115</v>
      </c>
      <c r="AW102" s="27">
        <f t="shared" si="390"/>
        <v>8365</v>
      </c>
      <c r="AX102" s="27">
        <f t="shared" si="391"/>
        <v>12115</v>
      </c>
      <c r="AY102" s="27">
        <f t="shared" si="392"/>
        <v>13365</v>
      </c>
      <c r="AZ102" s="27">
        <f t="shared" si="393"/>
        <v>14615</v>
      </c>
      <c r="BA102" s="27">
        <f t="shared" si="394"/>
        <v>15865</v>
      </c>
      <c r="BB102" s="27">
        <v>375000</v>
      </c>
      <c r="BC102" s="26">
        <v>2500000</v>
      </c>
      <c r="BD102" s="27">
        <f t="shared" si="441"/>
        <v>152630</v>
      </c>
      <c r="BE102" s="28">
        <f t="shared" si="363"/>
        <v>7736.4632895571604</v>
      </c>
      <c r="BF102" s="28">
        <f t="shared" si="364"/>
        <v>7372.0685237962107</v>
      </c>
      <c r="BG102" s="28">
        <f t="shared" si="365"/>
        <v>24098.624182385222</v>
      </c>
      <c r="BH102" s="28">
        <f t="shared" si="366"/>
        <v>36907.080434861069</v>
      </c>
      <c r="BI102" s="28">
        <f t="shared" si="367"/>
        <v>29436.596934603618</v>
      </c>
      <c r="BJ102" s="28">
        <f t="shared" si="368"/>
        <v>17804.545699934482</v>
      </c>
      <c r="BK102" s="28">
        <f t="shared" si="369"/>
        <v>13503.629343664636</v>
      </c>
      <c r="BL102" s="28">
        <f t="shared" si="370"/>
        <v>25755.148858402055</v>
      </c>
      <c r="BM102" s="28">
        <f t="shared" si="371"/>
        <v>32104.567959312673</v>
      </c>
      <c r="BN102" s="28">
        <f t="shared" si="372"/>
        <v>28579.875909942064</v>
      </c>
      <c r="BO102" s="28">
        <f t="shared" si="373"/>
        <v>21918.015428631308</v>
      </c>
      <c r="BP102" s="28">
        <f t="shared" si="374"/>
        <v>20274.420643721071</v>
      </c>
      <c r="BQ102" s="29">
        <f t="shared" si="395"/>
        <v>265491.03720881155</v>
      </c>
      <c r="BR102" s="26">
        <f t="shared" si="375"/>
        <v>81895.49023440681</v>
      </c>
      <c r="BS102" s="26">
        <f t="shared" si="396"/>
        <v>347386.52744321839</v>
      </c>
      <c r="BT102" s="26">
        <f t="shared" si="376"/>
        <v>500016.52744321839</v>
      </c>
      <c r="BU102" s="111">
        <f t="shared" si="491"/>
        <v>4870000</v>
      </c>
      <c r="BV102" s="110">
        <v>79</v>
      </c>
      <c r="BX102" s="114" t="s">
        <v>642</v>
      </c>
      <c r="BY102" s="114" t="s">
        <v>643</v>
      </c>
      <c r="BZ102" s="114" t="s">
        <v>673</v>
      </c>
      <c r="CA102"/>
    </row>
    <row r="103" spans="1:80" ht="13.5" customHeight="1" x14ac:dyDescent="0.2">
      <c r="A103" s="15">
        <v>96</v>
      </c>
      <c r="B103" s="15">
        <v>166</v>
      </c>
      <c r="C103" s="14" t="s">
        <v>102</v>
      </c>
      <c r="D103" s="8">
        <v>100000</v>
      </c>
      <c r="E103" s="8">
        <f t="shared" ref="E103:G103" si="515">+F103-15000</f>
        <v>1492000</v>
      </c>
      <c r="F103" s="8">
        <f t="shared" si="515"/>
        <v>1507000</v>
      </c>
      <c r="G103" s="8">
        <f t="shared" si="515"/>
        <v>1522000</v>
      </c>
      <c r="H103" s="8">
        <f t="shared" ref="H103:O103" si="516">+I103-20000</f>
        <v>1537000</v>
      </c>
      <c r="I103" s="8">
        <f t="shared" si="516"/>
        <v>1557000</v>
      </c>
      <c r="J103" s="8">
        <f t="shared" si="516"/>
        <v>1577000</v>
      </c>
      <c r="K103" s="8">
        <f t="shared" si="516"/>
        <v>1597000</v>
      </c>
      <c r="L103" s="8">
        <f t="shared" si="516"/>
        <v>1617000</v>
      </c>
      <c r="M103" s="8">
        <f t="shared" si="516"/>
        <v>1637000</v>
      </c>
      <c r="N103" s="8">
        <f t="shared" si="516"/>
        <v>1657000</v>
      </c>
      <c r="O103" s="8">
        <f t="shared" si="516"/>
        <v>1677000</v>
      </c>
      <c r="P103" s="8">
        <v>1697000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29000</v>
      </c>
      <c r="AD103" s="8">
        <v>29000</v>
      </c>
      <c r="AE103" s="8">
        <v>29000</v>
      </c>
      <c r="AF103" s="8">
        <v>29000</v>
      </c>
      <c r="AG103" s="8">
        <v>29000</v>
      </c>
      <c r="AH103" s="8">
        <v>29000</v>
      </c>
      <c r="AI103" s="8">
        <v>29000</v>
      </c>
      <c r="AJ103" s="8">
        <v>29000</v>
      </c>
      <c r="AK103" s="8">
        <v>29000</v>
      </c>
      <c r="AL103" s="8">
        <v>29000</v>
      </c>
      <c r="AM103" s="8">
        <v>29000</v>
      </c>
      <c r="AN103" s="8">
        <v>29000</v>
      </c>
      <c r="AO103" s="8">
        <f t="shared" si="382"/>
        <v>1826000</v>
      </c>
      <c r="AP103" s="16">
        <f t="shared" si="383"/>
        <v>145</v>
      </c>
      <c r="AQ103" s="16">
        <f t="shared" si="384"/>
        <v>145</v>
      </c>
      <c r="AR103" s="16">
        <f t="shared" si="385"/>
        <v>145</v>
      </c>
      <c r="AS103" s="16">
        <f t="shared" si="386"/>
        <v>145</v>
      </c>
      <c r="AT103" s="16">
        <f t="shared" si="387"/>
        <v>145</v>
      </c>
      <c r="AU103" s="16">
        <f t="shared" si="388"/>
        <v>145</v>
      </c>
      <c r="AV103" s="16">
        <f t="shared" si="389"/>
        <v>145</v>
      </c>
      <c r="AW103" s="16">
        <f t="shared" si="390"/>
        <v>145</v>
      </c>
      <c r="AX103" s="16">
        <f t="shared" si="391"/>
        <v>145</v>
      </c>
      <c r="AY103" s="16">
        <f t="shared" si="392"/>
        <v>145</v>
      </c>
      <c r="AZ103" s="16">
        <f t="shared" si="393"/>
        <v>145</v>
      </c>
      <c r="BA103" s="16">
        <f t="shared" si="394"/>
        <v>145</v>
      </c>
      <c r="BB103" s="16">
        <v>900000</v>
      </c>
      <c r="BC103" s="8">
        <v>4250000</v>
      </c>
      <c r="BD103" s="16">
        <f t="shared" si="441"/>
        <v>1740</v>
      </c>
      <c r="BE103" s="23">
        <f t="shared" si="363"/>
        <v>2873.0371116545607</v>
      </c>
      <c r="BF103" s="23">
        <f t="shared" si="364"/>
        <v>2633.3415076267684</v>
      </c>
      <c r="BG103" s="23">
        <f t="shared" si="365"/>
        <v>8297.5659072196031</v>
      </c>
      <c r="BH103" s="23">
        <f t="shared" si="366"/>
        <v>13337.786551947622</v>
      </c>
      <c r="BI103" s="23">
        <f t="shared" si="367"/>
        <v>10275.383526240517</v>
      </c>
      <c r="BJ103" s="23">
        <f t="shared" si="368"/>
        <v>10657.738583890607</v>
      </c>
      <c r="BK103" s="23">
        <f t="shared" si="369"/>
        <v>7470.277002296526</v>
      </c>
      <c r="BL103" s="23">
        <f t="shared" si="370"/>
        <v>13265.041270433625</v>
      </c>
      <c r="BM103" s="23">
        <f t="shared" si="371"/>
        <v>13629.00649426591</v>
      </c>
      <c r="BN103" s="23">
        <f t="shared" si="372"/>
        <v>11522.270513579351</v>
      </c>
      <c r="BO103" s="23">
        <f t="shared" si="373"/>
        <v>8422.11401364003</v>
      </c>
      <c r="BP103" s="23">
        <f t="shared" si="374"/>
        <v>7448.9118904295119</v>
      </c>
      <c r="BQ103" s="22">
        <f t="shared" si="395"/>
        <v>109832.47437322464</v>
      </c>
      <c r="BR103" s="8">
        <f t="shared" si="375"/>
        <v>196549.17656257635</v>
      </c>
      <c r="BS103" s="8">
        <f t="shared" si="396"/>
        <v>306381.65093580098</v>
      </c>
      <c r="BT103" s="8">
        <f t="shared" si="376"/>
        <v>308121.65093580098</v>
      </c>
      <c r="BU103" s="6">
        <f t="shared" si="491"/>
        <v>1726000</v>
      </c>
      <c r="BX103" s="115" t="s">
        <v>652</v>
      </c>
      <c r="BY103" s="115" t="s">
        <v>653</v>
      </c>
      <c r="BZ103" s="114" t="s">
        <v>672</v>
      </c>
    </row>
    <row r="104" spans="1:80" ht="13.5" customHeight="1" x14ac:dyDescent="0.2">
      <c r="A104" s="15">
        <v>97</v>
      </c>
      <c r="B104" s="15">
        <v>167</v>
      </c>
      <c r="C104" s="14" t="s">
        <v>103</v>
      </c>
      <c r="D104" s="8">
        <v>100000</v>
      </c>
      <c r="E104" s="8">
        <f t="shared" ref="E104:G104" si="517">+F104-15000</f>
        <v>1485000</v>
      </c>
      <c r="F104" s="8">
        <f t="shared" si="517"/>
        <v>1500000</v>
      </c>
      <c r="G104" s="8">
        <f t="shared" si="517"/>
        <v>1515000</v>
      </c>
      <c r="H104" s="8">
        <f t="shared" ref="H104:O104" si="518">+I104-20000</f>
        <v>1530000</v>
      </c>
      <c r="I104" s="8">
        <f t="shared" si="518"/>
        <v>1550000</v>
      </c>
      <c r="J104" s="8">
        <f t="shared" si="518"/>
        <v>1570000</v>
      </c>
      <c r="K104" s="8">
        <f t="shared" si="518"/>
        <v>1590000</v>
      </c>
      <c r="L104" s="8">
        <f t="shared" si="518"/>
        <v>1610000</v>
      </c>
      <c r="M104" s="8">
        <f t="shared" si="518"/>
        <v>1630000</v>
      </c>
      <c r="N104" s="8">
        <f t="shared" si="518"/>
        <v>1650000</v>
      </c>
      <c r="O104" s="8">
        <f t="shared" si="518"/>
        <v>1670000</v>
      </c>
      <c r="P104" s="8">
        <v>1690000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f t="shared" si="382"/>
        <v>1790000</v>
      </c>
      <c r="AP104" s="16">
        <f t="shared" si="383"/>
        <v>0</v>
      </c>
      <c r="AQ104" s="16">
        <f t="shared" si="384"/>
        <v>0</v>
      </c>
      <c r="AR104" s="16">
        <f t="shared" si="385"/>
        <v>0</v>
      </c>
      <c r="AS104" s="16">
        <f t="shared" si="386"/>
        <v>0</v>
      </c>
      <c r="AT104" s="16">
        <f t="shared" si="387"/>
        <v>0</v>
      </c>
      <c r="AU104" s="16">
        <f t="shared" si="388"/>
        <v>0</v>
      </c>
      <c r="AV104" s="16">
        <f t="shared" si="389"/>
        <v>0</v>
      </c>
      <c r="AW104" s="16">
        <f t="shared" si="390"/>
        <v>0</v>
      </c>
      <c r="AX104" s="16">
        <f t="shared" si="391"/>
        <v>0</v>
      </c>
      <c r="AY104" s="16">
        <f t="shared" si="392"/>
        <v>0</v>
      </c>
      <c r="AZ104" s="16">
        <f t="shared" si="393"/>
        <v>0</v>
      </c>
      <c r="BA104" s="16">
        <f t="shared" si="394"/>
        <v>0</v>
      </c>
      <c r="BB104" s="16">
        <v>900000</v>
      </c>
      <c r="BC104" s="8">
        <v>1000000</v>
      </c>
      <c r="BD104" s="16">
        <f t="shared" si="441"/>
        <v>0</v>
      </c>
      <c r="BE104" s="23">
        <f t="shared" si="363"/>
        <v>2809.2312288540893</v>
      </c>
      <c r="BF104" s="23">
        <f t="shared" si="364"/>
        <v>2575.3951174833924</v>
      </c>
      <c r="BG104" s="23">
        <f t="shared" si="365"/>
        <v>8116.6377590306847</v>
      </c>
      <c r="BH104" s="23">
        <f t="shared" si="366"/>
        <v>13049.575077835909</v>
      </c>
      <c r="BI104" s="23">
        <f t="shared" si="367"/>
        <v>10055.980319274528</v>
      </c>
      <c r="BJ104" s="23">
        <f t="shared" si="368"/>
        <v>10432.839059259855</v>
      </c>
      <c r="BK104" s="23">
        <f t="shared" si="369"/>
        <v>7314.4658944850107</v>
      </c>
      <c r="BL104" s="23">
        <f t="shared" si="370"/>
        <v>12991.535264857674</v>
      </c>
      <c r="BM104" s="23">
        <f t="shared" si="371"/>
        <v>13351.178502310318</v>
      </c>
      <c r="BN104" s="23">
        <f t="shared" si="372"/>
        <v>11290.018700315713</v>
      </c>
      <c r="BO104" s="23">
        <f t="shared" si="373"/>
        <v>8254.2313422717907</v>
      </c>
      <c r="BP104" s="23">
        <f t="shared" si="374"/>
        <v>7302.0549199719744</v>
      </c>
      <c r="BQ104" s="22">
        <f t="shared" si="395"/>
        <v>107543.14318595093</v>
      </c>
      <c r="BR104" s="8">
        <f t="shared" ref="BR104:BR135" si="519">+BB104/$BB$205*40219858</f>
        <v>196549.17656257635</v>
      </c>
      <c r="BS104" s="8">
        <f t="shared" si="396"/>
        <v>304092.31974852725</v>
      </c>
      <c r="BT104" s="8">
        <f t="shared" ref="BT104:BT135" si="520">+BS104+BD104</f>
        <v>304092.31974852725</v>
      </c>
      <c r="BU104" s="6">
        <f t="shared" si="491"/>
        <v>1690000</v>
      </c>
    </row>
    <row r="105" spans="1:80" s="110" customFormat="1" ht="13.5" customHeight="1" x14ac:dyDescent="0.2">
      <c r="A105" s="24">
        <v>98</v>
      </c>
      <c r="B105" s="24">
        <v>169</v>
      </c>
      <c r="C105" s="25" t="s">
        <v>104</v>
      </c>
      <c r="D105" s="26">
        <v>100000</v>
      </c>
      <c r="E105" s="26">
        <f t="shared" ref="E105:G105" si="521">+F105-15000</f>
        <v>1492000</v>
      </c>
      <c r="F105" s="26">
        <f t="shared" si="521"/>
        <v>1507000</v>
      </c>
      <c r="G105" s="26">
        <f t="shared" si="521"/>
        <v>1522000</v>
      </c>
      <c r="H105" s="26">
        <f t="shared" ref="H105:O105" si="522">+I105-20000</f>
        <v>1537000</v>
      </c>
      <c r="I105" s="26">
        <f t="shared" si="522"/>
        <v>1557000</v>
      </c>
      <c r="J105" s="26">
        <f t="shared" si="522"/>
        <v>1577000</v>
      </c>
      <c r="K105" s="26">
        <f t="shared" si="522"/>
        <v>1597000</v>
      </c>
      <c r="L105" s="26">
        <f t="shared" si="522"/>
        <v>1617000</v>
      </c>
      <c r="M105" s="26">
        <f t="shared" si="522"/>
        <v>1637000</v>
      </c>
      <c r="N105" s="26">
        <f t="shared" si="522"/>
        <v>1657000</v>
      </c>
      <c r="O105" s="26">
        <f t="shared" si="522"/>
        <v>1677000</v>
      </c>
      <c r="P105" s="26">
        <v>1697000</v>
      </c>
      <c r="Q105" s="26">
        <v>600000</v>
      </c>
      <c r="R105" s="26">
        <f>+Q105+100000</f>
        <v>700000</v>
      </c>
      <c r="S105" s="26">
        <f t="shared" ref="S105:AA105" si="523">+R105+100000</f>
        <v>800000</v>
      </c>
      <c r="T105" s="26">
        <f t="shared" si="523"/>
        <v>900000</v>
      </c>
      <c r="U105" s="26">
        <f t="shared" si="523"/>
        <v>1000000</v>
      </c>
      <c r="V105" s="26">
        <v>0</v>
      </c>
      <c r="W105" s="26">
        <f t="shared" si="523"/>
        <v>100000</v>
      </c>
      <c r="X105" s="26">
        <f t="shared" si="523"/>
        <v>200000</v>
      </c>
      <c r="Y105" s="26">
        <f t="shared" si="523"/>
        <v>300000</v>
      </c>
      <c r="Z105" s="26">
        <f t="shared" si="523"/>
        <v>400000</v>
      </c>
      <c r="AA105" s="26">
        <f t="shared" si="523"/>
        <v>500000</v>
      </c>
      <c r="AB105" s="26">
        <v>600000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500000</v>
      </c>
      <c r="AJ105" s="26">
        <v>450000</v>
      </c>
      <c r="AK105" s="26">
        <v>0</v>
      </c>
      <c r="AL105" s="26">
        <v>0</v>
      </c>
      <c r="AM105" s="26">
        <v>0</v>
      </c>
      <c r="AN105" s="26">
        <v>0</v>
      </c>
      <c r="AO105" s="26">
        <f t="shared" si="382"/>
        <v>2397000</v>
      </c>
      <c r="AP105" s="27">
        <f t="shared" si="383"/>
        <v>3000</v>
      </c>
      <c r="AQ105" s="27">
        <f t="shared" si="384"/>
        <v>3500</v>
      </c>
      <c r="AR105" s="27">
        <f t="shared" si="385"/>
        <v>4000</v>
      </c>
      <c r="AS105" s="27">
        <f t="shared" si="386"/>
        <v>4500</v>
      </c>
      <c r="AT105" s="27">
        <f t="shared" si="387"/>
        <v>5000</v>
      </c>
      <c r="AU105" s="27">
        <f t="shared" si="388"/>
        <v>0</v>
      </c>
      <c r="AV105" s="27">
        <f t="shared" si="389"/>
        <v>3000</v>
      </c>
      <c r="AW105" s="27">
        <f t="shared" si="390"/>
        <v>3250</v>
      </c>
      <c r="AX105" s="27">
        <f t="shared" si="391"/>
        <v>1500</v>
      </c>
      <c r="AY105" s="27">
        <f t="shared" si="392"/>
        <v>2000</v>
      </c>
      <c r="AZ105" s="27">
        <f t="shared" si="393"/>
        <v>2500</v>
      </c>
      <c r="BA105" s="27">
        <f t="shared" si="394"/>
        <v>3000</v>
      </c>
      <c r="BB105" s="27">
        <v>900000</v>
      </c>
      <c r="BC105" s="26">
        <v>1750000</v>
      </c>
      <c r="BD105" s="27">
        <f t="shared" si="441"/>
        <v>35250</v>
      </c>
      <c r="BE105" s="28">
        <f t="shared" si="363"/>
        <v>3885.0693082953712</v>
      </c>
      <c r="BF105" s="28">
        <f t="shared" si="364"/>
        <v>3713.3978350213661</v>
      </c>
      <c r="BG105" s="28">
        <f t="shared" si="365"/>
        <v>12172.443747598958</v>
      </c>
      <c r="BH105" s="28">
        <f t="shared" si="366"/>
        <v>20310.903050594909</v>
      </c>
      <c r="BI105" s="28">
        <f t="shared" si="367"/>
        <v>16193.175580795405</v>
      </c>
      <c r="BJ105" s="28">
        <f t="shared" si="368"/>
        <v>10476.569522382501</v>
      </c>
      <c r="BK105" s="28">
        <f t="shared" si="369"/>
        <v>9941.6142956402782</v>
      </c>
      <c r="BL105" s="28">
        <f t="shared" si="370"/>
        <v>17983.019866618783</v>
      </c>
      <c r="BM105" s="28">
        <f t="shared" si="371"/>
        <v>15720.433878153826</v>
      </c>
      <c r="BN105" s="28">
        <f t="shared" si="372"/>
        <v>13915.754478046283</v>
      </c>
      <c r="BO105" s="28">
        <f t="shared" si="373"/>
        <v>10618.578964041168</v>
      </c>
      <c r="BP105" s="28">
        <f t="shared" si="374"/>
        <v>9778.2266162976666</v>
      </c>
      <c r="BQ105" s="29">
        <f t="shared" si="395"/>
        <v>144709.18714348652</v>
      </c>
      <c r="BR105" s="26">
        <f t="shared" si="519"/>
        <v>196549.17656257635</v>
      </c>
      <c r="BS105" s="26">
        <f t="shared" si="396"/>
        <v>341258.3637060629</v>
      </c>
      <c r="BT105" s="26">
        <f t="shared" si="520"/>
        <v>376508.3637060629</v>
      </c>
      <c r="BU105" s="111">
        <f t="shared" si="491"/>
        <v>2297000</v>
      </c>
      <c r="BV105" s="110">
        <v>80</v>
      </c>
    </row>
    <row r="106" spans="1:80" ht="13.5" customHeight="1" x14ac:dyDescent="0.2">
      <c r="A106" s="24"/>
      <c r="B106" s="24"/>
      <c r="C106" s="25" t="s">
        <v>226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6">
        <v>2092500</v>
      </c>
      <c r="BD106" s="27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9"/>
      <c r="BR106" s="29"/>
      <c r="BS106" s="29"/>
      <c r="BT106" s="29"/>
    </row>
    <row r="107" spans="1:80" s="110" customFormat="1" ht="13.5" customHeight="1" x14ac:dyDescent="0.2">
      <c r="A107" s="24">
        <v>99</v>
      </c>
      <c r="B107" s="24">
        <v>171</v>
      </c>
      <c r="C107" s="25" t="s">
        <v>105</v>
      </c>
      <c r="D107" s="26">
        <v>100000</v>
      </c>
      <c r="E107" s="26">
        <f t="shared" ref="E107:G107" si="524">+F107-25000</f>
        <v>1862000</v>
      </c>
      <c r="F107" s="26">
        <f t="shared" si="524"/>
        <v>1887000</v>
      </c>
      <c r="G107" s="26">
        <f t="shared" si="524"/>
        <v>1912000</v>
      </c>
      <c r="H107" s="26">
        <f t="shared" ref="H107:O107" si="525">+I107-50000</f>
        <v>1937000</v>
      </c>
      <c r="I107" s="26">
        <f t="shared" si="525"/>
        <v>1987000</v>
      </c>
      <c r="J107" s="26">
        <f t="shared" si="525"/>
        <v>2037000</v>
      </c>
      <c r="K107" s="26">
        <f t="shared" si="525"/>
        <v>2087000</v>
      </c>
      <c r="L107" s="26">
        <f t="shared" si="525"/>
        <v>2137000</v>
      </c>
      <c r="M107" s="26">
        <f t="shared" si="525"/>
        <v>2187000</v>
      </c>
      <c r="N107" s="26">
        <f t="shared" si="525"/>
        <v>2237000</v>
      </c>
      <c r="O107" s="26">
        <f t="shared" si="525"/>
        <v>2287000</v>
      </c>
      <c r="P107" s="26">
        <v>2337000</v>
      </c>
      <c r="Q107" s="26">
        <v>1200000</v>
      </c>
      <c r="R107" s="26">
        <f>+Q107+200000</f>
        <v>1400000</v>
      </c>
      <c r="S107" s="26">
        <f t="shared" ref="S107" si="526">+R107+200000</f>
        <v>1600000</v>
      </c>
      <c r="T107" s="26">
        <f t="shared" ref="T107" si="527">+S107+200000</f>
        <v>1800000</v>
      </c>
      <c r="U107" s="26">
        <f t="shared" ref="U107" si="528">+T107+200000</f>
        <v>2000000</v>
      </c>
      <c r="V107" s="26">
        <v>0</v>
      </c>
      <c r="W107" s="26">
        <f t="shared" ref="W107" si="529">+V107+200000</f>
        <v>200000</v>
      </c>
      <c r="X107" s="26">
        <f t="shared" ref="X107" si="530">+W107+200000</f>
        <v>400000</v>
      </c>
      <c r="Y107" s="26">
        <f t="shared" ref="Y107" si="531">+X107+200000</f>
        <v>600000</v>
      </c>
      <c r="Z107" s="26">
        <f t="shared" ref="Z107" si="532">+Y107+200000</f>
        <v>800000</v>
      </c>
      <c r="AA107" s="26">
        <f t="shared" ref="AA107" si="533">+Z107+200000</f>
        <v>1000000</v>
      </c>
      <c r="AB107" s="26">
        <v>1200000</v>
      </c>
      <c r="AC107" s="26">
        <v>226000</v>
      </c>
      <c r="AD107" s="26">
        <f>+AC107+3000</f>
        <v>229000</v>
      </c>
      <c r="AE107" s="26">
        <f t="shared" ref="AE107:AF107" si="534">+AD107+3000</f>
        <v>232000</v>
      </c>
      <c r="AF107" s="26">
        <f t="shared" si="534"/>
        <v>235000</v>
      </c>
      <c r="AG107" s="26">
        <f>+AF107+20000-150000</f>
        <v>105000</v>
      </c>
      <c r="AH107" s="26">
        <f t="shared" ref="AH107:AM107" si="535">+AG107+20000</f>
        <v>125000</v>
      </c>
      <c r="AI107" s="26">
        <f>+AH107+20000+500000</f>
        <v>645000</v>
      </c>
      <c r="AJ107" s="26">
        <f t="shared" si="535"/>
        <v>665000</v>
      </c>
      <c r="AK107" s="26">
        <f t="shared" si="535"/>
        <v>685000</v>
      </c>
      <c r="AL107" s="26">
        <f t="shared" si="535"/>
        <v>705000</v>
      </c>
      <c r="AM107" s="26">
        <f t="shared" si="535"/>
        <v>725000</v>
      </c>
      <c r="AN107" s="26">
        <v>745000</v>
      </c>
      <c r="AO107" s="26">
        <f t="shared" si="382"/>
        <v>4382000</v>
      </c>
      <c r="AP107" s="27">
        <f t="shared" si="383"/>
        <v>7130</v>
      </c>
      <c r="AQ107" s="27">
        <f t="shared" si="384"/>
        <v>8145</v>
      </c>
      <c r="AR107" s="27">
        <f t="shared" si="385"/>
        <v>9160</v>
      </c>
      <c r="AS107" s="27">
        <f t="shared" si="386"/>
        <v>10175</v>
      </c>
      <c r="AT107" s="27">
        <f t="shared" si="387"/>
        <v>10525</v>
      </c>
      <c r="AU107" s="27">
        <f t="shared" si="388"/>
        <v>625</v>
      </c>
      <c r="AV107" s="27">
        <f t="shared" si="389"/>
        <v>4225</v>
      </c>
      <c r="AW107" s="27">
        <f t="shared" si="390"/>
        <v>5325</v>
      </c>
      <c r="AX107" s="27">
        <f t="shared" si="391"/>
        <v>6425</v>
      </c>
      <c r="AY107" s="27">
        <f t="shared" si="392"/>
        <v>7525</v>
      </c>
      <c r="AZ107" s="27">
        <f t="shared" si="393"/>
        <v>8625</v>
      </c>
      <c r="BA107" s="27">
        <f t="shared" si="394"/>
        <v>9725</v>
      </c>
      <c r="BB107" s="27">
        <v>720000</v>
      </c>
      <c r="BC107" s="26">
        <v>3000000</v>
      </c>
      <c r="BD107" s="27">
        <f t="shared" ref="BD107:BD138" si="536">SUM(AP107:BA107)</f>
        <v>87610</v>
      </c>
      <c r="BE107" s="28">
        <f t="shared" ref="BE107:BE138" si="537">(BE$6/($D$205+E$205+Q$205+AC$205))*($D107+E107+Q107+AC107)</f>
        <v>6004.8425257776998</v>
      </c>
      <c r="BF107" s="28">
        <f t="shared" ref="BF107:BF138" si="538">(BF$6/($D$205+F$205+R$205+AD$205))*($D107+F107+R107+AD107)</f>
        <v>5820.3929655124666</v>
      </c>
      <c r="BG107" s="28">
        <f t="shared" ref="BG107:BG138" si="539">(BG$6/($D$205+G$205+S$205+AE$205))*($D107+G107+S107+AE107)</f>
        <v>19319.10560106127</v>
      </c>
      <c r="BH107" s="28">
        <f t="shared" ref="BH107:BH138" si="540">(BH$6/($D$205+H$205+T$205+AF$205))*($D107+H107+T107+AF107)</f>
        <v>32599.920071747129</v>
      </c>
      <c r="BI107" s="28">
        <f t="shared" ref="BI107:BI138" si="541">(BI$6/($D$205+I$205+U$205+AG$205))*($D107+I107+U107+AG107)</f>
        <v>25548.284544484133</v>
      </c>
      <c r="BJ107" s="28">
        <f t="shared" ref="BJ107:BJ138" si="542">(BJ$6/($D$205+J$205+V$205+AH$205))*($D107+J107+V107+AH107)</f>
        <v>14131.18679763221</v>
      </c>
      <c r="BK107" s="28">
        <f t="shared" ref="BK107:BK138" si="543">(BK$6/($D$205+K$205+W$205+AI$205))*($D107+K107+W107+AI107)</f>
        <v>13122.757746792042</v>
      </c>
      <c r="BL107" s="28">
        <f t="shared" ref="BL107:BL138" si="544">(BL$6/($D$205+L$205+X$205+AJ$205))*($D107+L107+X107+AJ107)</f>
        <v>25086.578622549732</v>
      </c>
      <c r="BM107" s="28">
        <f t="shared" ref="BM107:BM138" si="545">(BM$6/($D$205+M$205+Y$205+AK$205))*($D107+M107+Y107+AK107)</f>
        <v>27566.710757371362</v>
      </c>
      <c r="BN107" s="28">
        <f t="shared" ref="BN107:BN138" si="546">(BN$6/($D$205+N$205+Z$205+AL$205))*($D107+N107+Z107+AL107)</f>
        <v>24786.429626635985</v>
      </c>
      <c r="BO107" s="28">
        <f t="shared" ref="BO107:BO138" si="547">(BO$6/($D$205+O$205+AA$205+AM$205))*($D107+O107+AA107+AM107)</f>
        <v>19175.931796283392</v>
      </c>
      <c r="BP107" s="28">
        <f t="shared" ref="BP107:BP138" si="548">(BP$6/($D$205+P$205+AB$205+AN$205))*($D107+P107+AB107+AN107)</f>
        <v>17875.756792914632</v>
      </c>
      <c r="BQ107" s="29">
        <f t="shared" si="395"/>
        <v>231037.89784876205</v>
      </c>
      <c r="BR107" s="26">
        <f t="shared" si="519"/>
        <v>157239.34125006109</v>
      </c>
      <c r="BS107" s="26">
        <f t="shared" si="396"/>
        <v>388277.23909882316</v>
      </c>
      <c r="BT107" s="26">
        <f t="shared" si="520"/>
        <v>475887.23909882316</v>
      </c>
      <c r="BU107" s="111">
        <f>AO107-100000</f>
        <v>4282000</v>
      </c>
      <c r="BV107" s="110">
        <v>81</v>
      </c>
    </row>
    <row r="108" spans="1:80" ht="13.5" customHeight="1" x14ac:dyDescent="0.2">
      <c r="A108" s="15">
        <v>100</v>
      </c>
      <c r="B108" s="15">
        <v>172</v>
      </c>
      <c r="C108" s="14" t="s">
        <v>106</v>
      </c>
      <c r="D108" s="8">
        <v>100000</v>
      </c>
      <c r="E108" s="8">
        <f t="shared" ref="E108:G108" si="549">+F108-25000</f>
        <v>1855000</v>
      </c>
      <c r="F108" s="8">
        <f t="shared" si="549"/>
        <v>1880000</v>
      </c>
      <c r="G108" s="8">
        <f t="shared" si="549"/>
        <v>1905000</v>
      </c>
      <c r="H108" s="8">
        <f t="shared" ref="H108:O108" si="550">+I108-50000</f>
        <v>1930000</v>
      </c>
      <c r="I108" s="8">
        <f t="shared" si="550"/>
        <v>1980000</v>
      </c>
      <c r="J108" s="8">
        <f t="shared" si="550"/>
        <v>2030000</v>
      </c>
      <c r="K108" s="8">
        <f t="shared" si="550"/>
        <v>2080000</v>
      </c>
      <c r="L108" s="8">
        <f t="shared" si="550"/>
        <v>2130000</v>
      </c>
      <c r="M108" s="8">
        <f t="shared" si="550"/>
        <v>2180000</v>
      </c>
      <c r="N108" s="8">
        <f t="shared" si="550"/>
        <v>2230000</v>
      </c>
      <c r="O108" s="8">
        <f t="shared" si="550"/>
        <v>2280000</v>
      </c>
      <c r="P108" s="8">
        <v>2330000</v>
      </c>
      <c r="Q108" s="8">
        <v>1800000</v>
      </c>
      <c r="R108" s="8">
        <f>+Q108+300000</f>
        <v>2100000</v>
      </c>
      <c r="S108" s="8">
        <f t="shared" ref="S108:AA108" si="551">+R108+300000</f>
        <v>2400000</v>
      </c>
      <c r="T108" s="8">
        <f t="shared" si="551"/>
        <v>2700000</v>
      </c>
      <c r="U108" s="8">
        <f t="shared" si="551"/>
        <v>3000000</v>
      </c>
      <c r="V108" s="8">
        <v>0</v>
      </c>
      <c r="W108" s="8">
        <f t="shared" si="551"/>
        <v>300000</v>
      </c>
      <c r="X108" s="8">
        <f t="shared" si="551"/>
        <v>600000</v>
      </c>
      <c r="Y108" s="8">
        <f t="shared" si="551"/>
        <v>900000</v>
      </c>
      <c r="Z108" s="8">
        <f t="shared" si="551"/>
        <v>1200000</v>
      </c>
      <c r="AA108" s="8">
        <f t="shared" si="551"/>
        <v>1500000</v>
      </c>
      <c r="AB108" s="8">
        <v>1800000</v>
      </c>
      <c r="AC108" s="8">
        <v>134000</v>
      </c>
      <c r="AD108" s="8">
        <f>+AC108+50000</f>
        <v>184000</v>
      </c>
      <c r="AE108" s="8">
        <f>+AD108+50000-200000</f>
        <v>34000</v>
      </c>
      <c r="AF108" s="8">
        <f t="shared" ref="AF108:AM108" si="552">+AE108+50000</f>
        <v>84000</v>
      </c>
      <c r="AG108" s="8">
        <f t="shared" si="552"/>
        <v>134000</v>
      </c>
      <c r="AH108" s="8">
        <f>+AG108+50000-150000</f>
        <v>34000</v>
      </c>
      <c r="AI108" s="8">
        <f t="shared" si="552"/>
        <v>84000</v>
      </c>
      <c r="AJ108" s="8">
        <f t="shared" si="552"/>
        <v>134000</v>
      </c>
      <c r="AK108" s="8">
        <f t="shared" si="552"/>
        <v>184000</v>
      </c>
      <c r="AL108" s="8">
        <f>+AK108+50000-150000</f>
        <v>84000</v>
      </c>
      <c r="AM108" s="8">
        <f t="shared" si="552"/>
        <v>134000</v>
      </c>
      <c r="AN108" s="8">
        <v>184000</v>
      </c>
      <c r="AO108" s="8">
        <f t="shared" si="382"/>
        <v>4414000</v>
      </c>
      <c r="AP108" s="16">
        <f t="shared" si="383"/>
        <v>9670</v>
      </c>
      <c r="AQ108" s="16">
        <f t="shared" si="384"/>
        <v>11420</v>
      </c>
      <c r="AR108" s="16">
        <f t="shared" si="385"/>
        <v>12170</v>
      </c>
      <c r="AS108" s="16">
        <f t="shared" si="386"/>
        <v>13920</v>
      </c>
      <c r="AT108" s="16">
        <f t="shared" si="387"/>
        <v>15670</v>
      </c>
      <c r="AU108" s="16">
        <f t="shared" si="388"/>
        <v>170</v>
      </c>
      <c r="AV108" s="16">
        <f t="shared" si="389"/>
        <v>1920</v>
      </c>
      <c r="AW108" s="16">
        <f t="shared" si="390"/>
        <v>3670</v>
      </c>
      <c r="AX108" s="16">
        <f t="shared" si="391"/>
        <v>5420</v>
      </c>
      <c r="AY108" s="16">
        <f t="shared" si="392"/>
        <v>6420</v>
      </c>
      <c r="AZ108" s="16">
        <f t="shared" si="393"/>
        <v>8170</v>
      </c>
      <c r="BA108" s="16">
        <f t="shared" si="394"/>
        <v>9920</v>
      </c>
      <c r="BB108" s="16">
        <v>300000</v>
      </c>
      <c r="BC108" s="8">
        <v>4164000</v>
      </c>
      <c r="BD108" s="16">
        <f t="shared" si="536"/>
        <v>98540</v>
      </c>
      <c r="BE108" s="23">
        <f t="shared" si="537"/>
        <v>6892.8077280842608</v>
      </c>
      <c r="BF108" s="23">
        <f t="shared" si="538"/>
        <v>6863.4279880932399</v>
      </c>
      <c r="BG108" s="23">
        <f t="shared" si="539"/>
        <v>22309.445828072574</v>
      </c>
      <c r="BH108" s="23">
        <f t="shared" si="540"/>
        <v>38540.27878816078</v>
      </c>
      <c r="BI108" s="23">
        <f t="shared" si="541"/>
        <v>31776.897808907506</v>
      </c>
      <c r="BJ108" s="23">
        <f t="shared" si="542"/>
        <v>13518.960313915166</v>
      </c>
      <c r="BK108" s="23">
        <f t="shared" si="543"/>
        <v>11097.213345242348</v>
      </c>
      <c r="BL108" s="23">
        <f t="shared" si="544"/>
        <v>22518.661125753304</v>
      </c>
      <c r="BM108" s="23">
        <f t="shared" si="545"/>
        <v>25961.482359405731</v>
      </c>
      <c r="BN108" s="23">
        <f t="shared" si="546"/>
        <v>23315.501475966281</v>
      </c>
      <c r="BO108" s="23">
        <f t="shared" si="547"/>
        <v>18718.917857558739</v>
      </c>
      <c r="BP108" s="23">
        <f t="shared" si="548"/>
        <v>18006.296322210223</v>
      </c>
      <c r="BQ108" s="22">
        <f t="shared" si="395"/>
        <v>239519.89094137013</v>
      </c>
      <c r="BR108" s="8">
        <f t="shared" si="519"/>
        <v>65516.392187525453</v>
      </c>
      <c r="BS108" s="8">
        <f t="shared" si="396"/>
        <v>305036.28312889556</v>
      </c>
      <c r="BT108" s="8">
        <f t="shared" si="520"/>
        <v>403576.28312889556</v>
      </c>
    </row>
    <row r="109" spans="1:80" ht="13.5" customHeight="1" x14ac:dyDescent="0.2">
      <c r="A109" s="15">
        <v>101</v>
      </c>
      <c r="B109" s="15">
        <v>175</v>
      </c>
      <c r="C109" s="14" t="s">
        <v>208</v>
      </c>
      <c r="D109" s="8">
        <v>100000</v>
      </c>
      <c r="E109" s="8">
        <f t="shared" ref="E109:G109" si="553">+F109-15000</f>
        <v>1475000</v>
      </c>
      <c r="F109" s="8">
        <f t="shared" si="553"/>
        <v>1490000</v>
      </c>
      <c r="G109" s="8">
        <f t="shared" si="553"/>
        <v>1505000</v>
      </c>
      <c r="H109" s="8">
        <f t="shared" ref="H109:O109" si="554">+I109-20000</f>
        <v>1520000</v>
      </c>
      <c r="I109" s="8">
        <f t="shared" si="554"/>
        <v>1540000</v>
      </c>
      <c r="J109" s="8">
        <f t="shared" si="554"/>
        <v>1560000</v>
      </c>
      <c r="K109" s="8">
        <f t="shared" si="554"/>
        <v>1580000</v>
      </c>
      <c r="L109" s="8">
        <f t="shared" si="554"/>
        <v>1600000</v>
      </c>
      <c r="M109" s="8">
        <f t="shared" si="554"/>
        <v>1620000</v>
      </c>
      <c r="N109" s="8">
        <f t="shared" si="554"/>
        <v>1640000</v>
      </c>
      <c r="O109" s="8">
        <f t="shared" si="554"/>
        <v>1660000</v>
      </c>
      <c r="P109" s="8">
        <v>1680000</v>
      </c>
      <c r="Q109" s="8">
        <v>300000</v>
      </c>
      <c r="R109" s="8">
        <f>+Q109+50000</f>
        <v>350000</v>
      </c>
      <c r="S109" s="8">
        <f t="shared" ref="S109:U109" si="555">+R109+50000</f>
        <v>400000</v>
      </c>
      <c r="T109" s="8">
        <f t="shared" si="555"/>
        <v>450000</v>
      </c>
      <c r="U109" s="8">
        <f t="shared" si="555"/>
        <v>500000</v>
      </c>
      <c r="V109" s="8">
        <v>0</v>
      </c>
      <c r="W109" s="8">
        <f>+V109+100000</f>
        <v>100000</v>
      </c>
      <c r="X109" s="8">
        <f t="shared" ref="X109:AA109" si="556">+W109+100000</f>
        <v>200000</v>
      </c>
      <c r="Y109" s="8">
        <f t="shared" si="556"/>
        <v>300000</v>
      </c>
      <c r="Z109" s="8">
        <f t="shared" si="556"/>
        <v>400000</v>
      </c>
      <c r="AA109" s="8">
        <f t="shared" si="556"/>
        <v>500000</v>
      </c>
      <c r="AB109" s="8">
        <v>600000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f t="shared" si="382"/>
        <v>2380000</v>
      </c>
      <c r="AP109" s="16">
        <f t="shared" si="383"/>
        <v>1500</v>
      </c>
      <c r="AQ109" s="16">
        <f t="shared" si="384"/>
        <v>1750</v>
      </c>
      <c r="AR109" s="16">
        <f t="shared" si="385"/>
        <v>2000</v>
      </c>
      <c r="AS109" s="16">
        <f t="shared" si="386"/>
        <v>2250</v>
      </c>
      <c r="AT109" s="16">
        <f t="shared" si="387"/>
        <v>2500</v>
      </c>
      <c r="AU109" s="16">
        <f t="shared" si="388"/>
        <v>0</v>
      </c>
      <c r="AV109" s="16">
        <f t="shared" si="389"/>
        <v>500</v>
      </c>
      <c r="AW109" s="16">
        <f t="shared" si="390"/>
        <v>1000</v>
      </c>
      <c r="AX109" s="16">
        <f t="shared" si="391"/>
        <v>1500</v>
      </c>
      <c r="AY109" s="16">
        <f t="shared" si="392"/>
        <v>2000</v>
      </c>
      <c r="AZ109" s="16">
        <f t="shared" si="393"/>
        <v>2500</v>
      </c>
      <c r="BA109" s="16">
        <f t="shared" si="394"/>
        <v>3000</v>
      </c>
      <c r="BB109" s="16">
        <v>862500</v>
      </c>
      <c r="BC109" s="8">
        <v>2250000</v>
      </c>
      <c r="BD109" s="16">
        <f t="shared" si="536"/>
        <v>20500</v>
      </c>
      <c r="BE109" s="23">
        <f t="shared" si="537"/>
        <v>3323.2230625245534</v>
      </c>
      <c r="BF109" s="23">
        <f t="shared" si="538"/>
        <v>3122.6665799486132</v>
      </c>
      <c r="BG109" s="23">
        <f t="shared" si="539"/>
        <v>10076.692697743976</v>
      </c>
      <c r="BH109" s="23">
        <f t="shared" si="540"/>
        <v>16572.159761423518</v>
      </c>
      <c r="BI109" s="23">
        <f t="shared" si="541"/>
        <v>13042.30174742272</v>
      </c>
      <c r="BJ109" s="23">
        <f t="shared" si="542"/>
        <v>10370.366969084645</v>
      </c>
      <c r="BK109" s="23">
        <f t="shared" si="543"/>
        <v>7703.9936640137985</v>
      </c>
      <c r="BL109" s="23">
        <f t="shared" si="544"/>
        <v>14435.039183175193</v>
      </c>
      <c r="BM109" s="23">
        <f t="shared" si="545"/>
        <v>15589.23732639702</v>
      </c>
      <c r="BN109" s="23">
        <f t="shared" si="546"/>
        <v>13806.080010671787</v>
      </c>
      <c r="BO109" s="23">
        <f t="shared" si="547"/>
        <v>10539.301035895054</v>
      </c>
      <c r="BP109" s="23">
        <f t="shared" si="548"/>
        <v>9708.8774913593861</v>
      </c>
      <c r="BQ109" s="22">
        <f t="shared" si="395"/>
        <v>128289.93952966027</v>
      </c>
      <c r="BR109" s="8">
        <f t="shared" si="519"/>
        <v>188359.62753913569</v>
      </c>
      <c r="BS109" s="8">
        <f t="shared" si="396"/>
        <v>316649.56706879596</v>
      </c>
      <c r="BT109" s="8">
        <f t="shared" si="520"/>
        <v>337149.56706879596</v>
      </c>
    </row>
    <row r="110" spans="1:80" s="110" customFormat="1" ht="13.5" customHeight="1" x14ac:dyDescent="0.2">
      <c r="A110" s="24">
        <v>102</v>
      </c>
      <c r="B110" s="24">
        <v>176</v>
      </c>
      <c r="C110" s="25" t="s">
        <v>107</v>
      </c>
      <c r="D110" s="26">
        <v>100000</v>
      </c>
      <c r="E110" s="26">
        <f t="shared" ref="E110:G110" si="557">+F110-15000</f>
        <v>1475000</v>
      </c>
      <c r="F110" s="26">
        <f t="shared" si="557"/>
        <v>1490000</v>
      </c>
      <c r="G110" s="26">
        <f t="shared" si="557"/>
        <v>1505000</v>
      </c>
      <c r="H110" s="26">
        <f t="shared" ref="H110:O110" si="558">+I110-20000</f>
        <v>1520000</v>
      </c>
      <c r="I110" s="26">
        <f t="shared" si="558"/>
        <v>1540000</v>
      </c>
      <c r="J110" s="26">
        <f t="shared" si="558"/>
        <v>1560000</v>
      </c>
      <c r="K110" s="26">
        <f t="shared" si="558"/>
        <v>1580000</v>
      </c>
      <c r="L110" s="26">
        <f t="shared" si="558"/>
        <v>1600000</v>
      </c>
      <c r="M110" s="26">
        <f t="shared" si="558"/>
        <v>1620000</v>
      </c>
      <c r="N110" s="26">
        <f t="shared" si="558"/>
        <v>1640000</v>
      </c>
      <c r="O110" s="26">
        <f t="shared" si="558"/>
        <v>1660000</v>
      </c>
      <c r="P110" s="26">
        <v>1680000</v>
      </c>
      <c r="Q110" s="26">
        <v>120000</v>
      </c>
      <c r="R110" s="26">
        <f>+Q110+20000</f>
        <v>140000</v>
      </c>
      <c r="S110" s="26">
        <f t="shared" ref="S110:U110" si="559">+R110+20000</f>
        <v>160000</v>
      </c>
      <c r="T110" s="26">
        <f t="shared" si="559"/>
        <v>180000</v>
      </c>
      <c r="U110" s="26">
        <f t="shared" si="559"/>
        <v>200000</v>
      </c>
      <c r="V110" s="26">
        <v>0</v>
      </c>
      <c r="W110" s="26">
        <f>+V110+50000</f>
        <v>50000</v>
      </c>
      <c r="X110" s="26">
        <f t="shared" ref="X110:AA110" si="560">+W110+50000</f>
        <v>100000</v>
      </c>
      <c r="Y110" s="26">
        <f t="shared" si="560"/>
        <v>150000</v>
      </c>
      <c r="Z110" s="26">
        <f t="shared" si="560"/>
        <v>200000</v>
      </c>
      <c r="AA110" s="26">
        <f t="shared" si="560"/>
        <v>250000</v>
      </c>
      <c r="AB110" s="26">
        <v>300000</v>
      </c>
      <c r="AC110" s="26">
        <v>10000</v>
      </c>
      <c r="AD110" s="26">
        <v>10000</v>
      </c>
      <c r="AE110" s="26">
        <v>10000</v>
      </c>
      <c r="AF110" s="26">
        <v>10000</v>
      </c>
      <c r="AG110" s="26">
        <v>10000</v>
      </c>
      <c r="AH110" s="26">
        <v>10000</v>
      </c>
      <c r="AI110" s="26">
        <v>10000</v>
      </c>
      <c r="AJ110" s="26">
        <v>10000</v>
      </c>
      <c r="AK110" s="26">
        <v>10000</v>
      </c>
      <c r="AL110" s="26">
        <v>10000</v>
      </c>
      <c r="AM110" s="26">
        <v>10000</v>
      </c>
      <c r="AN110" s="26">
        <v>10000</v>
      </c>
      <c r="AO110" s="26">
        <f t="shared" si="382"/>
        <v>2090000</v>
      </c>
      <c r="AP110" s="27">
        <f t="shared" si="383"/>
        <v>650</v>
      </c>
      <c r="AQ110" s="27">
        <f t="shared" si="384"/>
        <v>750</v>
      </c>
      <c r="AR110" s="27">
        <f t="shared" si="385"/>
        <v>850</v>
      </c>
      <c r="AS110" s="27">
        <f t="shared" si="386"/>
        <v>950</v>
      </c>
      <c r="AT110" s="27">
        <f t="shared" si="387"/>
        <v>1050</v>
      </c>
      <c r="AU110" s="27">
        <f t="shared" si="388"/>
        <v>50</v>
      </c>
      <c r="AV110" s="27">
        <f t="shared" si="389"/>
        <v>300</v>
      </c>
      <c r="AW110" s="27">
        <f t="shared" si="390"/>
        <v>550</v>
      </c>
      <c r="AX110" s="27">
        <f t="shared" si="391"/>
        <v>800</v>
      </c>
      <c r="AY110" s="27">
        <f t="shared" si="392"/>
        <v>1050</v>
      </c>
      <c r="AZ110" s="27">
        <f t="shared" si="393"/>
        <v>1300</v>
      </c>
      <c r="BA110" s="27">
        <f t="shared" si="394"/>
        <v>1550</v>
      </c>
      <c r="BB110" s="27">
        <v>900000</v>
      </c>
      <c r="BC110" s="26">
        <v>250000</v>
      </c>
      <c r="BD110" s="27">
        <f t="shared" si="536"/>
        <v>9850</v>
      </c>
      <c r="BE110" s="28">
        <f t="shared" si="537"/>
        <v>3021.9175048556604</v>
      </c>
      <c r="BF110" s="28">
        <f t="shared" si="538"/>
        <v>2800.7421902631891</v>
      </c>
      <c r="BG110" s="28">
        <f t="shared" si="539"/>
        <v>8920.7628620925479</v>
      </c>
      <c r="BH110" s="28">
        <f t="shared" si="540"/>
        <v>14490.632448394475</v>
      </c>
      <c r="BI110" s="28">
        <f t="shared" si="541"/>
        <v>11274.887024641137</v>
      </c>
      <c r="BJ110" s="28">
        <f t="shared" si="542"/>
        <v>10432.839059259855</v>
      </c>
      <c r="BK110" s="28">
        <f t="shared" si="543"/>
        <v>7530.8702108898924</v>
      </c>
      <c r="BL110" s="28">
        <f t="shared" si="544"/>
        <v>13751.274169235316</v>
      </c>
      <c r="BM110" s="28">
        <f t="shared" si="545"/>
        <v>14508.795135458613</v>
      </c>
      <c r="BN110" s="28">
        <f t="shared" si="546"/>
        <v>12580.306551780366</v>
      </c>
      <c r="BO110" s="28">
        <f t="shared" si="547"/>
        <v>9420.0832267734568</v>
      </c>
      <c r="BP110" s="28">
        <f t="shared" si="548"/>
        <v>8525.863007118116</v>
      </c>
      <c r="BQ110" s="29">
        <f t="shared" si="395"/>
        <v>117258.97339076262</v>
      </c>
      <c r="BR110" s="26">
        <f t="shared" si="519"/>
        <v>196549.17656257635</v>
      </c>
      <c r="BS110" s="26">
        <f t="shared" si="396"/>
        <v>313808.14995333896</v>
      </c>
      <c r="BT110" s="26">
        <f t="shared" si="520"/>
        <v>323658.14995333896</v>
      </c>
      <c r="BU110" s="111">
        <f>AO110-100000</f>
        <v>1990000</v>
      </c>
      <c r="BV110" s="110">
        <v>82</v>
      </c>
    </row>
    <row r="111" spans="1:80" ht="13.5" customHeight="1" x14ac:dyDescent="0.2">
      <c r="A111" s="15">
        <v>103</v>
      </c>
      <c r="B111" s="15">
        <v>178</v>
      </c>
      <c r="C111" s="14" t="s">
        <v>108</v>
      </c>
      <c r="D111" s="8">
        <v>100000</v>
      </c>
      <c r="E111" s="8">
        <f t="shared" ref="E111:G111" si="561">+F111-15000</f>
        <v>1464000</v>
      </c>
      <c r="F111" s="8">
        <f t="shared" si="561"/>
        <v>1479000</v>
      </c>
      <c r="G111" s="8">
        <f t="shared" si="561"/>
        <v>1494000</v>
      </c>
      <c r="H111" s="8">
        <f t="shared" ref="H111:O111" si="562">+I111-20000</f>
        <v>1509000</v>
      </c>
      <c r="I111" s="8">
        <f t="shared" si="562"/>
        <v>1529000</v>
      </c>
      <c r="J111" s="8">
        <f t="shared" si="562"/>
        <v>1549000</v>
      </c>
      <c r="K111" s="8">
        <f t="shared" si="562"/>
        <v>1569000</v>
      </c>
      <c r="L111" s="8">
        <f t="shared" si="562"/>
        <v>1589000</v>
      </c>
      <c r="M111" s="8">
        <f t="shared" si="562"/>
        <v>1609000</v>
      </c>
      <c r="N111" s="8">
        <f t="shared" si="562"/>
        <v>1629000</v>
      </c>
      <c r="O111" s="8">
        <f t="shared" si="562"/>
        <v>1649000</v>
      </c>
      <c r="P111" s="8">
        <v>1669000</v>
      </c>
      <c r="Q111" s="8">
        <v>60000</v>
      </c>
      <c r="R111" s="8">
        <f>+Q111+10000</f>
        <v>70000</v>
      </c>
      <c r="S111" s="8">
        <f t="shared" ref="S111:AA111" si="563">+R111+10000</f>
        <v>80000</v>
      </c>
      <c r="T111" s="8">
        <f t="shared" si="563"/>
        <v>90000</v>
      </c>
      <c r="U111" s="8">
        <f t="shared" si="563"/>
        <v>100000</v>
      </c>
      <c r="V111" s="8">
        <v>0</v>
      </c>
      <c r="W111" s="8">
        <f t="shared" si="563"/>
        <v>10000</v>
      </c>
      <c r="X111" s="8">
        <f t="shared" si="563"/>
        <v>20000</v>
      </c>
      <c r="Y111" s="8">
        <f t="shared" si="563"/>
        <v>30000</v>
      </c>
      <c r="Z111" s="8">
        <f t="shared" si="563"/>
        <v>40000</v>
      </c>
      <c r="AA111" s="8">
        <f t="shared" si="563"/>
        <v>50000</v>
      </c>
      <c r="AB111" s="8">
        <v>60000</v>
      </c>
      <c r="AC111" s="8">
        <v>675500</v>
      </c>
      <c r="AD111" s="8">
        <f>+AC111+25000</f>
        <v>700500</v>
      </c>
      <c r="AE111" s="8">
        <f>+AD111+25000-500000</f>
        <v>225500</v>
      </c>
      <c r="AF111" s="8">
        <f t="shared" ref="AF111:AM111" si="564">+AE111+25000</f>
        <v>250500</v>
      </c>
      <c r="AG111" s="8">
        <f t="shared" si="564"/>
        <v>275500</v>
      </c>
      <c r="AH111" s="8">
        <f t="shared" si="564"/>
        <v>300500</v>
      </c>
      <c r="AI111" s="8">
        <f t="shared" si="564"/>
        <v>325500</v>
      </c>
      <c r="AJ111" s="8">
        <f t="shared" si="564"/>
        <v>350500</v>
      </c>
      <c r="AK111" s="8">
        <f t="shared" si="564"/>
        <v>375500</v>
      </c>
      <c r="AL111" s="8">
        <f t="shared" si="564"/>
        <v>400500</v>
      </c>
      <c r="AM111" s="8">
        <f t="shared" si="564"/>
        <v>425500</v>
      </c>
      <c r="AN111" s="8">
        <v>450500</v>
      </c>
      <c r="AO111" s="8">
        <f t="shared" si="382"/>
        <v>2279500</v>
      </c>
      <c r="AP111" s="16">
        <f t="shared" si="383"/>
        <v>3677.5</v>
      </c>
      <c r="AQ111" s="16">
        <f t="shared" si="384"/>
        <v>3852.5</v>
      </c>
      <c r="AR111" s="16">
        <f t="shared" si="385"/>
        <v>1527.5</v>
      </c>
      <c r="AS111" s="16">
        <f t="shared" si="386"/>
        <v>1702.5</v>
      </c>
      <c r="AT111" s="16">
        <f t="shared" si="387"/>
        <v>1877.5</v>
      </c>
      <c r="AU111" s="16">
        <f t="shared" si="388"/>
        <v>1502.5</v>
      </c>
      <c r="AV111" s="16">
        <f t="shared" si="389"/>
        <v>1677.5</v>
      </c>
      <c r="AW111" s="16">
        <f t="shared" si="390"/>
        <v>1852.5</v>
      </c>
      <c r="AX111" s="16">
        <f t="shared" si="391"/>
        <v>2027.5</v>
      </c>
      <c r="AY111" s="16">
        <f t="shared" si="392"/>
        <v>2202.5</v>
      </c>
      <c r="AZ111" s="16">
        <f t="shared" si="393"/>
        <v>2377.5</v>
      </c>
      <c r="BA111" s="16">
        <f t="shared" si="394"/>
        <v>2552.5</v>
      </c>
      <c r="BB111" s="16">
        <v>390000</v>
      </c>
      <c r="BC111" s="8">
        <v>0</v>
      </c>
      <c r="BD111" s="16">
        <f t="shared" si="536"/>
        <v>26830</v>
      </c>
      <c r="BE111" s="23">
        <f t="shared" si="537"/>
        <v>4075.6007638801125</v>
      </c>
      <c r="BF111" s="23">
        <f t="shared" si="538"/>
        <v>3781.8067678295188</v>
      </c>
      <c r="BG111" s="23">
        <f t="shared" si="539"/>
        <v>9546.4727079125605</v>
      </c>
      <c r="BH111" s="23">
        <f t="shared" si="540"/>
        <v>15607.451910577365</v>
      </c>
      <c r="BI111" s="23">
        <f t="shared" si="541"/>
        <v>12216.492454536843</v>
      </c>
      <c r="BJ111" s="23">
        <f t="shared" si="542"/>
        <v>12178.933979656938</v>
      </c>
      <c r="BK111" s="23">
        <f t="shared" si="543"/>
        <v>8675.649044671718</v>
      </c>
      <c r="BL111" s="23">
        <f t="shared" si="544"/>
        <v>15646.822735657532</v>
      </c>
      <c r="BM111" s="23">
        <f t="shared" si="545"/>
        <v>16318.535805280444</v>
      </c>
      <c r="BN111" s="23">
        <f t="shared" si="546"/>
        <v>13996.397468762823</v>
      </c>
      <c r="BO111" s="23">
        <f t="shared" si="547"/>
        <v>10373.750068295818</v>
      </c>
      <c r="BP111" s="23">
        <f t="shared" si="548"/>
        <v>9298.9017821654288</v>
      </c>
      <c r="BQ111" s="22">
        <f t="shared" si="395"/>
        <v>131716.81548922713</v>
      </c>
      <c r="BR111" s="8">
        <f t="shared" si="519"/>
        <v>85171.309843783092</v>
      </c>
      <c r="BS111" s="8">
        <f t="shared" si="396"/>
        <v>216888.12533301022</v>
      </c>
      <c r="BT111" s="8">
        <f t="shared" si="520"/>
        <v>243718.12533301022</v>
      </c>
    </row>
    <row r="112" spans="1:80" ht="13.5" customHeight="1" x14ac:dyDescent="0.2">
      <c r="A112" s="15">
        <v>104</v>
      </c>
      <c r="B112" s="15">
        <v>181</v>
      </c>
      <c r="C112" s="14" t="s">
        <v>109</v>
      </c>
      <c r="D112" s="8">
        <v>100000</v>
      </c>
      <c r="E112" s="8">
        <f t="shared" ref="E112:G112" si="565">+F112-25000</f>
        <v>1806000</v>
      </c>
      <c r="F112" s="8">
        <f t="shared" si="565"/>
        <v>1831000</v>
      </c>
      <c r="G112" s="8">
        <f t="shared" si="565"/>
        <v>1856000</v>
      </c>
      <c r="H112" s="8">
        <f t="shared" ref="H112:O112" si="566">+I112-50000</f>
        <v>1881000</v>
      </c>
      <c r="I112" s="8">
        <f t="shared" si="566"/>
        <v>1931000</v>
      </c>
      <c r="J112" s="8">
        <f t="shared" si="566"/>
        <v>1981000</v>
      </c>
      <c r="K112" s="8">
        <f t="shared" si="566"/>
        <v>2031000</v>
      </c>
      <c r="L112" s="8">
        <f t="shared" si="566"/>
        <v>2081000</v>
      </c>
      <c r="M112" s="8">
        <f t="shared" si="566"/>
        <v>2131000</v>
      </c>
      <c r="N112" s="8">
        <f t="shared" si="566"/>
        <v>2181000</v>
      </c>
      <c r="O112" s="8">
        <f t="shared" si="566"/>
        <v>2231000</v>
      </c>
      <c r="P112" s="8">
        <v>2281000</v>
      </c>
      <c r="Q112" s="8">
        <v>1200000</v>
      </c>
      <c r="R112" s="8">
        <f>+Q112+200000</f>
        <v>1400000</v>
      </c>
      <c r="S112" s="8">
        <f t="shared" ref="S112" si="567">+R112+200000</f>
        <v>1600000</v>
      </c>
      <c r="T112" s="8">
        <f t="shared" ref="T112" si="568">+S112+200000</f>
        <v>1800000</v>
      </c>
      <c r="U112" s="8">
        <f t="shared" ref="U112" si="569">+T112+200000</f>
        <v>2000000</v>
      </c>
      <c r="V112" s="8">
        <v>0</v>
      </c>
      <c r="W112" s="8">
        <f t="shared" ref="W112" si="570">+V112+200000</f>
        <v>200000</v>
      </c>
      <c r="X112" s="8">
        <f t="shared" ref="X112" si="571">+W112+200000</f>
        <v>400000</v>
      </c>
      <c r="Y112" s="8">
        <f t="shared" ref="Y112" si="572">+X112+200000</f>
        <v>600000</v>
      </c>
      <c r="Z112" s="8">
        <f t="shared" ref="Z112" si="573">+Y112+200000</f>
        <v>800000</v>
      </c>
      <c r="AA112" s="8">
        <f t="shared" ref="AA112" si="574">+Z112+200000</f>
        <v>1000000</v>
      </c>
      <c r="AB112" s="8">
        <v>1200000</v>
      </c>
      <c r="AC112" s="8">
        <v>425000</v>
      </c>
      <c r="AD112" s="8">
        <f>+AC112+50000</f>
        <v>475000</v>
      </c>
      <c r="AE112" s="8">
        <f t="shared" ref="AE112:AM112" si="575">+AD112+50000</f>
        <v>525000</v>
      </c>
      <c r="AF112" s="8">
        <f t="shared" si="575"/>
        <v>575000</v>
      </c>
      <c r="AG112" s="8">
        <f t="shared" si="575"/>
        <v>625000</v>
      </c>
      <c r="AH112" s="8">
        <f t="shared" si="575"/>
        <v>675000</v>
      </c>
      <c r="AI112" s="8">
        <f t="shared" si="575"/>
        <v>725000</v>
      </c>
      <c r="AJ112" s="8">
        <f t="shared" si="575"/>
        <v>775000</v>
      </c>
      <c r="AK112" s="8">
        <f t="shared" si="575"/>
        <v>825000</v>
      </c>
      <c r="AL112" s="8">
        <f t="shared" si="575"/>
        <v>875000</v>
      </c>
      <c r="AM112" s="8">
        <f t="shared" si="575"/>
        <v>925000</v>
      </c>
      <c r="AN112" s="8">
        <v>975000</v>
      </c>
      <c r="AO112" s="8">
        <f t="shared" si="382"/>
        <v>4556000</v>
      </c>
      <c r="AP112" s="16">
        <f t="shared" si="383"/>
        <v>8125</v>
      </c>
      <c r="AQ112" s="16">
        <f t="shared" si="384"/>
        <v>9375</v>
      </c>
      <c r="AR112" s="16">
        <f t="shared" si="385"/>
        <v>10625</v>
      </c>
      <c r="AS112" s="16">
        <f t="shared" si="386"/>
        <v>11875</v>
      </c>
      <c r="AT112" s="16">
        <f t="shared" si="387"/>
        <v>13125</v>
      </c>
      <c r="AU112" s="16">
        <f t="shared" si="388"/>
        <v>3375</v>
      </c>
      <c r="AV112" s="16">
        <f t="shared" si="389"/>
        <v>4625</v>
      </c>
      <c r="AW112" s="16">
        <f t="shared" si="390"/>
        <v>5875</v>
      </c>
      <c r="AX112" s="16">
        <f t="shared" si="391"/>
        <v>7125</v>
      </c>
      <c r="AY112" s="16">
        <f t="shared" si="392"/>
        <v>8375</v>
      </c>
      <c r="AZ112" s="16">
        <f t="shared" si="393"/>
        <v>9625</v>
      </c>
      <c r="BA112" s="16">
        <f t="shared" si="394"/>
        <v>10875</v>
      </c>
      <c r="BB112" s="16">
        <v>0</v>
      </c>
      <c r="BC112" s="8">
        <v>0</v>
      </c>
      <c r="BD112" s="16">
        <f t="shared" si="536"/>
        <v>103000</v>
      </c>
      <c r="BE112" s="23">
        <f t="shared" si="537"/>
        <v>6258.2936713462386</v>
      </c>
      <c r="BF112" s="23">
        <f t="shared" si="538"/>
        <v>6126.2211357136193</v>
      </c>
      <c r="BG112" s="23">
        <f t="shared" si="539"/>
        <v>20510.215909971655</v>
      </c>
      <c r="BH112" s="23">
        <f t="shared" si="540"/>
        <v>34873.58836751731</v>
      </c>
      <c r="BI112" s="23">
        <f t="shared" si="541"/>
        <v>28376.148100934668</v>
      </c>
      <c r="BJ112" s="23">
        <f t="shared" si="542"/>
        <v>17217.308052287521</v>
      </c>
      <c r="BK112" s="23">
        <f t="shared" si="543"/>
        <v>13226.631818666387</v>
      </c>
      <c r="BL112" s="23">
        <f t="shared" si="544"/>
        <v>25496.837630913658</v>
      </c>
      <c r="BM112" s="23">
        <f t="shared" si="545"/>
        <v>28214.976071934409</v>
      </c>
      <c r="BN112" s="23">
        <f t="shared" si="546"/>
        <v>25521.893701970836</v>
      </c>
      <c r="BO112" s="23">
        <f t="shared" si="547"/>
        <v>19847.462481756353</v>
      </c>
      <c r="BP112" s="23">
        <f t="shared" si="548"/>
        <v>18585.565483459395</v>
      </c>
      <c r="BQ112" s="22">
        <f t="shared" si="395"/>
        <v>244255.14242647204</v>
      </c>
      <c r="BR112" s="8">
        <f t="shared" si="519"/>
        <v>0</v>
      </c>
      <c r="BS112" s="8">
        <f t="shared" si="396"/>
        <v>244255.14242647204</v>
      </c>
      <c r="BT112" s="8">
        <f t="shared" si="520"/>
        <v>347255.14242647204</v>
      </c>
    </row>
    <row r="113" spans="1:74" ht="13.5" customHeight="1" x14ac:dyDescent="0.2">
      <c r="A113" s="15">
        <v>105</v>
      </c>
      <c r="B113" s="15">
        <v>183</v>
      </c>
      <c r="C113" s="14" t="s">
        <v>110</v>
      </c>
      <c r="D113" s="8">
        <v>100000</v>
      </c>
      <c r="E113" s="8">
        <f t="shared" ref="E113:G113" si="576">+F113-25000</f>
        <v>1779000</v>
      </c>
      <c r="F113" s="8">
        <f t="shared" si="576"/>
        <v>1804000</v>
      </c>
      <c r="G113" s="8">
        <f t="shared" si="576"/>
        <v>1829000</v>
      </c>
      <c r="H113" s="8">
        <f t="shared" ref="H113:O113" si="577">+I113-50000</f>
        <v>1854000</v>
      </c>
      <c r="I113" s="8">
        <f t="shared" si="577"/>
        <v>1904000</v>
      </c>
      <c r="J113" s="8">
        <f t="shared" si="577"/>
        <v>1954000</v>
      </c>
      <c r="K113" s="8">
        <f t="shared" si="577"/>
        <v>2004000</v>
      </c>
      <c r="L113" s="8">
        <f t="shared" si="577"/>
        <v>2054000</v>
      </c>
      <c r="M113" s="8">
        <f t="shared" si="577"/>
        <v>2104000</v>
      </c>
      <c r="N113" s="8">
        <f t="shared" si="577"/>
        <v>2154000</v>
      </c>
      <c r="O113" s="8">
        <f t="shared" si="577"/>
        <v>2204000</v>
      </c>
      <c r="P113" s="8">
        <v>2254000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>
        <v>0</v>
      </c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>
        <v>49000</v>
      </c>
      <c r="AO113" s="8">
        <f t="shared" si="382"/>
        <v>2403000</v>
      </c>
      <c r="AP113" s="16">
        <f t="shared" si="383"/>
        <v>0</v>
      </c>
      <c r="AQ113" s="16">
        <f t="shared" si="384"/>
        <v>0</v>
      </c>
      <c r="AR113" s="16">
        <f t="shared" si="385"/>
        <v>0</v>
      </c>
      <c r="AS113" s="16">
        <f t="shared" si="386"/>
        <v>0</v>
      </c>
      <c r="AT113" s="16">
        <f t="shared" si="387"/>
        <v>0</v>
      </c>
      <c r="AU113" s="16">
        <f t="shared" si="388"/>
        <v>0</v>
      </c>
      <c r="AV113" s="16">
        <f t="shared" si="389"/>
        <v>0</v>
      </c>
      <c r="AW113" s="16">
        <f t="shared" si="390"/>
        <v>0</v>
      </c>
      <c r="AX113" s="16">
        <f t="shared" si="391"/>
        <v>0</v>
      </c>
      <c r="AY113" s="16">
        <f t="shared" si="392"/>
        <v>0</v>
      </c>
      <c r="AZ113" s="16">
        <f t="shared" si="393"/>
        <v>0</v>
      </c>
      <c r="BA113" s="16">
        <f t="shared" si="394"/>
        <v>245</v>
      </c>
      <c r="BB113" s="16">
        <v>0</v>
      </c>
      <c r="BC113" s="8">
        <v>0</v>
      </c>
      <c r="BD113" s="16">
        <f t="shared" si="536"/>
        <v>245</v>
      </c>
      <c r="BE113" s="23">
        <f t="shared" si="537"/>
        <v>3330.312605057939</v>
      </c>
      <c r="BF113" s="23">
        <f t="shared" si="538"/>
        <v>3064.7201898052367</v>
      </c>
      <c r="BG113" s="23">
        <f t="shared" si="539"/>
        <v>9694.7332737895922</v>
      </c>
      <c r="BH113" s="23">
        <f t="shared" si="540"/>
        <v>15643.478344841329</v>
      </c>
      <c r="BI113" s="23">
        <f t="shared" si="541"/>
        <v>12213.445187773426</v>
      </c>
      <c r="BJ113" s="23">
        <f t="shared" si="542"/>
        <v>12831.767321987869</v>
      </c>
      <c r="BK113" s="23">
        <f t="shared" si="543"/>
        <v>9106.2936343174333</v>
      </c>
      <c r="BL113" s="23">
        <f t="shared" si="544"/>
        <v>16364.776000294403</v>
      </c>
      <c r="BM113" s="23">
        <f t="shared" si="545"/>
        <v>17009.247063058927</v>
      </c>
      <c r="BN113" s="23">
        <f t="shared" si="546"/>
        <v>14541.544086006639</v>
      </c>
      <c r="BO113" s="23">
        <f t="shared" si="547"/>
        <v>10744.490967567348</v>
      </c>
      <c r="BP113" s="23">
        <f t="shared" si="548"/>
        <v>9802.7027780405897</v>
      </c>
      <c r="BQ113" s="22">
        <f t="shared" si="395"/>
        <v>134347.51145254073</v>
      </c>
      <c r="BR113" s="8">
        <f t="shared" si="519"/>
        <v>0</v>
      </c>
      <c r="BS113" s="8">
        <f t="shared" si="396"/>
        <v>134347.51145254073</v>
      </c>
      <c r="BT113" s="8">
        <f t="shared" si="520"/>
        <v>134592.51145254073</v>
      </c>
    </row>
    <row r="114" spans="1:74" ht="13.5" customHeight="1" x14ac:dyDescent="0.2">
      <c r="A114" s="15">
        <v>106</v>
      </c>
      <c r="B114" s="15">
        <v>184</v>
      </c>
      <c r="C114" s="14" t="s">
        <v>111</v>
      </c>
      <c r="D114" s="8">
        <v>100000</v>
      </c>
      <c r="E114" s="8">
        <f t="shared" ref="E114:G114" si="578">+F114-15000</f>
        <v>1429000</v>
      </c>
      <c r="F114" s="8">
        <f t="shared" si="578"/>
        <v>1444000</v>
      </c>
      <c r="G114" s="8">
        <f t="shared" si="578"/>
        <v>1459000</v>
      </c>
      <c r="H114" s="8">
        <f t="shared" ref="H114:O114" si="579">+I114-20000</f>
        <v>1474000</v>
      </c>
      <c r="I114" s="8">
        <f t="shared" si="579"/>
        <v>1494000</v>
      </c>
      <c r="J114" s="8">
        <f t="shared" si="579"/>
        <v>1514000</v>
      </c>
      <c r="K114" s="8">
        <f t="shared" si="579"/>
        <v>1534000</v>
      </c>
      <c r="L114" s="8">
        <f t="shared" si="579"/>
        <v>1554000</v>
      </c>
      <c r="M114" s="8">
        <f t="shared" si="579"/>
        <v>1574000</v>
      </c>
      <c r="N114" s="8">
        <f t="shared" si="579"/>
        <v>1594000</v>
      </c>
      <c r="O114" s="8">
        <f t="shared" si="579"/>
        <v>1614000</v>
      </c>
      <c r="P114" s="8">
        <v>1634000</v>
      </c>
      <c r="Q114" s="8">
        <v>700000</v>
      </c>
      <c r="R114" s="8">
        <f>+Q114+100000</f>
        <v>800000</v>
      </c>
      <c r="S114" s="8">
        <f t="shared" ref="S114:W114" si="580">+R114+100000</f>
        <v>900000</v>
      </c>
      <c r="T114" s="8">
        <f t="shared" si="580"/>
        <v>1000000</v>
      </c>
      <c r="U114" s="8">
        <f t="shared" si="580"/>
        <v>1100000</v>
      </c>
      <c r="V114" s="8"/>
      <c r="W114" s="8">
        <f t="shared" si="580"/>
        <v>100000</v>
      </c>
      <c r="X114" s="8">
        <f>+W114+150000</f>
        <v>250000</v>
      </c>
      <c r="Y114" s="8">
        <f>+X114+250000</f>
        <v>500000</v>
      </c>
      <c r="Z114" s="8">
        <f t="shared" ref="Z114:AA114" si="581">+Y114+250000</f>
        <v>750000</v>
      </c>
      <c r="AA114" s="8">
        <f t="shared" si="581"/>
        <v>1000000</v>
      </c>
      <c r="AB114" s="8">
        <v>1250000</v>
      </c>
      <c r="AC114" s="8">
        <v>1920000</v>
      </c>
      <c r="AD114" s="8">
        <f>+AC114+35000</f>
        <v>1955000</v>
      </c>
      <c r="AE114" s="8">
        <f>+AD114+35000</f>
        <v>1990000</v>
      </c>
      <c r="AF114" s="8">
        <f>+AE114+30000</f>
        <v>2020000</v>
      </c>
      <c r="AG114" s="8">
        <f t="shared" ref="AG114:AM114" si="582">+AF114+30000</f>
        <v>2050000</v>
      </c>
      <c r="AH114" s="8">
        <f t="shared" si="582"/>
        <v>2080000</v>
      </c>
      <c r="AI114" s="8">
        <f t="shared" si="582"/>
        <v>2110000</v>
      </c>
      <c r="AJ114" s="8">
        <f t="shared" si="582"/>
        <v>2140000</v>
      </c>
      <c r="AK114" s="8">
        <f t="shared" si="582"/>
        <v>2170000</v>
      </c>
      <c r="AL114" s="8">
        <f t="shared" si="582"/>
        <v>2200000</v>
      </c>
      <c r="AM114" s="8">
        <f t="shared" si="582"/>
        <v>2230000</v>
      </c>
      <c r="AN114" s="8">
        <v>2260000</v>
      </c>
      <c r="AO114" s="8">
        <f t="shared" si="382"/>
        <v>5244000</v>
      </c>
      <c r="AP114" s="16">
        <f t="shared" si="383"/>
        <v>13100</v>
      </c>
      <c r="AQ114" s="16">
        <f t="shared" si="384"/>
        <v>13775</v>
      </c>
      <c r="AR114" s="16">
        <f t="shared" si="385"/>
        <v>14450</v>
      </c>
      <c r="AS114" s="16">
        <f t="shared" si="386"/>
        <v>15100</v>
      </c>
      <c r="AT114" s="16">
        <f t="shared" si="387"/>
        <v>15750</v>
      </c>
      <c r="AU114" s="16">
        <f t="shared" si="388"/>
        <v>10400</v>
      </c>
      <c r="AV114" s="16">
        <f t="shared" si="389"/>
        <v>11050</v>
      </c>
      <c r="AW114" s="16">
        <f t="shared" si="390"/>
        <v>11950</v>
      </c>
      <c r="AX114" s="16">
        <f t="shared" si="391"/>
        <v>13350</v>
      </c>
      <c r="AY114" s="16">
        <f t="shared" si="392"/>
        <v>14750</v>
      </c>
      <c r="AZ114" s="16">
        <f t="shared" si="393"/>
        <v>16150</v>
      </c>
      <c r="BA114" s="16">
        <f t="shared" si="394"/>
        <v>17550</v>
      </c>
      <c r="BB114" s="16">
        <v>0</v>
      </c>
      <c r="BC114" s="8">
        <v>0</v>
      </c>
      <c r="BD114" s="16">
        <f t="shared" si="536"/>
        <v>167375</v>
      </c>
      <c r="BE114" s="23">
        <f t="shared" si="537"/>
        <v>7353.6279927543319</v>
      </c>
      <c r="BF114" s="23">
        <f t="shared" si="538"/>
        <v>6919.7647562881893</v>
      </c>
      <c r="BG114" s="23">
        <f t="shared" si="539"/>
        <v>22359.703647013943</v>
      </c>
      <c r="BH114" s="23">
        <f t="shared" si="540"/>
        <v>36778.986446366973</v>
      </c>
      <c r="BI114" s="23">
        <f t="shared" si="541"/>
        <v>28912.467051295975</v>
      </c>
      <c r="BJ114" s="23">
        <f t="shared" si="542"/>
        <v>23077.190110722098</v>
      </c>
      <c r="BK114" s="23">
        <f t="shared" si="543"/>
        <v>16637.163845207328</v>
      </c>
      <c r="BL114" s="23">
        <f t="shared" si="544"/>
        <v>30723.841293031834</v>
      </c>
      <c r="BM114" s="23">
        <f t="shared" si="545"/>
        <v>33524.577695974578</v>
      </c>
      <c r="BN114" s="23">
        <f t="shared" si="546"/>
        <v>29960.483911009243</v>
      </c>
      <c r="BO114" s="23">
        <f t="shared" si="547"/>
        <v>23055.886867904934</v>
      </c>
      <c r="BP114" s="23">
        <f t="shared" si="548"/>
        <v>21392.165363314543</v>
      </c>
      <c r="BQ114" s="22">
        <f t="shared" si="395"/>
        <v>280695.85898088402</v>
      </c>
      <c r="BR114" s="8">
        <f t="shared" si="519"/>
        <v>0</v>
      </c>
      <c r="BS114" s="8">
        <f t="shared" si="396"/>
        <v>280695.85898088402</v>
      </c>
      <c r="BT114" s="8">
        <f t="shared" si="520"/>
        <v>448070.85898088402</v>
      </c>
    </row>
    <row r="115" spans="1:74" ht="13.5" customHeight="1" x14ac:dyDescent="0.2">
      <c r="A115" s="15">
        <v>107</v>
      </c>
      <c r="B115" s="15">
        <v>186</v>
      </c>
      <c r="C115" s="14" t="s">
        <v>112</v>
      </c>
      <c r="D115" s="8">
        <v>100000</v>
      </c>
      <c r="E115" s="8">
        <f t="shared" ref="E115:G115" si="583">+F115-15000</f>
        <v>1429000</v>
      </c>
      <c r="F115" s="8">
        <f t="shared" si="583"/>
        <v>1444000</v>
      </c>
      <c r="G115" s="8">
        <f t="shared" si="583"/>
        <v>1459000</v>
      </c>
      <c r="H115" s="8">
        <f t="shared" ref="H115:O115" si="584">+I115-20000</f>
        <v>1474000</v>
      </c>
      <c r="I115" s="8">
        <f t="shared" si="584"/>
        <v>1494000</v>
      </c>
      <c r="J115" s="8">
        <f t="shared" si="584"/>
        <v>1514000</v>
      </c>
      <c r="K115" s="8">
        <f t="shared" si="584"/>
        <v>1534000</v>
      </c>
      <c r="L115" s="8">
        <f t="shared" si="584"/>
        <v>1554000</v>
      </c>
      <c r="M115" s="8">
        <f t="shared" si="584"/>
        <v>1574000</v>
      </c>
      <c r="N115" s="8">
        <f t="shared" si="584"/>
        <v>1594000</v>
      </c>
      <c r="O115" s="8">
        <f t="shared" si="584"/>
        <v>1614000</v>
      </c>
      <c r="P115" s="8">
        <v>1634000</v>
      </c>
      <c r="Q115" s="8">
        <v>6000000</v>
      </c>
      <c r="R115" s="8">
        <f>+Q115+1000000</f>
        <v>7000000</v>
      </c>
      <c r="S115" s="8">
        <f>+R115+200000</f>
        <v>7200000</v>
      </c>
      <c r="T115" s="8">
        <f t="shared" ref="T115" si="585">+S115+200000</f>
        <v>7400000</v>
      </c>
      <c r="U115" s="8">
        <f>+T115+25000</f>
        <v>7425000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80000</v>
      </c>
      <c r="AB115" s="8">
        <v>155000</v>
      </c>
      <c r="AC115" s="8">
        <v>17573000</v>
      </c>
      <c r="AD115" s="8">
        <f>+AC115+85000</f>
        <v>17658000</v>
      </c>
      <c r="AE115" s="8">
        <f>+AD115+35000</f>
        <v>17693000</v>
      </c>
      <c r="AF115" s="8">
        <f>+AE115+35000</f>
        <v>17728000</v>
      </c>
      <c r="AG115" s="8">
        <v>17728000</v>
      </c>
      <c r="AH115" s="8">
        <f>+AG115+30000</f>
        <v>17758000</v>
      </c>
      <c r="AI115" s="8">
        <f>+AH115+25000</f>
        <v>17783000</v>
      </c>
      <c r="AJ115" s="8">
        <v>16783000</v>
      </c>
      <c r="AK115" s="8">
        <v>16783000</v>
      </c>
      <c r="AL115" s="8">
        <v>16783000</v>
      </c>
      <c r="AM115" s="8">
        <v>16783000</v>
      </c>
      <c r="AN115" s="8">
        <v>16783000</v>
      </c>
      <c r="AO115" s="8">
        <f t="shared" si="382"/>
        <v>18672000</v>
      </c>
      <c r="AP115" s="16">
        <f t="shared" si="383"/>
        <v>117865</v>
      </c>
      <c r="AQ115" s="16">
        <f t="shared" si="384"/>
        <v>123290</v>
      </c>
      <c r="AR115" s="16">
        <f t="shared" si="385"/>
        <v>124465</v>
      </c>
      <c r="AS115" s="16">
        <f t="shared" si="386"/>
        <v>125640</v>
      </c>
      <c r="AT115" s="16">
        <f t="shared" si="387"/>
        <v>125765</v>
      </c>
      <c r="AU115" s="16">
        <f t="shared" si="388"/>
        <v>88790</v>
      </c>
      <c r="AV115" s="16">
        <f t="shared" si="389"/>
        <v>88915</v>
      </c>
      <c r="AW115" s="16">
        <f t="shared" si="390"/>
        <v>83915</v>
      </c>
      <c r="AX115" s="16">
        <f t="shared" si="391"/>
        <v>83915</v>
      </c>
      <c r="AY115" s="16">
        <f t="shared" si="392"/>
        <v>83915</v>
      </c>
      <c r="AZ115" s="16">
        <f t="shared" si="393"/>
        <v>84315</v>
      </c>
      <c r="BA115" s="16">
        <f t="shared" si="394"/>
        <v>84690</v>
      </c>
      <c r="BB115" s="16">
        <v>0</v>
      </c>
      <c r="BC115" s="8">
        <v>0</v>
      </c>
      <c r="BD115" s="16">
        <f t="shared" si="536"/>
        <v>1215480</v>
      </c>
      <c r="BE115" s="23">
        <f t="shared" si="537"/>
        <v>44490.424168262049</v>
      </c>
      <c r="BF115" s="23">
        <f t="shared" si="538"/>
        <v>42175.314292687399</v>
      </c>
      <c r="BG115" s="23">
        <f t="shared" si="539"/>
        <v>132941.98266370257</v>
      </c>
      <c r="BH115" s="23">
        <f t="shared" si="540"/>
        <v>213772.85504808248</v>
      </c>
      <c r="BI115" s="23">
        <f t="shared" si="541"/>
        <v>163010.48824220352</v>
      </c>
      <c r="BJ115" s="23">
        <f t="shared" si="542"/>
        <v>121020.93308741432</v>
      </c>
      <c r="BK115" s="23">
        <f t="shared" si="543"/>
        <v>84038.452232671858</v>
      </c>
      <c r="BL115" s="23">
        <f t="shared" si="544"/>
        <v>140073.06180010582</v>
      </c>
      <c r="BM115" s="23">
        <f t="shared" si="545"/>
        <v>142440.86798678702</v>
      </c>
      <c r="BN115" s="23">
        <f t="shared" si="546"/>
        <v>119203.24315756197</v>
      </c>
      <c r="BO115" s="23">
        <f t="shared" si="547"/>
        <v>86632.121833549754</v>
      </c>
      <c r="BP115" s="23">
        <f t="shared" si="548"/>
        <v>76169.815343975817</v>
      </c>
      <c r="BQ115" s="22">
        <f t="shared" si="395"/>
        <v>1365969.5598570046</v>
      </c>
      <c r="BR115" s="8">
        <f t="shared" si="519"/>
        <v>0</v>
      </c>
      <c r="BS115" s="8">
        <f t="shared" si="396"/>
        <v>1365969.5598570046</v>
      </c>
      <c r="BT115" s="8">
        <f t="shared" si="520"/>
        <v>2581449.5598570043</v>
      </c>
    </row>
    <row r="116" spans="1:74" ht="13.5" customHeight="1" x14ac:dyDescent="0.2">
      <c r="A116" s="15">
        <v>108</v>
      </c>
      <c r="B116" s="15">
        <v>187</v>
      </c>
      <c r="C116" s="14" t="s">
        <v>113</v>
      </c>
      <c r="D116" s="8">
        <v>100000</v>
      </c>
      <c r="E116" s="8">
        <f t="shared" ref="E116:G116" si="586">+F116-25000</f>
        <v>1799000</v>
      </c>
      <c r="F116" s="8">
        <f t="shared" si="586"/>
        <v>1824000</v>
      </c>
      <c r="G116" s="8">
        <f t="shared" si="586"/>
        <v>1849000</v>
      </c>
      <c r="H116" s="8">
        <f t="shared" ref="H116:O116" si="587">+I116-50000</f>
        <v>1874000</v>
      </c>
      <c r="I116" s="8">
        <f t="shared" si="587"/>
        <v>1924000</v>
      </c>
      <c r="J116" s="8">
        <f t="shared" si="587"/>
        <v>1974000</v>
      </c>
      <c r="K116" s="8">
        <f t="shared" si="587"/>
        <v>2024000</v>
      </c>
      <c r="L116" s="8">
        <f t="shared" si="587"/>
        <v>2074000</v>
      </c>
      <c r="M116" s="8">
        <f t="shared" si="587"/>
        <v>2124000</v>
      </c>
      <c r="N116" s="8">
        <f t="shared" si="587"/>
        <v>2174000</v>
      </c>
      <c r="O116" s="8">
        <f t="shared" si="587"/>
        <v>2224000</v>
      </c>
      <c r="P116" s="8">
        <v>2274000</v>
      </c>
      <c r="Q116" s="8">
        <v>900000</v>
      </c>
      <c r="R116" s="8">
        <f>+Q116+150000</f>
        <v>1050000</v>
      </c>
      <c r="S116" s="8">
        <f t="shared" ref="S116:U116" si="588">+R116+150000</f>
        <v>1200000</v>
      </c>
      <c r="T116" s="8">
        <f t="shared" si="588"/>
        <v>1350000</v>
      </c>
      <c r="U116" s="8">
        <f t="shared" si="588"/>
        <v>1500000</v>
      </c>
      <c r="V116" s="8">
        <v>0</v>
      </c>
      <c r="W116" s="8">
        <f>+V116+150000</f>
        <v>150000</v>
      </c>
      <c r="X116" s="8">
        <f t="shared" ref="X116:AA116" si="589">+W116+150000</f>
        <v>300000</v>
      </c>
      <c r="Y116" s="8">
        <f t="shared" si="589"/>
        <v>450000</v>
      </c>
      <c r="Z116" s="8">
        <f t="shared" si="589"/>
        <v>600000</v>
      </c>
      <c r="AA116" s="8">
        <f t="shared" si="589"/>
        <v>750000</v>
      </c>
      <c r="AB116" s="8">
        <v>900000</v>
      </c>
      <c r="AC116" s="8">
        <v>102000</v>
      </c>
      <c r="AD116" s="8">
        <f>+AC116+25000</f>
        <v>127000</v>
      </c>
      <c r="AE116" s="8">
        <f>+AD116+25000-150000</f>
        <v>2000</v>
      </c>
      <c r="AF116" s="8">
        <f t="shared" ref="AF116:AM116" si="590">+AE116+25000</f>
        <v>27000</v>
      </c>
      <c r="AG116" s="8">
        <f t="shared" si="590"/>
        <v>52000</v>
      </c>
      <c r="AH116" s="8">
        <f t="shared" si="590"/>
        <v>77000</v>
      </c>
      <c r="AI116" s="8">
        <f t="shared" si="590"/>
        <v>102000</v>
      </c>
      <c r="AJ116" s="8">
        <f t="shared" si="590"/>
        <v>127000</v>
      </c>
      <c r="AK116" s="8">
        <f t="shared" si="590"/>
        <v>152000</v>
      </c>
      <c r="AL116" s="8">
        <f t="shared" si="590"/>
        <v>177000</v>
      </c>
      <c r="AM116" s="8">
        <f t="shared" si="590"/>
        <v>202000</v>
      </c>
      <c r="AN116" s="8">
        <v>27000</v>
      </c>
      <c r="AO116" s="8">
        <f t="shared" si="382"/>
        <v>3301000</v>
      </c>
      <c r="AP116" s="16">
        <f t="shared" si="383"/>
        <v>5010</v>
      </c>
      <c r="AQ116" s="16">
        <f t="shared" si="384"/>
        <v>5885</v>
      </c>
      <c r="AR116" s="16">
        <f t="shared" si="385"/>
        <v>6010</v>
      </c>
      <c r="AS116" s="16">
        <f t="shared" si="386"/>
        <v>6885</v>
      </c>
      <c r="AT116" s="16">
        <f t="shared" si="387"/>
        <v>7760</v>
      </c>
      <c r="AU116" s="16">
        <f t="shared" si="388"/>
        <v>385</v>
      </c>
      <c r="AV116" s="16">
        <f t="shared" si="389"/>
        <v>1260</v>
      </c>
      <c r="AW116" s="16">
        <f t="shared" si="390"/>
        <v>2135</v>
      </c>
      <c r="AX116" s="16">
        <f t="shared" si="391"/>
        <v>3010</v>
      </c>
      <c r="AY116" s="16">
        <f t="shared" si="392"/>
        <v>3885</v>
      </c>
      <c r="AZ116" s="16">
        <f t="shared" si="393"/>
        <v>4760</v>
      </c>
      <c r="BA116" s="16">
        <f t="shared" si="394"/>
        <v>4635</v>
      </c>
      <c r="BB116" s="16">
        <v>0</v>
      </c>
      <c r="BC116" s="8">
        <v>0</v>
      </c>
      <c r="BD116" s="16">
        <f t="shared" si="536"/>
        <v>51620</v>
      </c>
      <c r="BE116" s="23">
        <f t="shared" si="537"/>
        <v>5141.6907223379894</v>
      </c>
      <c r="BF116" s="23">
        <f t="shared" si="538"/>
        <v>4991.4376620724997</v>
      </c>
      <c r="BG116" s="23">
        <f t="shared" si="539"/>
        <v>15836.238748424574</v>
      </c>
      <c r="BH116" s="23">
        <f t="shared" si="540"/>
        <v>26827.684715231982</v>
      </c>
      <c r="BI116" s="23">
        <f t="shared" si="541"/>
        <v>21794.051891954976</v>
      </c>
      <c r="BJ116" s="23">
        <f t="shared" si="542"/>
        <v>13437.746596687393</v>
      </c>
      <c r="BK116" s="23">
        <f t="shared" si="543"/>
        <v>10283.533115559991</v>
      </c>
      <c r="BL116" s="23">
        <f t="shared" si="544"/>
        <v>19760.808902862464</v>
      </c>
      <c r="BM116" s="23">
        <f t="shared" si="545"/>
        <v>21809.49736851385</v>
      </c>
      <c r="BN116" s="23">
        <f t="shared" si="546"/>
        <v>19683.341174093282</v>
      </c>
      <c r="BO116" s="23">
        <f t="shared" si="547"/>
        <v>15277.323094509822</v>
      </c>
      <c r="BP116" s="23">
        <f t="shared" si="548"/>
        <v>13465.968318898038</v>
      </c>
      <c r="BQ116" s="22">
        <f t="shared" si="395"/>
        <v>188309.32231114685</v>
      </c>
      <c r="BR116" s="8">
        <f t="shared" si="519"/>
        <v>0</v>
      </c>
      <c r="BS116" s="8">
        <f t="shared" si="396"/>
        <v>188309.32231114685</v>
      </c>
      <c r="BT116" s="8">
        <f t="shared" si="520"/>
        <v>239929.32231114685</v>
      </c>
    </row>
    <row r="117" spans="1:74" ht="13.5" customHeight="1" x14ac:dyDescent="0.2">
      <c r="A117" s="15">
        <v>109</v>
      </c>
      <c r="B117" s="15">
        <v>188</v>
      </c>
      <c r="C117" s="14" t="s">
        <v>114</v>
      </c>
      <c r="D117" s="8">
        <v>100000</v>
      </c>
      <c r="E117" s="8">
        <f t="shared" ref="E117:G117" si="591">+F117-25000</f>
        <v>1795000</v>
      </c>
      <c r="F117" s="8">
        <f t="shared" si="591"/>
        <v>1820000</v>
      </c>
      <c r="G117" s="8">
        <f t="shared" si="591"/>
        <v>1845000</v>
      </c>
      <c r="H117" s="8">
        <f t="shared" ref="H117:O117" si="592">+I117-50000</f>
        <v>1870000</v>
      </c>
      <c r="I117" s="8">
        <f t="shared" si="592"/>
        <v>1920000</v>
      </c>
      <c r="J117" s="8">
        <f t="shared" si="592"/>
        <v>1970000</v>
      </c>
      <c r="K117" s="8">
        <f t="shared" si="592"/>
        <v>2020000</v>
      </c>
      <c r="L117" s="8">
        <f t="shared" si="592"/>
        <v>2070000</v>
      </c>
      <c r="M117" s="8">
        <f t="shared" si="592"/>
        <v>2120000</v>
      </c>
      <c r="N117" s="8">
        <f t="shared" si="592"/>
        <v>2170000</v>
      </c>
      <c r="O117" s="8">
        <f t="shared" si="592"/>
        <v>2220000</v>
      </c>
      <c r="P117" s="8">
        <v>2270000</v>
      </c>
      <c r="Q117" s="8">
        <v>700000</v>
      </c>
      <c r="R117" s="8">
        <f>+Q117+100000</f>
        <v>800000</v>
      </c>
      <c r="S117" s="8">
        <f t="shared" ref="S117:AA117" si="593">+R117+100000</f>
        <v>900000</v>
      </c>
      <c r="T117" s="8">
        <f t="shared" si="593"/>
        <v>1000000</v>
      </c>
      <c r="U117" s="8">
        <f t="shared" si="593"/>
        <v>1100000</v>
      </c>
      <c r="V117" s="8">
        <v>0</v>
      </c>
      <c r="W117" s="8">
        <f t="shared" si="593"/>
        <v>100000</v>
      </c>
      <c r="X117" s="8">
        <f t="shared" si="593"/>
        <v>200000</v>
      </c>
      <c r="Y117" s="8">
        <f t="shared" si="593"/>
        <v>300000</v>
      </c>
      <c r="Z117" s="8">
        <f t="shared" si="593"/>
        <v>400000</v>
      </c>
      <c r="AA117" s="8">
        <f t="shared" si="593"/>
        <v>500000</v>
      </c>
      <c r="AB117" s="8">
        <v>600000</v>
      </c>
      <c r="AC117" s="8">
        <v>1043000</v>
      </c>
      <c r="AD117" s="8">
        <f>+AC117+50000</f>
        <v>1093000</v>
      </c>
      <c r="AE117" s="8">
        <f t="shared" ref="AE117:AM117" si="594">+AD117+50000</f>
        <v>1143000</v>
      </c>
      <c r="AF117" s="8">
        <f t="shared" si="594"/>
        <v>1193000</v>
      </c>
      <c r="AG117" s="8">
        <f t="shared" si="594"/>
        <v>1243000</v>
      </c>
      <c r="AH117" s="8">
        <f t="shared" si="594"/>
        <v>1293000</v>
      </c>
      <c r="AI117" s="8">
        <f t="shared" si="594"/>
        <v>1343000</v>
      </c>
      <c r="AJ117" s="8">
        <f t="shared" si="594"/>
        <v>1393000</v>
      </c>
      <c r="AK117" s="8">
        <f t="shared" si="594"/>
        <v>1443000</v>
      </c>
      <c r="AL117" s="8">
        <f t="shared" si="594"/>
        <v>1493000</v>
      </c>
      <c r="AM117" s="8">
        <f t="shared" si="594"/>
        <v>1543000</v>
      </c>
      <c r="AN117" s="8">
        <v>1593000</v>
      </c>
      <c r="AO117" s="8">
        <f t="shared" si="382"/>
        <v>4563000</v>
      </c>
      <c r="AP117" s="16">
        <f t="shared" si="383"/>
        <v>8715</v>
      </c>
      <c r="AQ117" s="16">
        <f t="shared" si="384"/>
        <v>9465</v>
      </c>
      <c r="AR117" s="16">
        <f t="shared" si="385"/>
        <v>10215</v>
      </c>
      <c r="AS117" s="16">
        <f t="shared" si="386"/>
        <v>10965</v>
      </c>
      <c r="AT117" s="16">
        <f t="shared" si="387"/>
        <v>11715</v>
      </c>
      <c r="AU117" s="16">
        <f t="shared" si="388"/>
        <v>6465</v>
      </c>
      <c r="AV117" s="16">
        <f t="shared" si="389"/>
        <v>7215</v>
      </c>
      <c r="AW117" s="16">
        <f t="shared" si="390"/>
        <v>7965</v>
      </c>
      <c r="AX117" s="16">
        <f t="shared" si="391"/>
        <v>8715</v>
      </c>
      <c r="AY117" s="16">
        <f t="shared" si="392"/>
        <v>9465</v>
      </c>
      <c r="AZ117" s="16">
        <f t="shared" si="393"/>
        <v>10215</v>
      </c>
      <c r="BA117" s="16">
        <f t="shared" si="394"/>
        <v>10965</v>
      </c>
      <c r="BB117" s="16">
        <v>450000</v>
      </c>
      <c r="BC117" s="8">
        <v>0</v>
      </c>
      <c r="BD117" s="16">
        <f t="shared" si="536"/>
        <v>112080</v>
      </c>
      <c r="BE117" s="23">
        <f t="shared" si="537"/>
        <v>6447.9389341143069</v>
      </c>
      <c r="BF117" s="23">
        <f t="shared" si="538"/>
        <v>6137.4884893526087</v>
      </c>
      <c r="BG117" s="23">
        <f t="shared" si="539"/>
        <v>20042.818193816947</v>
      </c>
      <c r="BH117" s="23">
        <f t="shared" si="540"/>
        <v>33328.454631307293</v>
      </c>
      <c r="BI117" s="23">
        <f t="shared" si="541"/>
        <v>26590.449777572583</v>
      </c>
      <c r="BJ117" s="23">
        <f t="shared" si="542"/>
        <v>21009.363925922691</v>
      </c>
      <c r="BK117" s="23">
        <f t="shared" si="543"/>
        <v>15420.971587011889</v>
      </c>
      <c r="BL117" s="23">
        <f t="shared" si="544"/>
        <v>28588.974971730659</v>
      </c>
      <c r="BM117" s="23">
        <f t="shared" si="545"/>
        <v>30584.231447777915</v>
      </c>
      <c r="BN117" s="23">
        <f t="shared" si="546"/>
        <v>26857.341628236751</v>
      </c>
      <c r="BO117" s="23">
        <f t="shared" si="547"/>
        <v>20346.447088323064</v>
      </c>
      <c r="BP117" s="23">
        <f t="shared" si="548"/>
        <v>18614.121005492805</v>
      </c>
      <c r="BQ117" s="22">
        <f t="shared" si="395"/>
        <v>253968.60168065954</v>
      </c>
      <c r="BR117" s="8">
        <f t="shared" si="519"/>
        <v>98274.588281288175</v>
      </c>
      <c r="BS117" s="8">
        <f t="shared" si="396"/>
        <v>352243.18996194773</v>
      </c>
      <c r="BT117" s="8">
        <f t="shared" si="520"/>
        <v>464323.18996194773</v>
      </c>
    </row>
    <row r="118" spans="1:74" ht="13.5" customHeight="1" x14ac:dyDescent="0.2">
      <c r="A118" s="15">
        <v>110</v>
      </c>
      <c r="B118" s="15">
        <v>189</v>
      </c>
      <c r="C118" s="14" t="s">
        <v>115</v>
      </c>
      <c r="D118" s="8">
        <v>100000</v>
      </c>
      <c r="E118" s="8">
        <f t="shared" ref="E118:G118" si="595">+F118-25000</f>
        <v>1792000</v>
      </c>
      <c r="F118" s="8">
        <f t="shared" si="595"/>
        <v>1817000</v>
      </c>
      <c r="G118" s="8">
        <f t="shared" si="595"/>
        <v>1842000</v>
      </c>
      <c r="H118" s="8">
        <f t="shared" ref="H118:O118" si="596">+I118-50000</f>
        <v>1867000</v>
      </c>
      <c r="I118" s="8">
        <f t="shared" si="596"/>
        <v>1917000</v>
      </c>
      <c r="J118" s="8">
        <f t="shared" si="596"/>
        <v>1967000</v>
      </c>
      <c r="K118" s="8">
        <f t="shared" si="596"/>
        <v>2017000</v>
      </c>
      <c r="L118" s="8">
        <f t="shared" si="596"/>
        <v>2067000</v>
      </c>
      <c r="M118" s="8">
        <f t="shared" si="596"/>
        <v>2117000</v>
      </c>
      <c r="N118" s="8">
        <f t="shared" si="596"/>
        <v>2167000</v>
      </c>
      <c r="O118" s="8">
        <f t="shared" si="596"/>
        <v>2217000</v>
      </c>
      <c r="P118" s="8">
        <v>2267000</v>
      </c>
      <c r="Q118" s="8">
        <v>780000</v>
      </c>
      <c r="R118" s="8">
        <f>+Q118+130000</f>
        <v>910000</v>
      </c>
      <c r="S118" s="8">
        <f t="shared" ref="S118:AA118" si="597">+R118+130000</f>
        <v>1040000</v>
      </c>
      <c r="T118" s="8">
        <f t="shared" si="597"/>
        <v>1170000</v>
      </c>
      <c r="U118" s="8">
        <f t="shared" si="597"/>
        <v>1300000</v>
      </c>
      <c r="V118" s="8">
        <v>0</v>
      </c>
      <c r="W118" s="8">
        <f t="shared" si="597"/>
        <v>130000</v>
      </c>
      <c r="X118" s="8">
        <f t="shared" si="597"/>
        <v>260000</v>
      </c>
      <c r="Y118" s="8">
        <f t="shared" si="597"/>
        <v>390000</v>
      </c>
      <c r="Z118" s="8">
        <f t="shared" si="597"/>
        <v>520000</v>
      </c>
      <c r="AA118" s="8">
        <f t="shared" si="597"/>
        <v>650000</v>
      </c>
      <c r="AB118" s="8">
        <v>780000</v>
      </c>
      <c r="AC118" s="8">
        <v>7695000</v>
      </c>
      <c r="AD118" s="8">
        <f>+AC118+10000+2500000</f>
        <v>10205000</v>
      </c>
      <c r="AE118" s="8">
        <f t="shared" ref="AE118:AM118" si="598">+AD118+10000</f>
        <v>10215000</v>
      </c>
      <c r="AF118" s="8">
        <f>+AE118+10000+10000000</f>
        <v>20225000</v>
      </c>
      <c r="AG118" s="8">
        <f t="shared" si="598"/>
        <v>20235000</v>
      </c>
      <c r="AH118" s="8">
        <f>+AG118+10000-9000000</f>
        <v>11245000</v>
      </c>
      <c r="AI118" s="8">
        <f t="shared" si="598"/>
        <v>11255000</v>
      </c>
      <c r="AJ118" s="8">
        <f t="shared" si="598"/>
        <v>11265000</v>
      </c>
      <c r="AK118" s="8">
        <f>+AJ118+10000-1000000</f>
        <v>10275000</v>
      </c>
      <c r="AL118" s="8">
        <f t="shared" si="598"/>
        <v>10285000</v>
      </c>
      <c r="AM118" s="8">
        <f t="shared" si="598"/>
        <v>10295000</v>
      </c>
      <c r="AN118" s="8">
        <v>20305000</v>
      </c>
      <c r="AO118" s="8">
        <f t="shared" si="382"/>
        <v>23452000</v>
      </c>
      <c r="AP118" s="16">
        <f t="shared" si="383"/>
        <v>42375</v>
      </c>
      <c r="AQ118" s="16">
        <f t="shared" si="384"/>
        <v>55575</v>
      </c>
      <c r="AR118" s="16">
        <f t="shared" si="385"/>
        <v>56275</v>
      </c>
      <c r="AS118" s="16">
        <f t="shared" si="386"/>
        <v>106975</v>
      </c>
      <c r="AT118" s="16">
        <f t="shared" si="387"/>
        <v>107675</v>
      </c>
      <c r="AU118" s="16">
        <f t="shared" si="388"/>
        <v>56225</v>
      </c>
      <c r="AV118" s="16">
        <f t="shared" si="389"/>
        <v>56925</v>
      </c>
      <c r="AW118" s="16">
        <f t="shared" si="390"/>
        <v>57625</v>
      </c>
      <c r="AX118" s="16">
        <f t="shared" si="391"/>
        <v>53325</v>
      </c>
      <c r="AY118" s="16">
        <f t="shared" si="392"/>
        <v>54025</v>
      </c>
      <c r="AZ118" s="16">
        <f t="shared" si="393"/>
        <v>54725</v>
      </c>
      <c r="BA118" s="16">
        <f t="shared" si="394"/>
        <v>105425</v>
      </c>
      <c r="BB118" s="16">
        <v>720000</v>
      </c>
      <c r="BC118" s="8">
        <v>2400000</v>
      </c>
      <c r="BD118" s="16">
        <f t="shared" si="536"/>
        <v>807150</v>
      </c>
      <c r="BE118" s="23">
        <f t="shared" si="537"/>
        <v>18374.321860902422</v>
      </c>
      <c r="BF118" s="23">
        <f t="shared" si="538"/>
        <v>20976.593231902229</v>
      </c>
      <c r="BG118" s="23">
        <f t="shared" si="539"/>
        <v>66325.243656921331</v>
      </c>
      <c r="BH118" s="23">
        <f t="shared" si="540"/>
        <v>187033.23494994018</v>
      </c>
      <c r="BI118" s="23">
        <f t="shared" si="541"/>
        <v>143538.45362397193</v>
      </c>
      <c r="BJ118" s="23">
        <f t="shared" si="542"/>
        <v>83162.846441237838</v>
      </c>
      <c r="BK118" s="23">
        <f t="shared" si="543"/>
        <v>58437.821601974327</v>
      </c>
      <c r="BL118" s="23">
        <f t="shared" si="544"/>
        <v>104023.45078738671</v>
      </c>
      <c r="BM118" s="23">
        <f t="shared" si="545"/>
        <v>99416.116454775445</v>
      </c>
      <c r="BN118" s="23">
        <f t="shared" si="546"/>
        <v>84333.213971729725</v>
      </c>
      <c r="BO118" s="23">
        <f t="shared" si="547"/>
        <v>61846.110769044346</v>
      </c>
      <c r="BP118" s="23">
        <f t="shared" si="548"/>
        <v>95669.157532504323</v>
      </c>
      <c r="BQ118" s="22">
        <f t="shared" si="395"/>
        <v>1023136.5648822908</v>
      </c>
      <c r="BR118" s="8">
        <f t="shared" si="519"/>
        <v>157239.34125006109</v>
      </c>
      <c r="BS118" s="8">
        <f t="shared" si="396"/>
        <v>1180375.9061323518</v>
      </c>
      <c r="BT118" s="8">
        <f t="shared" si="520"/>
        <v>1987525.9061323518</v>
      </c>
    </row>
    <row r="119" spans="1:74" ht="13.5" customHeight="1" x14ac:dyDescent="0.2">
      <c r="A119" s="15">
        <v>111</v>
      </c>
      <c r="B119" s="15">
        <v>190</v>
      </c>
      <c r="C119" s="14" t="s">
        <v>116</v>
      </c>
      <c r="D119" s="8">
        <v>100000</v>
      </c>
      <c r="E119" s="8">
        <f t="shared" ref="E119:G120" si="599">+F119-25000</f>
        <v>1792000</v>
      </c>
      <c r="F119" s="8">
        <f t="shared" si="599"/>
        <v>1817000</v>
      </c>
      <c r="G119" s="8">
        <f t="shared" si="599"/>
        <v>1842000</v>
      </c>
      <c r="H119" s="8">
        <f t="shared" ref="H119:O120" si="600">+I119-50000</f>
        <v>1867000</v>
      </c>
      <c r="I119" s="8">
        <f t="shared" si="600"/>
        <v>1917000</v>
      </c>
      <c r="J119" s="8">
        <f t="shared" si="600"/>
        <v>1967000</v>
      </c>
      <c r="K119" s="8">
        <f t="shared" si="600"/>
        <v>2017000</v>
      </c>
      <c r="L119" s="8">
        <f t="shared" si="600"/>
        <v>2067000</v>
      </c>
      <c r="M119" s="8">
        <f t="shared" si="600"/>
        <v>2117000</v>
      </c>
      <c r="N119" s="8">
        <f t="shared" si="600"/>
        <v>2167000</v>
      </c>
      <c r="O119" s="8">
        <f t="shared" si="600"/>
        <v>2217000</v>
      </c>
      <c r="P119" s="8">
        <v>2267000</v>
      </c>
      <c r="Q119" s="8">
        <v>1200000</v>
      </c>
      <c r="R119" s="8">
        <f>+Q119+200000</f>
        <v>1400000</v>
      </c>
      <c r="S119" s="8">
        <f t="shared" ref="S119:AA119" si="601">+R119+200000</f>
        <v>1600000</v>
      </c>
      <c r="T119" s="8">
        <f t="shared" si="601"/>
        <v>1800000</v>
      </c>
      <c r="U119" s="8">
        <f t="shared" si="601"/>
        <v>2000000</v>
      </c>
      <c r="V119" s="8">
        <v>0</v>
      </c>
      <c r="W119" s="8">
        <f t="shared" si="601"/>
        <v>200000</v>
      </c>
      <c r="X119" s="8">
        <f t="shared" si="601"/>
        <v>400000</v>
      </c>
      <c r="Y119" s="8">
        <f t="shared" si="601"/>
        <v>600000</v>
      </c>
      <c r="Z119" s="8">
        <f t="shared" si="601"/>
        <v>800000</v>
      </c>
      <c r="AA119" s="8">
        <f t="shared" si="601"/>
        <v>1000000</v>
      </c>
      <c r="AB119" s="8">
        <v>1200000</v>
      </c>
      <c r="AC119" s="8">
        <v>639000</v>
      </c>
      <c r="AD119" s="8">
        <f>+AC119+100000</f>
        <v>739000</v>
      </c>
      <c r="AE119" s="8">
        <f t="shared" ref="AE119:AM119" si="602">+AD119+100000</f>
        <v>839000</v>
      </c>
      <c r="AF119" s="8">
        <f t="shared" si="602"/>
        <v>939000</v>
      </c>
      <c r="AG119" s="8">
        <f t="shared" si="602"/>
        <v>1039000</v>
      </c>
      <c r="AH119" s="8">
        <f t="shared" si="602"/>
        <v>1139000</v>
      </c>
      <c r="AI119" s="8">
        <f t="shared" si="602"/>
        <v>1239000</v>
      </c>
      <c r="AJ119" s="8">
        <f t="shared" si="602"/>
        <v>1339000</v>
      </c>
      <c r="AK119" s="8">
        <f t="shared" si="602"/>
        <v>1439000</v>
      </c>
      <c r="AL119" s="8">
        <f t="shared" si="602"/>
        <v>1539000</v>
      </c>
      <c r="AM119" s="8">
        <f t="shared" si="602"/>
        <v>1639000</v>
      </c>
      <c r="AN119" s="8">
        <v>1739000</v>
      </c>
      <c r="AO119" s="8">
        <f t="shared" si="382"/>
        <v>5306000</v>
      </c>
      <c r="AP119" s="16">
        <f t="shared" si="383"/>
        <v>9195</v>
      </c>
      <c r="AQ119" s="16">
        <f t="shared" si="384"/>
        <v>10695</v>
      </c>
      <c r="AR119" s="16">
        <f t="shared" si="385"/>
        <v>12195</v>
      </c>
      <c r="AS119" s="16">
        <f t="shared" si="386"/>
        <v>13695</v>
      </c>
      <c r="AT119" s="16">
        <f t="shared" si="387"/>
        <v>15195</v>
      </c>
      <c r="AU119" s="16">
        <f t="shared" si="388"/>
        <v>5695</v>
      </c>
      <c r="AV119" s="16">
        <f t="shared" si="389"/>
        <v>7195</v>
      </c>
      <c r="AW119" s="16">
        <f t="shared" si="390"/>
        <v>8695</v>
      </c>
      <c r="AX119" s="16">
        <f t="shared" si="391"/>
        <v>10195</v>
      </c>
      <c r="AY119" s="16">
        <f t="shared" si="392"/>
        <v>11695</v>
      </c>
      <c r="AZ119" s="16">
        <f t="shared" si="393"/>
        <v>13195</v>
      </c>
      <c r="BA119" s="16">
        <f t="shared" si="394"/>
        <v>14695</v>
      </c>
      <c r="BB119" s="16">
        <v>0</v>
      </c>
      <c r="BC119" s="8">
        <v>0</v>
      </c>
      <c r="BD119" s="16">
        <f t="shared" si="536"/>
        <v>132340</v>
      </c>
      <c r="BE119" s="23">
        <f t="shared" si="537"/>
        <v>6612.7707980155246</v>
      </c>
      <c r="BF119" s="23">
        <f t="shared" si="538"/>
        <v>6528.6266228203995</v>
      </c>
      <c r="BG119" s="23">
        <f t="shared" si="539"/>
        <v>22017.95047821265</v>
      </c>
      <c r="BH119" s="23">
        <f t="shared" si="540"/>
        <v>37675.644365825639</v>
      </c>
      <c r="BI119" s="23">
        <f t="shared" si="541"/>
        <v>30813.961511667883</v>
      </c>
      <c r="BJ119" s="23">
        <f t="shared" si="542"/>
        <v>20028.552110171913</v>
      </c>
      <c r="BK119" s="23">
        <f t="shared" si="543"/>
        <v>15390.674982715205</v>
      </c>
      <c r="BL119" s="23">
        <f t="shared" si="544"/>
        <v>29675.40160499069</v>
      </c>
      <c r="BM119" s="23">
        <f t="shared" si="545"/>
        <v>32845.442604527583</v>
      </c>
      <c r="BN119" s="23">
        <f t="shared" si="546"/>
        <v>29715.329219230956</v>
      </c>
      <c r="BO119" s="23">
        <f t="shared" si="547"/>
        <v>23111.847758361015</v>
      </c>
      <c r="BP119" s="23">
        <f t="shared" si="548"/>
        <v>21645.085701324748</v>
      </c>
      <c r="BQ119" s="22">
        <f t="shared" si="395"/>
        <v>276061.28775786416</v>
      </c>
      <c r="BR119" s="8">
        <f t="shared" si="519"/>
        <v>0</v>
      </c>
      <c r="BS119" s="8">
        <f t="shared" si="396"/>
        <v>276061.28775786416</v>
      </c>
      <c r="BT119" s="8">
        <f t="shared" si="520"/>
        <v>408401.28775786416</v>
      </c>
    </row>
    <row r="120" spans="1:74" s="110" customFormat="1" ht="13.5" customHeight="1" x14ac:dyDescent="0.2">
      <c r="A120" s="24">
        <v>112</v>
      </c>
      <c r="B120" s="24">
        <v>192</v>
      </c>
      <c r="C120" s="25" t="s">
        <v>193</v>
      </c>
      <c r="D120" s="26">
        <v>100000</v>
      </c>
      <c r="E120" s="26">
        <f t="shared" si="599"/>
        <v>1792000</v>
      </c>
      <c r="F120" s="26">
        <f t="shared" si="599"/>
        <v>1817000</v>
      </c>
      <c r="G120" s="26">
        <f t="shared" si="599"/>
        <v>1842000</v>
      </c>
      <c r="H120" s="26">
        <f t="shared" si="600"/>
        <v>1867000</v>
      </c>
      <c r="I120" s="26">
        <f t="shared" si="600"/>
        <v>1917000</v>
      </c>
      <c r="J120" s="26">
        <f t="shared" si="600"/>
        <v>1967000</v>
      </c>
      <c r="K120" s="26">
        <f t="shared" si="600"/>
        <v>2017000</v>
      </c>
      <c r="L120" s="26">
        <f t="shared" si="600"/>
        <v>2067000</v>
      </c>
      <c r="M120" s="26">
        <f t="shared" si="600"/>
        <v>2117000</v>
      </c>
      <c r="N120" s="26">
        <f t="shared" si="600"/>
        <v>2167000</v>
      </c>
      <c r="O120" s="26">
        <f t="shared" si="600"/>
        <v>2217000</v>
      </c>
      <c r="P120" s="26">
        <v>2267000</v>
      </c>
      <c r="Q120" s="26">
        <v>1200000</v>
      </c>
      <c r="R120" s="26">
        <f>+Q120+200000</f>
        <v>1400000</v>
      </c>
      <c r="S120" s="26">
        <f t="shared" ref="S120" si="603">+R120+200000</f>
        <v>1600000</v>
      </c>
      <c r="T120" s="26">
        <f t="shared" ref="T120" si="604">+S120+200000</f>
        <v>1800000</v>
      </c>
      <c r="U120" s="26">
        <f t="shared" ref="U120" si="605">+T120+200000</f>
        <v>2000000</v>
      </c>
      <c r="V120" s="26">
        <v>0</v>
      </c>
      <c r="W120" s="26">
        <f>+V120+300000</f>
        <v>300000</v>
      </c>
      <c r="X120" s="26">
        <f t="shared" ref="X120:AA120" si="606">+W120+300000</f>
        <v>600000</v>
      </c>
      <c r="Y120" s="26">
        <f t="shared" si="606"/>
        <v>900000</v>
      </c>
      <c r="Z120" s="26">
        <f t="shared" si="606"/>
        <v>1200000</v>
      </c>
      <c r="AA120" s="26">
        <f t="shared" si="606"/>
        <v>1500000</v>
      </c>
      <c r="AB120" s="26">
        <v>1800000</v>
      </c>
      <c r="AC120" s="26">
        <v>40000</v>
      </c>
      <c r="AD120" s="26">
        <f>+AC120+25000</f>
        <v>65000</v>
      </c>
      <c r="AE120" s="26">
        <f t="shared" ref="AE120:AM120" si="607">+AD120+25000</f>
        <v>90000</v>
      </c>
      <c r="AF120" s="26">
        <f t="shared" si="607"/>
        <v>115000</v>
      </c>
      <c r="AG120" s="26">
        <f t="shared" si="607"/>
        <v>140000</v>
      </c>
      <c r="AH120" s="26">
        <v>15000</v>
      </c>
      <c r="AI120" s="26">
        <f t="shared" si="607"/>
        <v>40000</v>
      </c>
      <c r="AJ120" s="26">
        <f t="shared" si="607"/>
        <v>65000</v>
      </c>
      <c r="AK120" s="26">
        <f t="shared" si="607"/>
        <v>90000</v>
      </c>
      <c r="AL120" s="26">
        <f t="shared" si="607"/>
        <v>115000</v>
      </c>
      <c r="AM120" s="26">
        <f t="shared" si="607"/>
        <v>140000</v>
      </c>
      <c r="AN120" s="26">
        <v>165000</v>
      </c>
      <c r="AO120" s="26">
        <f t="shared" si="382"/>
        <v>4332000</v>
      </c>
      <c r="AP120" s="27">
        <f t="shared" si="383"/>
        <v>6200</v>
      </c>
      <c r="AQ120" s="27">
        <f t="shared" si="384"/>
        <v>7325</v>
      </c>
      <c r="AR120" s="27">
        <f t="shared" si="385"/>
        <v>8450</v>
      </c>
      <c r="AS120" s="27">
        <f t="shared" si="386"/>
        <v>9575</v>
      </c>
      <c r="AT120" s="27">
        <f t="shared" si="387"/>
        <v>10700</v>
      </c>
      <c r="AU120" s="27">
        <f t="shared" si="388"/>
        <v>75</v>
      </c>
      <c r="AV120" s="27">
        <f t="shared" si="389"/>
        <v>1700</v>
      </c>
      <c r="AW120" s="27">
        <f t="shared" si="390"/>
        <v>3325</v>
      </c>
      <c r="AX120" s="27">
        <f t="shared" si="391"/>
        <v>4950</v>
      </c>
      <c r="AY120" s="27">
        <f t="shared" si="392"/>
        <v>6575</v>
      </c>
      <c r="AZ120" s="27">
        <f t="shared" si="393"/>
        <v>8200</v>
      </c>
      <c r="BA120" s="27">
        <f t="shared" si="394"/>
        <v>9825</v>
      </c>
      <c r="BB120" s="27">
        <v>2700000</v>
      </c>
      <c r="BC120" s="26">
        <v>625000</v>
      </c>
      <c r="BD120" s="27">
        <f t="shared" si="536"/>
        <v>76900</v>
      </c>
      <c r="BE120" s="28">
        <f t="shared" si="537"/>
        <v>5551.1118036410144</v>
      </c>
      <c r="BF120" s="28">
        <f t="shared" si="538"/>
        <v>5443.7414295805202</v>
      </c>
      <c r="BG120" s="28">
        <f t="shared" si="539"/>
        <v>18253.6398395043</v>
      </c>
      <c r="BH120" s="28">
        <f t="shared" si="540"/>
        <v>31078.803958379754</v>
      </c>
      <c r="BI120" s="28">
        <f t="shared" si="541"/>
        <v>25334.975871044975</v>
      </c>
      <c r="BJ120" s="28">
        <f t="shared" si="542"/>
        <v>13006.689174478453</v>
      </c>
      <c r="BK120" s="28">
        <f t="shared" si="543"/>
        <v>10634.108108135901</v>
      </c>
      <c r="BL120" s="28">
        <f t="shared" si="544"/>
        <v>21515.805771974814</v>
      </c>
      <c r="BM120" s="28">
        <f t="shared" si="545"/>
        <v>24749.843616710517</v>
      </c>
      <c r="BN120" s="28">
        <f t="shared" si="546"/>
        <v>23109.055419731936</v>
      </c>
      <c r="BO120" s="28">
        <f t="shared" si="547"/>
        <v>18453.10362789236</v>
      </c>
      <c r="BP120" s="28">
        <f t="shared" si="548"/>
        <v>17671.788778390277</v>
      </c>
      <c r="BQ120" s="29">
        <f t="shared" si="395"/>
        <v>214802.66739946482</v>
      </c>
      <c r="BR120" s="26">
        <f t="shared" si="519"/>
        <v>589647.52968772908</v>
      </c>
      <c r="BS120" s="26">
        <f t="shared" si="396"/>
        <v>804450.19708719384</v>
      </c>
      <c r="BT120" s="26">
        <f t="shared" si="520"/>
        <v>881350.19708719384</v>
      </c>
      <c r="BU120" s="111">
        <f t="shared" ref="BU120:BU121" si="608">AO120-100000</f>
        <v>4232000</v>
      </c>
      <c r="BV120" s="110">
        <v>84</v>
      </c>
    </row>
    <row r="121" spans="1:74" s="110" customFormat="1" ht="13.5" customHeight="1" x14ac:dyDescent="0.2">
      <c r="A121" s="24">
        <v>113</v>
      </c>
      <c r="B121" s="24">
        <v>194</v>
      </c>
      <c r="C121" s="25" t="s">
        <v>117</v>
      </c>
      <c r="D121" s="26">
        <v>100000</v>
      </c>
      <c r="E121" s="26">
        <f t="shared" ref="E121:G121" si="609">+F121-15000</f>
        <v>1422000</v>
      </c>
      <c r="F121" s="26">
        <f t="shared" si="609"/>
        <v>1437000</v>
      </c>
      <c r="G121" s="26">
        <f t="shared" si="609"/>
        <v>1452000</v>
      </c>
      <c r="H121" s="26">
        <f t="shared" ref="H121:O121" si="610">+I121-20000</f>
        <v>1467000</v>
      </c>
      <c r="I121" s="26">
        <f t="shared" si="610"/>
        <v>1487000</v>
      </c>
      <c r="J121" s="26">
        <f t="shared" si="610"/>
        <v>1507000</v>
      </c>
      <c r="K121" s="26">
        <f t="shared" si="610"/>
        <v>1527000</v>
      </c>
      <c r="L121" s="26">
        <f t="shared" si="610"/>
        <v>1547000</v>
      </c>
      <c r="M121" s="26">
        <f t="shared" si="610"/>
        <v>1567000</v>
      </c>
      <c r="N121" s="26">
        <f t="shared" si="610"/>
        <v>1587000</v>
      </c>
      <c r="O121" s="26">
        <f t="shared" si="610"/>
        <v>1607000</v>
      </c>
      <c r="P121" s="26">
        <v>1627000</v>
      </c>
      <c r="Q121" s="26">
        <v>300000</v>
      </c>
      <c r="R121" s="26">
        <f>+Q121+50000</f>
        <v>350000</v>
      </c>
      <c r="S121" s="26">
        <f t="shared" ref="S121:U121" si="611">+R121+50000</f>
        <v>400000</v>
      </c>
      <c r="T121" s="26">
        <f t="shared" si="611"/>
        <v>450000</v>
      </c>
      <c r="U121" s="26">
        <f t="shared" si="611"/>
        <v>500000</v>
      </c>
      <c r="V121" s="26">
        <v>0</v>
      </c>
      <c r="W121" s="26">
        <f>+V121+100000</f>
        <v>100000</v>
      </c>
      <c r="X121" s="26">
        <f t="shared" ref="X121:AA121" si="612">+W121+100000</f>
        <v>200000</v>
      </c>
      <c r="Y121" s="26">
        <f t="shared" si="612"/>
        <v>300000</v>
      </c>
      <c r="Z121" s="26">
        <f t="shared" si="612"/>
        <v>400000</v>
      </c>
      <c r="AA121" s="26">
        <f t="shared" si="612"/>
        <v>500000</v>
      </c>
      <c r="AB121" s="26">
        <v>600000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f t="shared" si="382"/>
        <v>2327000</v>
      </c>
      <c r="AP121" s="27">
        <f t="shared" si="383"/>
        <v>1500</v>
      </c>
      <c r="AQ121" s="27">
        <f t="shared" si="384"/>
        <v>1750</v>
      </c>
      <c r="AR121" s="27">
        <f t="shared" si="385"/>
        <v>2000</v>
      </c>
      <c r="AS121" s="27">
        <f t="shared" si="386"/>
        <v>2250</v>
      </c>
      <c r="AT121" s="27">
        <f t="shared" si="387"/>
        <v>2500</v>
      </c>
      <c r="AU121" s="27">
        <f t="shared" si="388"/>
        <v>0</v>
      </c>
      <c r="AV121" s="27">
        <f t="shared" si="389"/>
        <v>500</v>
      </c>
      <c r="AW121" s="27">
        <f t="shared" si="390"/>
        <v>1000</v>
      </c>
      <c r="AX121" s="27">
        <f t="shared" si="391"/>
        <v>1500</v>
      </c>
      <c r="AY121" s="27">
        <f t="shared" si="392"/>
        <v>2000</v>
      </c>
      <c r="AZ121" s="27">
        <f t="shared" si="393"/>
        <v>2500</v>
      </c>
      <c r="BA121" s="27">
        <f t="shared" si="394"/>
        <v>3000</v>
      </c>
      <c r="BB121" s="27">
        <v>720000</v>
      </c>
      <c r="BC121" s="26">
        <v>1664000</v>
      </c>
      <c r="BD121" s="27">
        <f t="shared" si="536"/>
        <v>20500</v>
      </c>
      <c r="BE121" s="28">
        <f t="shared" si="537"/>
        <v>3229.2866239571927</v>
      </c>
      <c r="BF121" s="28">
        <f t="shared" si="538"/>
        <v>3037.3566166819755</v>
      </c>
      <c r="BG121" s="28">
        <f t="shared" si="539"/>
        <v>9810.3262573547345</v>
      </c>
      <c r="BH121" s="28">
        <f t="shared" si="540"/>
        <v>16147.848424536827</v>
      </c>
      <c r="BI121" s="28">
        <f t="shared" si="541"/>
        <v>12719.29147050057</v>
      </c>
      <c r="BJ121" s="28">
        <f t="shared" si="542"/>
        <v>10039.264891156039</v>
      </c>
      <c r="BK121" s="28">
        <f t="shared" si="543"/>
        <v>7474.605088624623</v>
      </c>
      <c r="BL121" s="28">
        <f t="shared" si="544"/>
        <v>14032.377563855043</v>
      </c>
      <c r="BM121" s="28">
        <f t="shared" si="545"/>
        <v>15180.212782684623</v>
      </c>
      <c r="BN121" s="28">
        <f t="shared" si="546"/>
        <v>13464.153730033653</v>
      </c>
      <c r="BO121" s="28">
        <f t="shared" si="547"/>
        <v>10292.140436380701</v>
      </c>
      <c r="BP121" s="28">
        <f t="shared" si="548"/>
        <v>9492.6713959635672</v>
      </c>
      <c r="BQ121" s="29">
        <f t="shared" si="395"/>
        <v>124919.53528172955</v>
      </c>
      <c r="BR121" s="26">
        <f t="shared" si="519"/>
        <v>157239.34125006109</v>
      </c>
      <c r="BS121" s="26">
        <f t="shared" si="396"/>
        <v>282158.87653179065</v>
      </c>
      <c r="BT121" s="26">
        <f t="shared" si="520"/>
        <v>302658.87653179065</v>
      </c>
      <c r="BU121" s="111">
        <f t="shared" si="608"/>
        <v>2227000</v>
      </c>
      <c r="BV121" s="110">
        <v>85</v>
      </c>
    </row>
    <row r="122" spans="1:74" ht="13.5" customHeight="1" x14ac:dyDescent="0.2">
      <c r="A122" s="15">
        <v>114</v>
      </c>
      <c r="B122" s="15">
        <v>195</v>
      </c>
      <c r="C122" s="14" t="s">
        <v>118</v>
      </c>
      <c r="D122" s="8">
        <v>100000</v>
      </c>
      <c r="E122" s="8">
        <f t="shared" ref="E122:G122" si="613">+F122-25000</f>
        <v>1785000</v>
      </c>
      <c r="F122" s="8">
        <f t="shared" si="613"/>
        <v>1810000</v>
      </c>
      <c r="G122" s="8">
        <f t="shared" si="613"/>
        <v>1835000</v>
      </c>
      <c r="H122" s="8">
        <f t="shared" ref="H122:O122" si="614">+I122-50000</f>
        <v>1860000</v>
      </c>
      <c r="I122" s="8">
        <f t="shared" si="614"/>
        <v>1910000</v>
      </c>
      <c r="J122" s="8">
        <f t="shared" si="614"/>
        <v>1960000</v>
      </c>
      <c r="K122" s="8">
        <f t="shared" si="614"/>
        <v>2010000</v>
      </c>
      <c r="L122" s="8">
        <f t="shared" si="614"/>
        <v>2060000</v>
      </c>
      <c r="M122" s="8">
        <f t="shared" si="614"/>
        <v>2110000</v>
      </c>
      <c r="N122" s="8">
        <f t="shared" si="614"/>
        <v>2160000</v>
      </c>
      <c r="O122" s="8">
        <f t="shared" si="614"/>
        <v>2210000</v>
      </c>
      <c r="P122" s="8">
        <v>2260000</v>
      </c>
      <c r="Q122" s="8">
        <v>1200000</v>
      </c>
      <c r="R122" s="8">
        <f>+Q122+200000</f>
        <v>1400000</v>
      </c>
      <c r="S122" s="8">
        <f t="shared" ref="S122" si="615">+R122+200000</f>
        <v>1600000</v>
      </c>
      <c r="T122" s="8">
        <f t="shared" ref="T122" si="616">+S122+200000</f>
        <v>1800000</v>
      </c>
      <c r="U122" s="8">
        <f t="shared" ref="U122" si="617">+T122+200000</f>
        <v>2000000</v>
      </c>
      <c r="V122" s="8">
        <v>0</v>
      </c>
      <c r="W122" s="8">
        <f t="shared" ref="W122" si="618">+V122+200000</f>
        <v>200000</v>
      </c>
      <c r="X122" s="8">
        <f t="shared" ref="X122" si="619">+W122+200000</f>
        <v>400000</v>
      </c>
      <c r="Y122" s="8">
        <f t="shared" ref="Y122" si="620">+X122+200000</f>
        <v>600000</v>
      </c>
      <c r="Z122" s="8">
        <f t="shared" ref="Z122" si="621">+Y122+200000</f>
        <v>800000</v>
      </c>
      <c r="AA122" s="8">
        <f t="shared" ref="AA122" si="622">+Z122+200000</f>
        <v>1000000</v>
      </c>
      <c r="AB122" s="8">
        <v>1200000</v>
      </c>
      <c r="AC122" s="8">
        <v>60000</v>
      </c>
      <c r="AD122" s="8">
        <f>+AC122+50000</f>
        <v>110000</v>
      </c>
      <c r="AE122" s="8">
        <f t="shared" ref="AE122:AM122" si="623">+AD122+50000</f>
        <v>160000</v>
      </c>
      <c r="AF122" s="8">
        <f t="shared" si="623"/>
        <v>210000</v>
      </c>
      <c r="AG122" s="8">
        <f t="shared" si="623"/>
        <v>260000</v>
      </c>
      <c r="AH122" s="8">
        <f t="shared" si="623"/>
        <v>310000</v>
      </c>
      <c r="AI122" s="8">
        <f t="shared" si="623"/>
        <v>360000</v>
      </c>
      <c r="AJ122" s="8">
        <f t="shared" si="623"/>
        <v>410000</v>
      </c>
      <c r="AK122" s="8">
        <f t="shared" si="623"/>
        <v>460000</v>
      </c>
      <c r="AL122" s="8">
        <f t="shared" si="623"/>
        <v>510000</v>
      </c>
      <c r="AM122" s="8">
        <f t="shared" si="623"/>
        <v>560000</v>
      </c>
      <c r="AN122" s="8">
        <v>610000</v>
      </c>
      <c r="AO122" s="8">
        <f t="shared" si="382"/>
        <v>4170000</v>
      </c>
      <c r="AP122" s="16">
        <f t="shared" si="383"/>
        <v>6300</v>
      </c>
      <c r="AQ122" s="16">
        <f t="shared" si="384"/>
        <v>7550</v>
      </c>
      <c r="AR122" s="16">
        <f t="shared" si="385"/>
        <v>8800</v>
      </c>
      <c r="AS122" s="16">
        <f t="shared" si="386"/>
        <v>10050</v>
      </c>
      <c r="AT122" s="16">
        <f t="shared" si="387"/>
        <v>11300</v>
      </c>
      <c r="AU122" s="16">
        <f t="shared" si="388"/>
        <v>1550</v>
      </c>
      <c r="AV122" s="16">
        <f t="shared" si="389"/>
        <v>2800</v>
      </c>
      <c r="AW122" s="16">
        <f t="shared" si="390"/>
        <v>4050</v>
      </c>
      <c r="AX122" s="16">
        <f t="shared" si="391"/>
        <v>5300</v>
      </c>
      <c r="AY122" s="16">
        <f t="shared" si="392"/>
        <v>6550</v>
      </c>
      <c r="AZ122" s="16">
        <f t="shared" si="393"/>
        <v>7800</v>
      </c>
      <c r="BA122" s="16">
        <f t="shared" si="394"/>
        <v>9050</v>
      </c>
      <c r="BB122" s="16">
        <v>900000</v>
      </c>
      <c r="BC122" s="8">
        <v>2915000</v>
      </c>
      <c r="BD122" s="16">
        <f t="shared" si="536"/>
        <v>81100</v>
      </c>
      <c r="BE122" s="23">
        <f t="shared" si="537"/>
        <v>5574.1528168745172</v>
      </c>
      <c r="BF122" s="23">
        <f t="shared" si="538"/>
        <v>5504.9070636207507</v>
      </c>
      <c r="BG122" s="23">
        <f t="shared" si="539"/>
        <v>18570.264098834909</v>
      </c>
      <c r="BH122" s="23">
        <f t="shared" si="540"/>
        <v>31783.320895097277</v>
      </c>
      <c r="BI122" s="23">
        <f t="shared" si="541"/>
        <v>26023.658159577109</v>
      </c>
      <c r="BJ122" s="23">
        <f t="shared" si="542"/>
        <v>14805.885371524464</v>
      </c>
      <c r="BK122" s="23">
        <f t="shared" si="543"/>
        <v>11555.990496020697</v>
      </c>
      <c r="BL122" s="23">
        <f t="shared" si="544"/>
        <v>22564.245460015962</v>
      </c>
      <c r="BM122" s="23">
        <f t="shared" si="545"/>
        <v>25236.042602632799</v>
      </c>
      <c r="BN122" s="23">
        <f t="shared" si="546"/>
        <v>23031.638148644055</v>
      </c>
      <c r="BO122" s="23">
        <f t="shared" si="547"/>
        <v>18047.387172085779</v>
      </c>
      <c r="BP122" s="23">
        <f t="shared" si="548"/>
        <v>17010.93241133136</v>
      </c>
      <c r="BQ122" s="22">
        <f t="shared" si="395"/>
        <v>219708.4246962597</v>
      </c>
      <c r="BR122" s="8">
        <f t="shared" si="519"/>
        <v>196549.17656257635</v>
      </c>
      <c r="BS122" s="8">
        <f t="shared" si="396"/>
        <v>416257.60125883605</v>
      </c>
      <c r="BT122" s="8">
        <f t="shared" si="520"/>
        <v>497357.60125883605</v>
      </c>
    </row>
    <row r="123" spans="1:74" ht="13.5" customHeight="1" x14ac:dyDescent="0.2">
      <c r="A123" s="15">
        <v>115</v>
      </c>
      <c r="B123" s="15">
        <v>196</v>
      </c>
      <c r="C123" s="14" t="s">
        <v>119</v>
      </c>
      <c r="D123" s="8">
        <v>100000</v>
      </c>
      <c r="E123" s="8">
        <f t="shared" ref="E123:G123" si="624">+F123-25000</f>
        <v>1785000</v>
      </c>
      <c r="F123" s="8">
        <f t="shared" si="624"/>
        <v>1810000</v>
      </c>
      <c r="G123" s="8">
        <f t="shared" si="624"/>
        <v>1835000</v>
      </c>
      <c r="H123" s="8">
        <f t="shared" ref="H123:O123" si="625">+I123-50000</f>
        <v>1860000</v>
      </c>
      <c r="I123" s="8">
        <f t="shared" si="625"/>
        <v>1910000</v>
      </c>
      <c r="J123" s="8">
        <f t="shared" si="625"/>
        <v>1960000</v>
      </c>
      <c r="K123" s="8">
        <f t="shared" si="625"/>
        <v>2010000</v>
      </c>
      <c r="L123" s="8">
        <f t="shared" si="625"/>
        <v>2060000</v>
      </c>
      <c r="M123" s="8">
        <f t="shared" si="625"/>
        <v>2110000</v>
      </c>
      <c r="N123" s="8">
        <f t="shared" si="625"/>
        <v>2160000</v>
      </c>
      <c r="O123" s="8">
        <f t="shared" si="625"/>
        <v>2210000</v>
      </c>
      <c r="P123" s="8">
        <v>2260000</v>
      </c>
      <c r="Q123" s="8">
        <v>1200000</v>
      </c>
      <c r="R123" s="8">
        <f>+Q123+200000</f>
        <v>1400000</v>
      </c>
      <c r="S123" s="8">
        <f t="shared" ref="S123" si="626">+R123+200000</f>
        <v>1600000</v>
      </c>
      <c r="T123" s="8">
        <f t="shared" ref="T123" si="627">+S123+200000</f>
        <v>1800000</v>
      </c>
      <c r="U123" s="8">
        <f t="shared" ref="U123" si="628">+T123+200000</f>
        <v>2000000</v>
      </c>
      <c r="V123" s="8">
        <v>0</v>
      </c>
      <c r="W123" s="8">
        <f t="shared" ref="W123" si="629">+V123+200000</f>
        <v>200000</v>
      </c>
      <c r="X123" s="8">
        <f t="shared" ref="X123" si="630">+W123+200000</f>
        <v>400000</v>
      </c>
      <c r="Y123" s="8">
        <f t="shared" ref="Y123" si="631">+X123+200000</f>
        <v>600000</v>
      </c>
      <c r="Z123" s="8">
        <f t="shared" ref="Z123" si="632">+Y123+200000</f>
        <v>800000</v>
      </c>
      <c r="AA123" s="8">
        <f t="shared" ref="AA123" si="633">+Z123+200000</f>
        <v>1000000</v>
      </c>
      <c r="AB123" s="8">
        <v>1200000</v>
      </c>
      <c r="AC123" s="8">
        <v>792000</v>
      </c>
      <c r="AD123" s="8">
        <f>+AC123+10000</f>
        <v>802000</v>
      </c>
      <c r="AE123" s="8">
        <f t="shared" ref="AE123:AM123" si="634">+AD123+10000</f>
        <v>812000</v>
      </c>
      <c r="AF123" s="8">
        <f t="shared" si="634"/>
        <v>822000</v>
      </c>
      <c r="AG123" s="8">
        <f t="shared" si="634"/>
        <v>832000</v>
      </c>
      <c r="AH123" s="8">
        <f t="shared" si="634"/>
        <v>842000</v>
      </c>
      <c r="AI123" s="8">
        <f t="shared" si="634"/>
        <v>852000</v>
      </c>
      <c r="AJ123" s="8">
        <f t="shared" si="634"/>
        <v>862000</v>
      </c>
      <c r="AK123" s="8">
        <f t="shared" si="634"/>
        <v>872000</v>
      </c>
      <c r="AL123" s="8">
        <f t="shared" si="634"/>
        <v>882000</v>
      </c>
      <c r="AM123" s="8">
        <f t="shared" si="634"/>
        <v>892000</v>
      </c>
      <c r="AN123" s="8">
        <v>902000</v>
      </c>
      <c r="AO123" s="8">
        <f t="shared" si="382"/>
        <v>4462000</v>
      </c>
      <c r="AP123" s="16">
        <f t="shared" si="383"/>
        <v>9960</v>
      </c>
      <c r="AQ123" s="16">
        <f t="shared" si="384"/>
        <v>11010</v>
      </c>
      <c r="AR123" s="16">
        <f t="shared" si="385"/>
        <v>12060</v>
      </c>
      <c r="AS123" s="16">
        <f t="shared" si="386"/>
        <v>13110</v>
      </c>
      <c r="AT123" s="16">
        <f t="shared" si="387"/>
        <v>14160</v>
      </c>
      <c r="AU123" s="16">
        <f t="shared" si="388"/>
        <v>4210</v>
      </c>
      <c r="AV123" s="16">
        <f t="shared" si="389"/>
        <v>5260</v>
      </c>
      <c r="AW123" s="16">
        <f t="shared" si="390"/>
        <v>6310</v>
      </c>
      <c r="AX123" s="16">
        <f t="shared" si="391"/>
        <v>7360</v>
      </c>
      <c r="AY123" s="16">
        <f t="shared" si="392"/>
        <v>8410</v>
      </c>
      <c r="AZ123" s="16">
        <f t="shared" si="393"/>
        <v>9460</v>
      </c>
      <c r="BA123" s="16">
        <f t="shared" si="394"/>
        <v>10510</v>
      </c>
      <c r="BB123" s="16">
        <v>900000</v>
      </c>
      <c r="BC123" s="8">
        <v>2492000</v>
      </c>
      <c r="BD123" s="16">
        <f t="shared" si="536"/>
        <v>111820</v>
      </c>
      <c r="BE123" s="23">
        <f t="shared" si="537"/>
        <v>6871.5391004841031</v>
      </c>
      <c r="BF123" s="23">
        <f t="shared" si="538"/>
        <v>6618.7654519323178</v>
      </c>
      <c r="BG123" s="23">
        <f t="shared" si="539"/>
        <v>21847.073893812005</v>
      </c>
      <c r="BH123" s="23">
        <f t="shared" si="540"/>
        <v>36682.915954996402</v>
      </c>
      <c r="BI123" s="23">
        <f t="shared" si="541"/>
        <v>29509.731336925612</v>
      </c>
      <c r="BJ123" s="23">
        <f t="shared" si="542"/>
        <v>18129.400568845569</v>
      </c>
      <c r="BK123" s="23">
        <f t="shared" si="543"/>
        <v>13685.408969444736</v>
      </c>
      <c r="BL123" s="23">
        <f t="shared" si="544"/>
        <v>25998.265307802903</v>
      </c>
      <c r="BM123" s="23">
        <f t="shared" si="545"/>
        <v>28415.629621680113</v>
      </c>
      <c r="BN123" s="23">
        <f t="shared" si="546"/>
        <v>25431.573552368311</v>
      </c>
      <c r="BO123" s="23">
        <f t="shared" si="547"/>
        <v>19595.638474703992</v>
      </c>
      <c r="BP123" s="23">
        <f t="shared" si="548"/>
        <v>18202.105616153603</v>
      </c>
      <c r="BQ123" s="22">
        <f t="shared" si="395"/>
        <v>250988.04784914971</v>
      </c>
      <c r="BR123" s="8">
        <f t="shared" si="519"/>
        <v>196549.17656257635</v>
      </c>
      <c r="BS123" s="8">
        <f t="shared" si="396"/>
        <v>447537.22441172606</v>
      </c>
      <c r="BT123" s="8">
        <f t="shared" si="520"/>
        <v>559357.224411726</v>
      </c>
    </row>
    <row r="124" spans="1:74" ht="13.5" customHeight="1" x14ac:dyDescent="0.2">
      <c r="A124" s="15">
        <v>116</v>
      </c>
      <c r="B124" s="15">
        <v>197</v>
      </c>
      <c r="C124" s="14" t="s">
        <v>207</v>
      </c>
      <c r="D124" s="8">
        <v>100000</v>
      </c>
      <c r="E124" s="8">
        <f t="shared" ref="E124:G124" si="635">+F124-15000</f>
        <v>1408000</v>
      </c>
      <c r="F124" s="8">
        <f t="shared" si="635"/>
        <v>1423000</v>
      </c>
      <c r="G124" s="8">
        <f t="shared" si="635"/>
        <v>1438000</v>
      </c>
      <c r="H124" s="8">
        <f t="shared" ref="H124:O124" si="636">+I124-20000</f>
        <v>1453000</v>
      </c>
      <c r="I124" s="8">
        <f t="shared" si="636"/>
        <v>1473000</v>
      </c>
      <c r="J124" s="8">
        <f t="shared" si="636"/>
        <v>1493000</v>
      </c>
      <c r="K124" s="8">
        <f t="shared" si="636"/>
        <v>1513000</v>
      </c>
      <c r="L124" s="8">
        <f t="shared" si="636"/>
        <v>1533000</v>
      </c>
      <c r="M124" s="8">
        <f t="shared" si="636"/>
        <v>1553000</v>
      </c>
      <c r="N124" s="8">
        <f t="shared" si="636"/>
        <v>1573000</v>
      </c>
      <c r="O124" s="8">
        <f t="shared" si="636"/>
        <v>1593000</v>
      </c>
      <c r="P124" s="8">
        <v>1613000</v>
      </c>
      <c r="Q124" s="8">
        <v>600000</v>
      </c>
      <c r="R124" s="8">
        <f>+Q124+100000</f>
        <v>700000</v>
      </c>
      <c r="S124" s="8">
        <f t="shared" ref="S124:U124" si="637">+R124+100000</f>
        <v>800000</v>
      </c>
      <c r="T124" s="8">
        <f t="shared" si="637"/>
        <v>900000</v>
      </c>
      <c r="U124" s="8">
        <f t="shared" si="637"/>
        <v>1000000</v>
      </c>
      <c r="V124" s="8">
        <v>0</v>
      </c>
      <c r="W124" s="8">
        <f>+V124+150000</f>
        <v>150000</v>
      </c>
      <c r="X124" s="8">
        <f t="shared" ref="X124:AA124" si="638">+W124+150000</f>
        <v>300000</v>
      </c>
      <c r="Y124" s="8">
        <f t="shared" si="638"/>
        <v>450000</v>
      </c>
      <c r="Z124" s="8">
        <f t="shared" si="638"/>
        <v>600000</v>
      </c>
      <c r="AA124" s="8">
        <f t="shared" si="638"/>
        <v>750000</v>
      </c>
      <c r="AB124" s="8">
        <v>900000</v>
      </c>
      <c r="AC124" s="8">
        <v>4200000</v>
      </c>
      <c r="AD124" s="8">
        <f>+AC124+100000</f>
        <v>4300000</v>
      </c>
      <c r="AE124" s="8">
        <f t="shared" ref="AE124:AM124" si="639">+AD124+100000</f>
        <v>4400000</v>
      </c>
      <c r="AF124" s="8">
        <f t="shared" si="639"/>
        <v>4500000</v>
      </c>
      <c r="AG124" s="8">
        <f t="shared" si="639"/>
        <v>4600000</v>
      </c>
      <c r="AH124" s="8">
        <f t="shared" si="639"/>
        <v>4700000</v>
      </c>
      <c r="AI124" s="8">
        <f t="shared" si="639"/>
        <v>4800000</v>
      </c>
      <c r="AJ124" s="8">
        <f t="shared" si="639"/>
        <v>4900000</v>
      </c>
      <c r="AK124" s="8">
        <f t="shared" si="639"/>
        <v>5000000</v>
      </c>
      <c r="AL124" s="8">
        <f t="shared" si="639"/>
        <v>5100000</v>
      </c>
      <c r="AM124" s="8">
        <f t="shared" si="639"/>
        <v>5200000</v>
      </c>
      <c r="AN124" s="8">
        <v>5300000</v>
      </c>
      <c r="AO124" s="8">
        <f t="shared" si="382"/>
        <v>7913000</v>
      </c>
      <c r="AP124" s="16">
        <f t="shared" si="383"/>
        <v>24000</v>
      </c>
      <c r="AQ124" s="16">
        <f t="shared" si="384"/>
        <v>25000</v>
      </c>
      <c r="AR124" s="16">
        <f t="shared" si="385"/>
        <v>26000</v>
      </c>
      <c r="AS124" s="16">
        <f t="shared" si="386"/>
        <v>27000</v>
      </c>
      <c r="AT124" s="16">
        <f t="shared" si="387"/>
        <v>28000</v>
      </c>
      <c r="AU124" s="16">
        <f t="shared" si="388"/>
        <v>23500</v>
      </c>
      <c r="AV124" s="16">
        <f t="shared" si="389"/>
        <v>24750</v>
      </c>
      <c r="AW124" s="16">
        <f t="shared" si="390"/>
        <v>26000</v>
      </c>
      <c r="AX124" s="16">
        <f t="shared" si="391"/>
        <v>27250</v>
      </c>
      <c r="AY124" s="16">
        <f t="shared" si="392"/>
        <v>28500</v>
      </c>
      <c r="AZ124" s="16">
        <f t="shared" si="393"/>
        <v>29750</v>
      </c>
      <c r="BA124" s="16">
        <f t="shared" si="394"/>
        <v>31000</v>
      </c>
      <c r="BB124" s="16">
        <v>0</v>
      </c>
      <c r="BC124" s="8">
        <v>0</v>
      </c>
      <c r="BD124" s="16">
        <f t="shared" si="536"/>
        <v>320750</v>
      </c>
      <c r="BE124" s="23">
        <f t="shared" si="537"/>
        <v>11180.20857514927</v>
      </c>
      <c r="BF124" s="23">
        <f t="shared" si="538"/>
        <v>10499.563969590105</v>
      </c>
      <c r="BG124" s="23">
        <f t="shared" si="539"/>
        <v>33863.718402692728</v>
      </c>
      <c r="BH124" s="23">
        <f t="shared" si="540"/>
        <v>55664.843874965074</v>
      </c>
      <c r="BI124" s="23">
        <f t="shared" si="541"/>
        <v>43716.088987973446</v>
      </c>
      <c r="BJ124" s="23">
        <f t="shared" si="542"/>
        <v>39313.686347258845</v>
      </c>
      <c r="BK124" s="23">
        <f t="shared" si="543"/>
        <v>28405.230571304808</v>
      </c>
      <c r="BL124" s="23">
        <f t="shared" si="544"/>
        <v>51912.959336124266</v>
      </c>
      <c r="BM124" s="23">
        <f t="shared" si="545"/>
        <v>54817.006301682195</v>
      </c>
      <c r="BN124" s="23">
        <f t="shared" si="546"/>
        <v>47566.461644244431</v>
      </c>
      <c r="BO124" s="23">
        <f t="shared" si="547"/>
        <v>35642.423812984911</v>
      </c>
      <c r="BP124" s="23">
        <f t="shared" si="548"/>
        <v>32279.977978624713</v>
      </c>
      <c r="BQ124" s="22">
        <f t="shared" si="395"/>
        <v>444862.16980259476</v>
      </c>
      <c r="BR124" s="8">
        <f t="shared" si="519"/>
        <v>0</v>
      </c>
      <c r="BS124" s="8">
        <f t="shared" si="396"/>
        <v>444862.16980259476</v>
      </c>
      <c r="BT124" s="8">
        <f t="shared" si="520"/>
        <v>765612.1698025947</v>
      </c>
    </row>
    <row r="125" spans="1:74" s="110" customFormat="1" ht="13.5" customHeight="1" x14ac:dyDescent="0.2">
      <c r="A125" s="24">
        <v>117</v>
      </c>
      <c r="B125" s="24">
        <v>199</v>
      </c>
      <c r="C125" s="25" t="s">
        <v>120</v>
      </c>
      <c r="D125" s="26">
        <v>100000</v>
      </c>
      <c r="E125" s="26">
        <f t="shared" ref="E125:G125" si="640">+F125-15000</f>
        <v>1408000</v>
      </c>
      <c r="F125" s="26">
        <f t="shared" si="640"/>
        <v>1423000</v>
      </c>
      <c r="G125" s="26">
        <f t="shared" si="640"/>
        <v>1438000</v>
      </c>
      <c r="H125" s="26">
        <f t="shared" ref="H125:O125" si="641">+I125-20000</f>
        <v>1453000</v>
      </c>
      <c r="I125" s="26">
        <f t="shared" si="641"/>
        <v>1473000</v>
      </c>
      <c r="J125" s="26">
        <f t="shared" si="641"/>
        <v>1493000</v>
      </c>
      <c r="K125" s="26">
        <f t="shared" si="641"/>
        <v>1513000</v>
      </c>
      <c r="L125" s="26">
        <f t="shared" si="641"/>
        <v>1533000</v>
      </c>
      <c r="M125" s="26">
        <f t="shared" si="641"/>
        <v>1553000</v>
      </c>
      <c r="N125" s="26">
        <f t="shared" si="641"/>
        <v>1573000</v>
      </c>
      <c r="O125" s="26">
        <f t="shared" si="641"/>
        <v>1593000</v>
      </c>
      <c r="P125" s="26">
        <v>1613000</v>
      </c>
      <c r="Q125" s="26">
        <v>300000</v>
      </c>
      <c r="R125" s="26">
        <f>+Q125+50000</f>
        <v>350000</v>
      </c>
      <c r="S125" s="26">
        <f t="shared" ref="S125:U125" si="642">+R125+50000</f>
        <v>400000</v>
      </c>
      <c r="T125" s="26">
        <f t="shared" si="642"/>
        <v>450000</v>
      </c>
      <c r="U125" s="26">
        <f t="shared" si="642"/>
        <v>500000</v>
      </c>
      <c r="V125" s="26">
        <v>0</v>
      </c>
      <c r="W125" s="26">
        <f>+V125+100000</f>
        <v>100000</v>
      </c>
      <c r="X125" s="26">
        <f t="shared" ref="X125:AA125" si="643">+W125+100000</f>
        <v>200000</v>
      </c>
      <c r="Y125" s="26">
        <f t="shared" si="643"/>
        <v>300000</v>
      </c>
      <c r="Z125" s="26">
        <f t="shared" si="643"/>
        <v>400000</v>
      </c>
      <c r="AA125" s="26">
        <f t="shared" si="643"/>
        <v>500000</v>
      </c>
      <c r="AB125" s="26">
        <v>600000</v>
      </c>
      <c r="AC125" s="26">
        <v>30000</v>
      </c>
      <c r="AD125" s="26">
        <v>0</v>
      </c>
      <c r="AE125" s="26">
        <f t="shared" ref="AE125:AH125" si="644">+AD125+30000</f>
        <v>30000</v>
      </c>
      <c r="AF125" s="26">
        <v>0</v>
      </c>
      <c r="AG125" s="26">
        <f t="shared" si="644"/>
        <v>30000</v>
      </c>
      <c r="AH125" s="26">
        <f t="shared" si="644"/>
        <v>60000</v>
      </c>
      <c r="AI125" s="26">
        <v>10000</v>
      </c>
      <c r="AJ125" s="26">
        <f t="shared" ref="AJ125:AL125" si="645">+AI125+50000</f>
        <v>60000</v>
      </c>
      <c r="AK125" s="26">
        <v>10000</v>
      </c>
      <c r="AL125" s="26">
        <f t="shared" si="645"/>
        <v>60000</v>
      </c>
      <c r="AM125" s="26">
        <v>10000</v>
      </c>
      <c r="AN125" s="26">
        <v>60000</v>
      </c>
      <c r="AO125" s="26">
        <f t="shared" si="382"/>
        <v>2373000</v>
      </c>
      <c r="AP125" s="27">
        <f t="shared" si="383"/>
        <v>1650</v>
      </c>
      <c r="AQ125" s="27">
        <f t="shared" si="384"/>
        <v>1750</v>
      </c>
      <c r="AR125" s="27">
        <f t="shared" si="385"/>
        <v>2150</v>
      </c>
      <c r="AS125" s="27">
        <f t="shared" si="386"/>
        <v>2250</v>
      </c>
      <c r="AT125" s="27">
        <f t="shared" si="387"/>
        <v>2650</v>
      </c>
      <c r="AU125" s="27">
        <f t="shared" si="388"/>
        <v>300</v>
      </c>
      <c r="AV125" s="27">
        <f t="shared" si="389"/>
        <v>550</v>
      </c>
      <c r="AW125" s="27">
        <f t="shared" si="390"/>
        <v>1300</v>
      </c>
      <c r="AX125" s="27">
        <f t="shared" si="391"/>
        <v>1550</v>
      </c>
      <c r="AY125" s="27">
        <f t="shared" si="392"/>
        <v>2300</v>
      </c>
      <c r="AZ125" s="27">
        <f t="shared" si="393"/>
        <v>2550</v>
      </c>
      <c r="BA125" s="27">
        <f t="shared" si="394"/>
        <v>3300</v>
      </c>
      <c r="BB125" s="27">
        <v>900000</v>
      </c>
      <c r="BC125" s="26">
        <v>750000</v>
      </c>
      <c r="BD125" s="27">
        <f t="shared" si="536"/>
        <v>22300</v>
      </c>
      <c r="BE125" s="28">
        <f t="shared" si="537"/>
        <v>3257.6447940907356</v>
      </c>
      <c r="BF125" s="28">
        <f t="shared" si="538"/>
        <v>3014.821909403996</v>
      </c>
      <c r="BG125" s="28">
        <f t="shared" si="539"/>
        <v>9890.7387676609214</v>
      </c>
      <c r="BH125" s="28">
        <f t="shared" si="540"/>
        <v>16035.766184604494</v>
      </c>
      <c r="BI125" s="28">
        <f t="shared" si="541"/>
        <v>12816.804006929897</v>
      </c>
      <c r="BJ125" s="28">
        <f t="shared" si="542"/>
        <v>10326.636505962</v>
      </c>
      <c r="BK125" s="28">
        <f t="shared" si="543"/>
        <v>7457.2927433122331</v>
      </c>
      <c r="BL125" s="28">
        <f t="shared" si="544"/>
        <v>14381.857459868759</v>
      </c>
      <c r="BM125" s="28">
        <f t="shared" si="545"/>
        <v>15149.343005800669</v>
      </c>
      <c r="BN125" s="28">
        <f t="shared" si="546"/>
        <v>13760.919935870525</v>
      </c>
      <c r="BO125" s="28">
        <f t="shared" si="547"/>
        <v>10273.486806228675</v>
      </c>
      <c r="BP125" s="28">
        <f t="shared" si="548"/>
        <v>9680.3219693259762</v>
      </c>
      <c r="BQ125" s="29">
        <f t="shared" si="395"/>
        <v>126045.63408905886</v>
      </c>
      <c r="BR125" s="26">
        <f t="shared" si="519"/>
        <v>196549.17656257635</v>
      </c>
      <c r="BS125" s="26">
        <f t="shared" si="396"/>
        <v>322594.81065163523</v>
      </c>
      <c r="BT125" s="26">
        <f t="shared" si="520"/>
        <v>344894.81065163523</v>
      </c>
      <c r="BU125" s="111">
        <f t="shared" ref="BU125:BU132" si="646">AO125-100000</f>
        <v>2273000</v>
      </c>
      <c r="BV125" s="110">
        <v>88</v>
      </c>
    </row>
    <row r="126" spans="1:74" ht="13.5" customHeight="1" x14ac:dyDescent="0.2">
      <c r="A126" s="15">
        <v>118</v>
      </c>
      <c r="B126" s="15">
        <v>200</v>
      </c>
      <c r="C126" s="14" t="s">
        <v>121</v>
      </c>
      <c r="D126" s="8">
        <v>100000</v>
      </c>
      <c r="E126" s="8">
        <f t="shared" ref="E126:G126" si="647">+F126-15000</f>
        <v>1408000</v>
      </c>
      <c r="F126" s="8">
        <f t="shared" si="647"/>
        <v>1423000</v>
      </c>
      <c r="G126" s="8">
        <f t="shared" si="647"/>
        <v>1438000</v>
      </c>
      <c r="H126" s="8">
        <f t="shared" ref="H126:O126" si="648">+I126-20000</f>
        <v>1453000</v>
      </c>
      <c r="I126" s="8">
        <f t="shared" si="648"/>
        <v>1473000</v>
      </c>
      <c r="J126" s="8">
        <f t="shared" si="648"/>
        <v>1493000</v>
      </c>
      <c r="K126" s="8">
        <f t="shared" si="648"/>
        <v>1513000</v>
      </c>
      <c r="L126" s="8">
        <f t="shared" si="648"/>
        <v>1533000</v>
      </c>
      <c r="M126" s="8">
        <f t="shared" si="648"/>
        <v>1553000</v>
      </c>
      <c r="N126" s="8">
        <f t="shared" si="648"/>
        <v>1573000</v>
      </c>
      <c r="O126" s="8">
        <f t="shared" si="648"/>
        <v>1593000</v>
      </c>
      <c r="P126" s="8">
        <v>1613000</v>
      </c>
      <c r="Q126" s="8">
        <v>500000</v>
      </c>
      <c r="R126" s="8">
        <f>+Q126+100000</f>
        <v>600000</v>
      </c>
      <c r="S126" s="8">
        <f t="shared" ref="S126:AA126" si="649">+R126+100000</f>
        <v>700000</v>
      </c>
      <c r="T126" s="8">
        <f t="shared" si="649"/>
        <v>800000</v>
      </c>
      <c r="U126" s="8">
        <f t="shared" si="649"/>
        <v>900000</v>
      </c>
      <c r="V126" s="8">
        <v>0</v>
      </c>
      <c r="W126" s="8">
        <f t="shared" si="649"/>
        <v>100000</v>
      </c>
      <c r="X126" s="8">
        <f t="shared" si="649"/>
        <v>200000</v>
      </c>
      <c r="Y126" s="8">
        <f t="shared" si="649"/>
        <v>300000</v>
      </c>
      <c r="Z126" s="8">
        <f t="shared" si="649"/>
        <v>400000</v>
      </c>
      <c r="AA126" s="8">
        <f t="shared" si="649"/>
        <v>500000</v>
      </c>
      <c r="AB126" s="8">
        <v>600000</v>
      </c>
      <c r="AC126" s="8">
        <v>50000</v>
      </c>
      <c r="AD126" s="8">
        <f>+AC126+50000</f>
        <v>100000</v>
      </c>
      <c r="AE126" s="8">
        <v>50000</v>
      </c>
      <c r="AF126" s="8">
        <f t="shared" ref="AF126:AL126" si="650">+AE126+50000</f>
        <v>100000</v>
      </c>
      <c r="AG126" s="8">
        <f t="shared" si="650"/>
        <v>150000</v>
      </c>
      <c r="AH126" s="8">
        <v>50000</v>
      </c>
      <c r="AI126" s="8">
        <v>0</v>
      </c>
      <c r="AJ126" s="8">
        <f t="shared" si="650"/>
        <v>50000</v>
      </c>
      <c r="AK126" s="8">
        <v>0</v>
      </c>
      <c r="AL126" s="8">
        <f t="shared" si="650"/>
        <v>50000</v>
      </c>
      <c r="AM126" s="8">
        <v>0</v>
      </c>
      <c r="AN126" s="8">
        <v>50000</v>
      </c>
      <c r="AO126" s="8">
        <f t="shared" si="382"/>
        <v>2363000</v>
      </c>
      <c r="AP126" s="16">
        <f t="shared" si="383"/>
        <v>2750</v>
      </c>
      <c r="AQ126" s="16">
        <f t="shared" si="384"/>
        <v>3500</v>
      </c>
      <c r="AR126" s="16">
        <f t="shared" si="385"/>
        <v>3750</v>
      </c>
      <c r="AS126" s="16">
        <f t="shared" si="386"/>
        <v>4500</v>
      </c>
      <c r="AT126" s="16">
        <f t="shared" si="387"/>
        <v>5250</v>
      </c>
      <c r="AU126" s="16">
        <f t="shared" si="388"/>
        <v>250</v>
      </c>
      <c r="AV126" s="16">
        <f t="shared" si="389"/>
        <v>500</v>
      </c>
      <c r="AW126" s="16">
        <f t="shared" si="390"/>
        <v>1250</v>
      </c>
      <c r="AX126" s="16">
        <f t="shared" si="391"/>
        <v>1500</v>
      </c>
      <c r="AY126" s="16">
        <f t="shared" si="392"/>
        <v>2250</v>
      </c>
      <c r="AZ126" s="16">
        <f t="shared" si="393"/>
        <v>2500</v>
      </c>
      <c r="BA126" s="16">
        <f t="shared" si="394"/>
        <v>3250</v>
      </c>
      <c r="BB126" s="16">
        <v>862500</v>
      </c>
      <c r="BC126" s="8">
        <v>2250000</v>
      </c>
      <c r="BD126" s="16">
        <f t="shared" si="536"/>
        <v>31250</v>
      </c>
      <c r="BE126" s="23">
        <f t="shared" si="537"/>
        <v>3647.5696334269496</v>
      </c>
      <c r="BF126" s="23">
        <f t="shared" si="538"/>
        <v>3578.1895913534881</v>
      </c>
      <c r="BG126" s="23">
        <f t="shared" si="539"/>
        <v>11498.988973784648</v>
      </c>
      <c r="BH126" s="23">
        <f t="shared" si="540"/>
        <v>19638.409611000912</v>
      </c>
      <c r="BI126" s="23">
        <f t="shared" si="541"/>
        <v>15985.961440883082</v>
      </c>
      <c r="BJ126" s="23">
        <f t="shared" si="542"/>
        <v>10264.16441578679</v>
      </c>
      <c r="BK126" s="23">
        <f t="shared" si="543"/>
        <v>7414.0118800312566</v>
      </c>
      <c r="BL126" s="23">
        <f t="shared" si="544"/>
        <v>14305.883569430995</v>
      </c>
      <c r="BM126" s="23">
        <f t="shared" si="545"/>
        <v>15072.168563590782</v>
      </c>
      <c r="BN126" s="23">
        <f t="shared" si="546"/>
        <v>13696.405543297291</v>
      </c>
      <c r="BO126" s="23">
        <f t="shared" si="547"/>
        <v>10226.852730848608</v>
      </c>
      <c r="BP126" s="23">
        <f t="shared" si="548"/>
        <v>9639.5283664211038</v>
      </c>
      <c r="BQ126" s="22">
        <f t="shared" si="395"/>
        <v>134968.13431985592</v>
      </c>
      <c r="BR126" s="8">
        <f t="shared" si="519"/>
        <v>188359.62753913569</v>
      </c>
      <c r="BS126" s="8">
        <f t="shared" si="396"/>
        <v>323327.76185899158</v>
      </c>
      <c r="BT126" s="8">
        <f t="shared" si="520"/>
        <v>354577.76185899158</v>
      </c>
    </row>
    <row r="127" spans="1:74" s="110" customFormat="1" ht="13.5" customHeight="1" x14ac:dyDescent="0.2">
      <c r="A127" s="24">
        <v>119</v>
      </c>
      <c r="B127" s="24">
        <v>201</v>
      </c>
      <c r="C127" s="25" t="s">
        <v>122</v>
      </c>
      <c r="D127" s="26">
        <v>100000</v>
      </c>
      <c r="E127" s="26">
        <f t="shared" ref="E127:G127" si="651">+F127-15000</f>
        <v>1408000</v>
      </c>
      <c r="F127" s="26">
        <f t="shared" si="651"/>
        <v>1423000</v>
      </c>
      <c r="G127" s="26">
        <f t="shared" si="651"/>
        <v>1438000</v>
      </c>
      <c r="H127" s="26">
        <f t="shared" ref="H127:O127" si="652">+I127-20000</f>
        <v>1453000</v>
      </c>
      <c r="I127" s="26">
        <f t="shared" si="652"/>
        <v>1473000</v>
      </c>
      <c r="J127" s="26">
        <f t="shared" si="652"/>
        <v>1493000</v>
      </c>
      <c r="K127" s="26">
        <f t="shared" si="652"/>
        <v>1513000</v>
      </c>
      <c r="L127" s="26">
        <f t="shared" si="652"/>
        <v>1533000</v>
      </c>
      <c r="M127" s="26">
        <f t="shared" si="652"/>
        <v>1553000</v>
      </c>
      <c r="N127" s="26">
        <f t="shared" si="652"/>
        <v>1573000</v>
      </c>
      <c r="O127" s="26">
        <f t="shared" si="652"/>
        <v>1593000</v>
      </c>
      <c r="P127" s="26">
        <v>1613000</v>
      </c>
      <c r="Q127" s="26">
        <v>250000</v>
      </c>
      <c r="R127" s="26">
        <f>+Q127+50000</f>
        <v>300000</v>
      </c>
      <c r="S127" s="26">
        <f t="shared" ref="S127:AA127" si="653">+R127+50000</f>
        <v>350000</v>
      </c>
      <c r="T127" s="26">
        <f t="shared" si="653"/>
        <v>400000</v>
      </c>
      <c r="U127" s="26">
        <f t="shared" si="653"/>
        <v>450000</v>
      </c>
      <c r="V127" s="26">
        <v>0</v>
      </c>
      <c r="W127" s="26">
        <f t="shared" si="653"/>
        <v>50000</v>
      </c>
      <c r="X127" s="26">
        <f t="shared" si="653"/>
        <v>100000</v>
      </c>
      <c r="Y127" s="26">
        <f t="shared" si="653"/>
        <v>150000</v>
      </c>
      <c r="Z127" s="26">
        <f t="shared" si="653"/>
        <v>200000</v>
      </c>
      <c r="AA127" s="26">
        <f t="shared" si="653"/>
        <v>250000</v>
      </c>
      <c r="AB127" s="26">
        <v>300000</v>
      </c>
      <c r="AC127" s="26">
        <v>90000</v>
      </c>
      <c r="AD127" s="26">
        <v>20000</v>
      </c>
      <c r="AE127" s="26">
        <v>0</v>
      </c>
      <c r="AF127" s="26">
        <f t="shared" ref="AF127:AH127" si="654">+AE127+30000</f>
        <v>30000</v>
      </c>
      <c r="AG127" s="26">
        <f t="shared" si="654"/>
        <v>60000</v>
      </c>
      <c r="AH127" s="26">
        <f t="shared" si="654"/>
        <v>90000</v>
      </c>
      <c r="AI127" s="26">
        <v>40000</v>
      </c>
      <c r="AJ127" s="26">
        <f t="shared" ref="AJ127:AM127" si="655">+AI127+50000</f>
        <v>90000</v>
      </c>
      <c r="AK127" s="26">
        <v>0</v>
      </c>
      <c r="AL127" s="26">
        <f t="shared" si="655"/>
        <v>50000</v>
      </c>
      <c r="AM127" s="26">
        <f t="shared" si="655"/>
        <v>100000</v>
      </c>
      <c r="AN127" s="26">
        <v>50000</v>
      </c>
      <c r="AO127" s="26">
        <f t="shared" si="382"/>
        <v>2063000</v>
      </c>
      <c r="AP127" s="27">
        <f t="shared" si="383"/>
        <v>1700</v>
      </c>
      <c r="AQ127" s="27">
        <f t="shared" si="384"/>
        <v>1600</v>
      </c>
      <c r="AR127" s="27">
        <f t="shared" si="385"/>
        <v>1750</v>
      </c>
      <c r="AS127" s="27">
        <f t="shared" si="386"/>
        <v>2150</v>
      </c>
      <c r="AT127" s="27">
        <f t="shared" si="387"/>
        <v>2550</v>
      </c>
      <c r="AU127" s="27">
        <f t="shared" si="388"/>
        <v>450</v>
      </c>
      <c r="AV127" s="27">
        <f t="shared" si="389"/>
        <v>450</v>
      </c>
      <c r="AW127" s="27">
        <f t="shared" si="390"/>
        <v>950</v>
      </c>
      <c r="AX127" s="27">
        <f t="shared" si="391"/>
        <v>750</v>
      </c>
      <c r="AY127" s="27">
        <f t="shared" si="392"/>
        <v>1250</v>
      </c>
      <c r="AZ127" s="27">
        <f t="shared" si="393"/>
        <v>1750</v>
      </c>
      <c r="BA127" s="27">
        <f t="shared" si="394"/>
        <v>1750</v>
      </c>
      <c r="BB127" s="27">
        <v>900000</v>
      </c>
      <c r="BC127" s="26">
        <v>250000</v>
      </c>
      <c r="BD127" s="27">
        <f t="shared" si="536"/>
        <v>17100</v>
      </c>
      <c r="BE127" s="28">
        <f t="shared" si="537"/>
        <v>3275.3686504242</v>
      </c>
      <c r="BF127" s="28">
        <f t="shared" si="538"/>
        <v>2966.5332509511823</v>
      </c>
      <c r="BG127" s="28">
        <f t="shared" si="539"/>
        <v>9488.6762161299885</v>
      </c>
      <c r="BH127" s="28">
        <f t="shared" si="540"/>
        <v>15875.648698986875</v>
      </c>
      <c r="BI127" s="28">
        <f t="shared" si="541"/>
        <v>12694.913336393236</v>
      </c>
      <c r="BJ127" s="28">
        <f t="shared" si="542"/>
        <v>10514.052776487626</v>
      </c>
      <c r="BK127" s="28">
        <f t="shared" si="543"/>
        <v>7370.7310167502801</v>
      </c>
      <c r="BL127" s="28">
        <f t="shared" si="544"/>
        <v>13850.040226804409</v>
      </c>
      <c r="BM127" s="28">
        <f t="shared" si="545"/>
        <v>13914.551930442489</v>
      </c>
      <c r="BN127" s="28">
        <f t="shared" si="546"/>
        <v>12406.117691832638</v>
      </c>
      <c r="BO127" s="28">
        <f t="shared" si="547"/>
        <v>9527.3416001476089</v>
      </c>
      <c r="BP127" s="28">
        <f t="shared" si="548"/>
        <v>8415.7202792749631</v>
      </c>
      <c r="BQ127" s="29">
        <f t="shared" si="395"/>
        <v>120299.6956746255</v>
      </c>
      <c r="BR127" s="26">
        <f t="shared" si="519"/>
        <v>196549.17656257635</v>
      </c>
      <c r="BS127" s="26">
        <f t="shared" si="396"/>
        <v>316848.87223720184</v>
      </c>
      <c r="BT127" s="26">
        <f t="shared" si="520"/>
        <v>333948.87223720184</v>
      </c>
      <c r="BU127" s="111">
        <f t="shared" si="646"/>
        <v>1963000</v>
      </c>
      <c r="BV127" s="110">
        <v>89</v>
      </c>
    </row>
    <row r="128" spans="1:74" s="110" customFormat="1" ht="13.5" customHeight="1" x14ac:dyDescent="0.2">
      <c r="A128" s="24">
        <v>120</v>
      </c>
      <c r="B128" s="24">
        <v>202</v>
      </c>
      <c r="C128" s="25" t="s">
        <v>123</v>
      </c>
      <c r="D128" s="26">
        <v>100000</v>
      </c>
      <c r="E128" s="26">
        <f t="shared" ref="E128:G128" si="656">+F128-15000</f>
        <v>1408000</v>
      </c>
      <c r="F128" s="26">
        <f t="shared" si="656"/>
        <v>1423000</v>
      </c>
      <c r="G128" s="26">
        <f t="shared" si="656"/>
        <v>1438000</v>
      </c>
      <c r="H128" s="26">
        <f t="shared" ref="H128:O128" si="657">+I128-20000</f>
        <v>1453000</v>
      </c>
      <c r="I128" s="26">
        <f t="shared" si="657"/>
        <v>1473000</v>
      </c>
      <c r="J128" s="26">
        <f t="shared" si="657"/>
        <v>1493000</v>
      </c>
      <c r="K128" s="26">
        <f t="shared" si="657"/>
        <v>1513000</v>
      </c>
      <c r="L128" s="26">
        <f t="shared" si="657"/>
        <v>1533000</v>
      </c>
      <c r="M128" s="26">
        <f t="shared" si="657"/>
        <v>1553000</v>
      </c>
      <c r="N128" s="26">
        <f t="shared" si="657"/>
        <v>1573000</v>
      </c>
      <c r="O128" s="26">
        <f t="shared" si="657"/>
        <v>1593000</v>
      </c>
      <c r="P128" s="26">
        <v>1613000</v>
      </c>
      <c r="Q128" s="26">
        <v>300000</v>
      </c>
      <c r="R128" s="26">
        <f>+Q128+50000</f>
        <v>350000</v>
      </c>
      <c r="S128" s="26">
        <f t="shared" ref="S128:U131" si="658">+R128+50000</f>
        <v>400000</v>
      </c>
      <c r="T128" s="26">
        <f t="shared" si="658"/>
        <v>450000</v>
      </c>
      <c r="U128" s="26">
        <f t="shared" si="658"/>
        <v>500000</v>
      </c>
      <c r="V128" s="26">
        <v>0</v>
      </c>
      <c r="W128" s="26">
        <f>+V128+100000</f>
        <v>100000</v>
      </c>
      <c r="X128" s="26">
        <f t="shared" ref="X128:AA129" si="659">+W128+100000</f>
        <v>200000</v>
      </c>
      <c r="Y128" s="26">
        <f t="shared" si="659"/>
        <v>300000</v>
      </c>
      <c r="Z128" s="26">
        <f t="shared" si="659"/>
        <v>400000</v>
      </c>
      <c r="AA128" s="26">
        <f t="shared" si="659"/>
        <v>500000</v>
      </c>
      <c r="AB128" s="26">
        <v>600000</v>
      </c>
      <c r="AC128" s="26">
        <v>1925000</v>
      </c>
      <c r="AD128" s="26">
        <v>1650000</v>
      </c>
      <c r="AE128" s="26">
        <v>1575000</v>
      </c>
      <c r="AF128" s="26">
        <v>1500000</v>
      </c>
      <c r="AG128" s="26">
        <v>1425000</v>
      </c>
      <c r="AH128" s="26">
        <v>1250000</v>
      </c>
      <c r="AI128" s="26">
        <v>100000</v>
      </c>
      <c r="AJ128" s="26">
        <v>100000</v>
      </c>
      <c r="AK128" s="26">
        <f t="shared" ref="AK128:AM128" si="660">+AJ128+100000</f>
        <v>200000</v>
      </c>
      <c r="AL128" s="26">
        <v>200000</v>
      </c>
      <c r="AM128" s="26">
        <f t="shared" si="660"/>
        <v>300000</v>
      </c>
      <c r="AN128" s="26">
        <v>200000</v>
      </c>
      <c r="AO128" s="26">
        <f t="shared" si="382"/>
        <v>2513000</v>
      </c>
      <c r="AP128" s="27">
        <f t="shared" si="383"/>
        <v>11125</v>
      </c>
      <c r="AQ128" s="27">
        <f t="shared" si="384"/>
        <v>10000</v>
      </c>
      <c r="AR128" s="27">
        <f t="shared" si="385"/>
        <v>9875</v>
      </c>
      <c r="AS128" s="27">
        <f t="shared" si="386"/>
        <v>9750</v>
      </c>
      <c r="AT128" s="27">
        <f t="shared" si="387"/>
        <v>9625</v>
      </c>
      <c r="AU128" s="27">
        <f t="shared" si="388"/>
        <v>6250</v>
      </c>
      <c r="AV128" s="27">
        <f t="shared" si="389"/>
        <v>1000</v>
      </c>
      <c r="AW128" s="27">
        <f t="shared" si="390"/>
        <v>1500</v>
      </c>
      <c r="AX128" s="27">
        <f t="shared" si="391"/>
        <v>2500</v>
      </c>
      <c r="AY128" s="27">
        <f t="shared" si="392"/>
        <v>3000</v>
      </c>
      <c r="AZ128" s="27">
        <f t="shared" si="393"/>
        <v>4000</v>
      </c>
      <c r="BA128" s="27">
        <f t="shared" si="394"/>
        <v>4000</v>
      </c>
      <c r="BB128" s="27">
        <v>900000</v>
      </c>
      <c r="BC128" s="26">
        <v>1500000</v>
      </c>
      <c r="BD128" s="27">
        <f t="shared" si="536"/>
        <v>72625</v>
      </c>
      <c r="BE128" s="28">
        <f t="shared" si="537"/>
        <v>6616.3155692822174</v>
      </c>
      <c r="BF128" s="28">
        <f t="shared" si="538"/>
        <v>5670.6981243087439</v>
      </c>
      <c r="BG128" s="28">
        <f t="shared" si="539"/>
        <v>17655.571794102041</v>
      </c>
      <c r="BH128" s="28">
        <f t="shared" si="540"/>
        <v>28044.577605925882</v>
      </c>
      <c r="BI128" s="28">
        <f t="shared" si="541"/>
        <v>21318.678276862</v>
      </c>
      <c r="BJ128" s="28">
        <f t="shared" si="542"/>
        <v>17760.815236811835</v>
      </c>
      <c r="BK128" s="28">
        <f t="shared" si="543"/>
        <v>7846.82051284102</v>
      </c>
      <c r="BL128" s="28">
        <f t="shared" si="544"/>
        <v>14685.753021619816</v>
      </c>
      <c r="BM128" s="28">
        <f t="shared" si="545"/>
        <v>16615.657407788505</v>
      </c>
      <c r="BN128" s="28">
        <f t="shared" si="546"/>
        <v>14664.121431895781</v>
      </c>
      <c r="BO128" s="28">
        <f t="shared" si="547"/>
        <v>11625.874992250607</v>
      </c>
      <c r="BP128" s="28">
        <f t="shared" si="548"/>
        <v>10251.432409994175</v>
      </c>
      <c r="BQ128" s="29">
        <f t="shared" si="395"/>
        <v>172756.31638368266</v>
      </c>
      <c r="BR128" s="26">
        <f t="shared" si="519"/>
        <v>196549.17656257635</v>
      </c>
      <c r="BS128" s="26">
        <f t="shared" si="396"/>
        <v>369305.49294625898</v>
      </c>
      <c r="BT128" s="26">
        <f t="shared" si="520"/>
        <v>441930.49294625898</v>
      </c>
      <c r="BU128" s="111">
        <f t="shared" si="646"/>
        <v>2413000</v>
      </c>
      <c r="BV128" s="110">
        <v>90</v>
      </c>
    </row>
    <row r="129" spans="1:74" ht="13.5" customHeight="1" x14ac:dyDescent="0.2">
      <c r="A129" s="15">
        <v>121</v>
      </c>
      <c r="B129" s="15">
        <v>203</v>
      </c>
      <c r="C129" s="14" t="s">
        <v>124</v>
      </c>
      <c r="D129" s="8">
        <v>100000</v>
      </c>
      <c r="E129" s="8">
        <f t="shared" ref="E129:G129" si="661">+F129-15000</f>
        <v>1408000</v>
      </c>
      <c r="F129" s="8">
        <f t="shared" si="661"/>
        <v>1423000</v>
      </c>
      <c r="G129" s="8">
        <f t="shared" si="661"/>
        <v>1438000</v>
      </c>
      <c r="H129" s="8">
        <f t="shared" ref="H129:O129" si="662">+I129-20000</f>
        <v>1453000</v>
      </c>
      <c r="I129" s="8">
        <f t="shared" si="662"/>
        <v>1473000</v>
      </c>
      <c r="J129" s="8">
        <f t="shared" si="662"/>
        <v>1493000</v>
      </c>
      <c r="K129" s="8">
        <f t="shared" si="662"/>
        <v>1513000</v>
      </c>
      <c r="L129" s="8">
        <f t="shared" si="662"/>
        <v>1533000</v>
      </c>
      <c r="M129" s="8">
        <f t="shared" si="662"/>
        <v>1553000</v>
      </c>
      <c r="N129" s="8">
        <f t="shared" si="662"/>
        <v>1573000</v>
      </c>
      <c r="O129" s="8">
        <f t="shared" si="662"/>
        <v>1593000</v>
      </c>
      <c r="P129" s="8">
        <v>1613000</v>
      </c>
      <c r="Q129" s="8">
        <v>300000</v>
      </c>
      <c r="R129" s="8">
        <f>+Q129+50000</f>
        <v>350000</v>
      </c>
      <c r="S129" s="8">
        <f t="shared" si="658"/>
        <v>400000</v>
      </c>
      <c r="T129" s="8">
        <f t="shared" si="658"/>
        <v>450000</v>
      </c>
      <c r="U129" s="8">
        <f t="shared" si="658"/>
        <v>500000</v>
      </c>
      <c r="V129" s="8">
        <v>0</v>
      </c>
      <c r="W129" s="8">
        <f>+V129+100000</f>
        <v>100000</v>
      </c>
      <c r="X129" s="8">
        <f t="shared" si="659"/>
        <v>200000</v>
      </c>
      <c r="Y129" s="8">
        <f t="shared" si="659"/>
        <v>300000</v>
      </c>
      <c r="Z129" s="8">
        <f t="shared" si="659"/>
        <v>400000</v>
      </c>
      <c r="AA129" s="8">
        <f t="shared" si="659"/>
        <v>500000</v>
      </c>
      <c r="AB129" s="8">
        <v>600000</v>
      </c>
      <c r="AC129" s="8">
        <v>30000</v>
      </c>
      <c r="AD129" s="8">
        <v>30000</v>
      </c>
      <c r="AE129" s="8">
        <v>30000</v>
      </c>
      <c r="AF129" s="8">
        <v>30000</v>
      </c>
      <c r="AG129" s="8">
        <v>30000</v>
      </c>
      <c r="AH129" s="8">
        <v>30000</v>
      </c>
      <c r="AI129" s="8">
        <v>30000</v>
      </c>
      <c r="AJ129" s="8">
        <v>30000</v>
      </c>
      <c r="AK129" s="8">
        <v>30000</v>
      </c>
      <c r="AL129" s="8">
        <v>30000</v>
      </c>
      <c r="AM129" s="8">
        <v>30000</v>
      </c>
      <c r="AN129" s="8">
        <v>30000</v>
      </c>
      <c r="AO129" s="8">
        <f t="shared" si="382"/>
        <v>2343000</v>
      </c>
      <c r="AP129" s="16">
        <f t="shared" si="383"/>
        <v>1650</v>
      </c>
      <c r="AQ129" s="16">
        <f t="shared" si="384"/>
        <v>1900</v>
      </c>
      <c r="AR129" s="16">
        <f t="shared" si="385"/>
        <v>2150</v>
      </c>
      <c r="AS129" s="16">
        <f t="shared" si="386"/>
        <v>2400</v>
      </c>
      <c r="AT129" s="16">
        <f t="shared" si="387"/>
        <v>2650</v>
      </c>
      <c r="AU129" s="16">
        <f t="shared" si="388"/>
        <v>150</v>
      </c>
      <c r="AV129" s="16">
        <f t="shared" si="389"/>
        <v>650</v>
      </c>
      <c r="AW129" s="16">
        <f t="shared" si="390"/>
        <v>1150</v>
      </c>
      <c r="AX129" s="16">
        <f t="shared" si="391"/>
        <v>1650</v>
      </c>
      <c r="AY129" s="16">
        <f t="shared" si="392"/>
        <v>2150</v>
      </c>
      <c r="AZ129" s="16">
        <f t="shared" si="393"/>
        <v>2650</v>
      </c>
      <c r="BA129" s="16">
        <f t="shared" si="394"/>
        <v>3150</v>
      </c>
      <c r="BB129" s="16">
        <v>540000</v>
      </c>
      <c r="BC129" s="8">
        <v>0</v>
      </c>
      <c r="BD129" s="16">
        <f t="shared" si="536"/>
        <v>22300</v>
      </c>
      <c r="BE129" s="23">
        <f t="shared" si="537"/>
        <v>3257.6447940907356</v>
      </c>
      <c r="BF129" s="23">
        <f t="shared" si="538"/>
        <v>3063.1105678568097</v>
      </c>
      <c r="BG129" s="23">
        <f t="shared" si="539"/>
        <v>9890.7387676609214</v>
      </c>
      <c r="BH129" s="23">
        <f t="shared" si="540"/>
        <v>16275.942413030922</v>
      </c>
      <c r="BI129" s="23">
        <f t="shared" si="541"/>
        <v>12816.804006929897</v>
      </c>
      <c r="BJ129" s="23">
        <f t="shared" si="542"/>
        <v>10139.220235436374</v>
      </c>
      <c r="BK129" s="23">
        <f t="shared" si="543"/>
        <v>7543.8544698741853</v>
      </c>
      <c r="BL129" s="23">
        <f t="shared" si="544"/>
        <v>14153.935788555465</v>
      </c>
      <c r="BM129" s="23">
        <f t="shared" si="545"/>
        <v>15303.69189022044</v>
      </c>
      <c r="BN129" s="23">
        <f t="shared" si="546"/>
        <v>13567.376758150825</v>
      </c>
      <c r="BO129" s="23">
        <f t="shared" si="547"/>
        <v>10366.754956988809</v>
      </c>
      <c r="BP129" s="23">
        <f t="shared" si="548"/>
        <v>9557.9411606113608</v>
      </c>
      <c r="BQ129" s="22">
        <f t="shared" si="395"/>
        <v>125937.01580940674</v>
      </c>
      <c r="BR129" s="8">
        <f t="shared" si="519"/>
        <v>117929.50593754582</v>
      </c>
      <c r="BS129" s="8">
        <f t="shared" si="396"/>
        <v>243866.52174695255</v>
      </c>
      <c r="BT129" s="8">
        <f t="shared" si="520"/>
        <v>266166.52174695255</v>
      </c>
    </row>
    <row r="130" spans="1:74" s="135" customFormat="1" ht="13.5" customHeight="1" x14ac:dyDescent="0.2">
      <c r="A130" s="128">
        <v>122</v>
      </c>
      <c r="B130" s="128">
        <v>215</v>
      </c>
      <c r="C130" s="129" t="s">
        <v>56</v>
      </c>
      <c r="D130" s="130">
        <v>100000</v>
      </c>
      <c r="E130" s="130">
        <f t="shared" ref="E130:G130" si="663">+F130-25000</f>
        <v>1600000</v>
      </c>
      <c r="F130" s="130">
        <f t="shared" si="663"/>
        <v>1625000</v>
      </c>
      <c r="G130" s="130">
        <f t="shared" si="663"/>
        <v>1650000</v>
      </c>
      <c r="H130" s="130">
        <f t="shared" ref="H130:O130" si="664">+I130-50000</f>
        <v>1675000</v>
      </c>
      <c r="I130" s="130">
        <f t="shared" si="664"/>
        <v>1725000</v>
      </c>
      <c r="J130" s="130">
        <f t="shared" si="664"/>
        <v>1775000</v>
      </c>
      <c r="K130" s="130">
        <f t="shared" si="664"/>
        <v>1825000</v>
      </c>
      <c r="L130" s="130">
        <f t="shared" si="664"/>
        <v>1875000</v>
      </c>
      <c r="M130" s="130">
        <f t="shared" si="664"/>
        <v>1925000</v>
      </c>
      <c r="N130" s="130">
        <f t="shared" si="664"/>
        <v>1975000</v>
      </c>
      <c r="O130" s="130">
        <f t="shared" si="664"/>
        <v>2025000</v>
      </c>
      <c r="P130" s="130">
        <v>2075000</v>
      </c>
      <c r="Q130" s="130">
        <v>900000</v>
      </c>
      <c r="R130" s="130">
        <f>+Q130+150000</f>
        <v>1050000</v>
      </c>
      <c r="S130" s="130">
        <f t="shared" ref="S130:U130" si="665">+R130+150000</f>
        <v>1200000</v>
      </c>
      <c r="T130" s="130">
        <f t="shared" si="665"/>
        <v>1350000</v>
      </c>
      <c r="U130" s="130">
        <f t="shared" si="665"/>
        <v>1500000</v>
      </c>
      <c r="V130" s="130">
        <v>0</v>
      </c>
      <c r="W130" s="130">
        <f t="shared" ref="W130" si="666">+V130+200000</f>
        <v>200000</v>
      </c>
      <c r="X130" s="130">
        <f t="shared" ref="X130" si="667">+W130+200000</f>
        <v>400000</v>
      </c>
      <c r="Y130" s="130">
        <f t="shared" ref="Y130" si="668">+X130+200000</f>
        <v>600000</v>
      </c>
      <c r="Z130" s="130">
        <f t="shared" ref="Z130" si="669">+Y130+200000</f>
        <v>800000</v>
      </c>
      <c r="AA130" s="130">
        <f t="shared" ref="AA130" si="670">+Z130+200000</f>
        <v>1000000</v>
      </c>
      <c r="AB130" s="130">
        <v>1200000</v>
      </c>
      <c r="AC130" s="130">
        <v>115000</v>
      </c>
      <c r="AD130" s="130">
        <f>+AC130+100000</f>
        <v>215000</v>
      </c>
      <c r="AE130" s="130">
        <f>+AD130+100000-300000</f>
        <v>15000</v>
      </c>
      <c r="AF130" s="130">
        <f t="shared" ref="AF130:AM130" si="671">+AE130+100000</f>
        <v>115000</v>
      </c>
      <c r="AG130" s="130">
        <f t="shared" si="671"/>
        <v>215000</v>
      </c>
      <c r="AH130" s="130">
        <f>+AG130+100000-200000</f>
        <v>115000</v>
      </c>
      <c r="AI130" s="130">
        <f t="shared" si="671"/>
        <v>215000</v>
      </c>
      <c r="AJ130" s="130">
        <f t="shared" si="671"/>
        <v>315000</v>
      </c>
      <c r="AK130" s="130">
        <f t="shared" si="671"/>
        <v>415000</v>
      </c>
      <c r="AL130" s="130">
        <f>+AK130+100000-500000</f>
        <v>15000</v>
      </c>
      <c r="AM130" s="130">
        <f t="shared" si="671"/>
        <v>115000</v>
      </c>
      <c r="AN130" s="130">
        <v>15000</v>
      </c>
      <c r="AO130" s="130">
        <f t="shared" si="382"/>
        <v>3390000</v>
      </c>
      <c r="AP130" s="131">
        <f t="shared" si="383"/>
        <v>5075</v>
      </c>
      <c r="AQ130" s="131">
        <f t="shared" si="384"/>
        <v>6325</v>
      </c>
      <c r="AR130" s="131">
        <f t="shared" si="385"/>
        <v>6075</v>
      </c>
      <c r="AS130" s="131">
        <f t="shared" si="386"/>
        <v>7325</v>
      </c>
      <c r="AT130" s="131">
        <f t="shared" si="387"/>
        <v>8575</v>
      </c>
      <c r="AU130" s="131">
        <f t="shared" si="388"/>
        <v>575</v>
      </c>
      <c r="AV130" s="131">
        <f t="shared" si="389"/>
        <v>2075</v>
      </c>
      <c r="AW130" s="131">
        <f t="shared" si="390"/>
        <v>3575</v>
      </c>
      <c r="AX130" s="131">
        <f t="shared" si="391"/>
        <v>5075</v>
      </c>
      <c r="AY130" s="131">
        <f t="shared" si="392"/>
        <v>4075</v>
      </c>
      <c r="AZ130" s="131">
        <f t="shared" si="393"/>
        <v>5575</v>
      </c>
      <c r="BA130" s="131">
        <f t="shared" si="394"/>
        <v>6075</v>
      </c>
      <c r="BB130" s="131">
        <v>1800000</v>
      </c>
      <c r="BC130" s="130">
        <v>7081000</v>
      </c>
      <c r="BD130" s="131">
        <f t="shared" si="536"/>
        <v>60400</v>
      </c>
      <c r="BE130" s="132">
        <f t="shared" si="537"/>
        <v>4812.0269945355531</v>
      </c>
      <c r="BF130" s="132">
        <f t="shared" si="538"/>
        <v>4812.7696257970892</v>
      </c>
      <c r="BG130" s="132">
        <f t="shared" si="539"/>
        <v>14901.443316115157</v>
      </c>
      <c r="BH130" s="132">
        <f t="shared" si="540"/>
        <v>25939.032670054199</v>
      </c>
      <c r="BI130" s="132">
        <f t="shared" si="541"/>
        <v>21574.648684988984</v>
      </c>
      <c r="BJ130" s="132">
        <f t="shared" si="542"/>
        <v>12431.945944866533</v>
      </c>
      <c r="BK130" s="132">
        <f t="shared" si="543"/>
        <v>10127.722007748476</v>
      </c>
      <c r="BL130" s="132">
        <f t="shared" si="544"/>
        <v>20436.976527758565</v>
      </c>
      <c r="BM130" s="132">
        <f t="shared" si="545"/>
        <v>23461.030431805415</v>
      </c>
      <c r="BN130" s="132">
        <f t="shared" si="546"/>
        <v>18644.659453664237</v>
      </c>
      <c r="BO130" s="132">
        <f t="shared" si="547"/>
        <v>15109.440423141583</v>
      </c>
      <c r="BP130" s="132">
        <f t="shared" si="548"/>
        <v>13829.031384751393</v>
      </c>
      <c r="BQ130" s="133">
        <f t="shared" si="395"/>
        <v>186080.72746522722</v>
      </c>
      <c r="BR130" s="130">
        <f t="shared" si="519"/>
        <v>393098.3531251527</v>
      </c>
      <c r="BS130" s="130">
        <f t="shared" si="396"/>
        <v>579179.08059037989</v>
      </c>
      <c r="BT130" s="130">
        <f t="shared" si="520"/>
        <v>639579.08059037989</v>
      </c>
      <c r="BU130" s="134">
        <f t="shared" si="646"/>
        <v>3290000</v>
      </c>
      <c r="BV130" s="135">
        <v>91</v>
      </c>
    </row>
    <row r="131" spans="1:74" s="110" customFormat="1" ht="13.5" customHeight="1" x14ac:dyDescent="0.2">
      <c r="A131" s="24">
        <v>123</v>
      </c>
      <c r="B131" s="24">
        <v>204</v>
      </c>
      <c r="C131" s="25" t="s">
        <v>125</v>
      </c>
      <c r="D131" s="26">
        <v>100000</v>
      </c>
      <c r="E131" s="26">
        <f t="shared" ref="E131:G131" si="672">+F131-15000</f>
        <v>1408000</v>
      </c>
      <c r="F131" s="26">
        <f t="shared" si="672"/>
        <v>1423000</v>
      </c>
      <c r="G131" s="26">
        <f t="shared" si="672"/>
        <v>1438000</v>
      </c>
      <c r="H131" s="26">
        <f t="shared" ref="H131:O131" si="673">+I131-20000</f>
        <v>1453000</v>
      </c>
      <c r="I131" s="26">
        <f t="shared" si="673"/>
        <v>1473000</v>
      </c>
      <c r="J131" s="26">
        <f t="shared" si="673"/>
        <v>1493000</v>
      </c>
      <c r="K131" s="26">
        <f t="shared" si="673"/>
        <v>1513000</v>
      </c>
      <c r="L131" s="26">
        <f t="shared" si="673"/>
        <v>1533000</v>
      </c>
      <c r="M131" s="26">
        <f t="shared" si="673"/>
        <v>1553000</v>
      </c>
      <c r="N131" s="26">
        <f t="shared" si="673"/>
        <v>1573000</v>
      </c>
      <c r="O131" s="26">
        <f t="shared" si="673"/>
        <v>1593000</v>
      </c>
      <c r="P131" s="26">
        <v>1613000</v>
      </c>
      <c r="Q131" s="26">
        <v>300000</v>
      </c>
      <c r="R131" s="26">
        <f>+Q131+50000</f>
        <v>350000</v>
      </c>
      <c r="S131" s="26">
        <f t="shared" si="658"/>
        <v>400000</v>
      </c>
      <c r="T131" s="26">
        <f t="shared" si="658"/>
        <v>450000</v>
      </c>
      <c r="U131" s="26">
        <f t="shared" si="658"/>
        <v>500000</v>
      </c>
      <c r="V131" s="26">
        <v>0</v>
      </c>
      <c r="W131" s="26">
        <v>100000</v>
      </c>
      <c r="X131" s="26">
        <v>100000</v>
      </c>
      <c r="Y131" s="26">
        <v>100000</v>
      </c>
      <c r="Z131" s="26">
        <v>100000</v>
      </c>
      <c r="AA131" s="26">
        <v>100000</v>
      </c>
      <c r="AB131" s="26">
        <v>100000</v>
      </c>
      <c r="AC131" s="26">
        <v>90000</v>
      </c>
      <c r="AD131" s="26">
        <v>20000</v>
      </c>
      <c r="AE131" s="26">
        <v>50000</v>
      </c>
      <c r="AF131" s="26">
        <v>80000</v>
      </c>
      <c r="AG131" s="26">
        <v>20000</v>
      </c>
      <c r="AH131" s="26">
        <v>50000</v>
      </c>
      <c r="AI131" s="26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f t="shared" si="382"/>
        <v>1813000</v>
      </c>
      <c r="AP131" s="27">
        <f t="shared" si="383"/>
        <v>1950</v>
      </c>
      <c r="AQ131" s="27">
        <f t="shared" si="384"/>
        <v>1850</v>
      </c>
      <c r="AR131" s="27">
        <f t="shared" si="385"/>
        <v>2250</v>
      </c>
      <c r="AS131" s="27">
        <f t="shared" si="386"/>
        <v>2650</v>
      </c>
      <c r="AT131" s="27">
        <f t="shared" si="387"/>
        <v>2600</v>
      </c>
      <c r="AU131" s="27">
        <f t="shared" si="388"/>
        <v>250</v>
      </c>
      <c r="AV131" s="27">
        <f t="shared" si="389"/>
        <v>500</v>
      </c>
      <c r="AW131" s="27">
        <f t="shared" si="390"/>
        <v>500</v>
      </c>
      <c r="AX131" s="27">
        <f t="shared" si="391"/>
        <v>500</v>
      </c>
      <c r="AY131" s="27">
        <f t="shared" si="392"/>
        <v>500</v>
      </c>
      <c r="AZ131" s="27">
        <f t="shared" si="393"/>
        <v>500</v>
      </c>
      <c r="BA131" s="27">
        <f t="shared" si="394"/>
        <v>500</v>
      </c>
      <c r="BB131" s="27">
        <v>810000</v>
      </c>
      <c r="BC131" s="26">
        <v>1247000</v>
      </c>
      <c r="BD131" s="27">
        <f t="shared" si="536"/>
        <v>14550</v>
      </c>
      <c r="BE131" s="28">
        <f t="shared" si="537"/>
        <v>3363.9879320915211</v>
      </c>
      <c r="BF131" s="28">
        <f t="shared" si="538"/>
        <v>3047.0143483725383</v>
      </c>
      <c r="BG131" s="28">
        <f t="shared" si="539"/>
        <v>9991.2544055436538</v>
      </c>
      <c r="BH131" s="28">
        <f t="shared" si="540"/>
        <v>16676.236127074968</v>
      </c>
      <c r="BI131" s="28">
        <f t="shared" si="541"/>
        <v>12755.858671661566</v>
      </c>
      <c r="BJ131" s="28">
        <f t="shared" si="542"/>
        <v>10264.16441578679</v>
      </c>
      <c r="BK131" s="28">
        <f t="shared" si="543"/>
        <v>7414.0118800312566</v>
      </c>
      <c r="BL131" s="28">
        <f t="shared" si="544"/>
        <v>13166.275212864532</v>
      </c>
      <c r="BM131" s="28">
        <f t="shared" si="545"/>
        <v>13528.679719393058</v>
      </c>
      <c r="BN131" s="28">
        <f t="shared" si="546"/>
        <v>11438.401803234148</v>
      </c>
      <c r="BO131" s="28">
        <f t="shared" si="547"/>
        <v>8361.4897156459447</v>
      </c>
      <c r="BP131" s="28">
        <f t="shared" si="548"/>
        <v>7395.8802066531789</v>
      </c>
      <c r="BQ131" s="29">
        <f t="shared" si="395"/>
        <v>117403.25443835316</v>
      </c>
      <c r="BR131" s="26">
        <f t="shared" si="519"/>
        <v>176894.25890631872</v>
      </c>
      <c r="BS131" s="26">
        <f t="shared" si="396"/>
        <v>294297.51334467187</v>
      </c>
      <c r="BT131" s="26">
        <f t="shared" si="520"/>
        <v>308847.51334467187</v>
      </c>
      <c r="BU131" s="111">
        <f t="shared" si="646"/>
        <v>1713000</v>
      </c>
      <c r="BV131" s="116">
        <v>143</v>
      </c>
    </row>
    <row r="132" spans="1:74" s="110" customFormat="1" ht="13.5" customHeight="1" x14ac:dyDescent="0.2">
      <c r="A132" s="24">
        <v>124</v>
      </c>
      <c r="B132" s="24">
        <v>205</v>
      </c>
      <c r="C132" s="25" t="s">
        <v>126</v>
      </c>
      <c r="D132" s="26">
        <v>100000</v>
      </c>
      <c r="E132" s="26">
        <f t="shared" ref="E132:G132" si="674">+F132-15000</f>
        <v>1398000</v>
      </c>
      <c r="F132" s="26">
        <f t="shared" si="674"/>
        <v>1413000</v>
      </c>
      <c r="G132" s="26">
        <f t="shared" si="674"/>
        <v>1428000</v>
      </c>
      <c r="H132" s="26">
        <f t="shared" ref="H132:O132" si="675">+I132-20000</f>
        <v>1443000</v>
      </c>
      <c r="I132" s="26">
        <f t="shared" si="675"/>
        <v>1463000</v>
      </c>
      <c r="J132" s="26">
        <f t="shared" si="675"/>
        <v>1483000</v>
      </c>
      <c r="K132" s="26">
        <f t="shared" si="675"/>
        <v>1503000</v>
      </c>
      <c r="L132" s="26">
        <f t="shared" si="675"/>
        <v>1523000</v>
      </c>
      <c r="M132" s="26">
        <f t="shared" si="675"/>
        <v>1543000</v>
      </c>
      <c r="N132" s="26">
        <f t="shared" si="675"/>
        <v>1563000</v>
      </c>
      <c r="O132" s="26">
        <f t="shared" si="675"/>
        <v>1583000</v>
      </c>
      <c r="P132" s="26">
        <v>1603000</v>
      </c>
      <c r="Q132" s="26">
        <v>90000</v>
      </c>
      <c r="R132" s="26">
        <f>+Q132+15000</f>
        <v>105000</v>
      </c>
      <c r="S132" s="26">
        <f t="shared" ref="S132:U132" si="676">+R132+15000</f>
        <v>120000</v>
      </c>
      <c r="T132" s="26">
        <f t="shared" si="676"/>
        <v>135000</v>
      </c>
      <c r="U132" s="26">
        <f t="shared" si="676"/>
        <v>150000</v>
      </c>
      <c r="V132" s="26">
        <v>0</v>
      </c>
      <c r="W132" s="26">
        <f>+V132+20000</f>
        <v>20000</v>
      </c>
      <c r="X132" s="26">
        <f t="shared" ref="X132:AA132" si="677">+W132+20000</f>
        <v>40000</v>
      </c>
      <c r="Y132" s="26">
        <f t="shared" si="677"/>
        <v>60000</v>
      </c>
      <c r="Z132" s="26">
        <f t="shared" si="677"/>
        <v>80000</v>
      </c>
      <c r="AA132" s="26">
        <f t="shared" si="677"/>
        <v>100000</v>
      </c>
      <c r="AB132" s="26">
        <v>100000</v>
      </c>
      <c r="AC132" s="26">
        <v>45000</v>
      </c>
      <c r="AD132" s="26">
        <f>+AC132+10000</f>
        <v>55000</v>
      </c>
      <c r="AE132" s="26">
        <f t="shared" ref="AE132:AM132" si="678">+AD132+10000</f>
        <v>65000</v>
      </c>
      <c r="AF132" s="26">
        <f t="shared" si="678"/>
        <v>75000</v>
      </c>
      <c r="AG132" s="26">
        <v>35000</v>
      </c>
      <c r="AH132" s="26">
        <f t="shared" si="678"/>
        <v>45000</v>
      </c>
      <c r="AI132" s="26">
        <f t="shared" si="678"/>
        <v>55000</v>
      </c>
      <c r="AJ132" s="26">
        <f t="shared" si="678"/>
        <v>65000</v>
      </c>
      <c r="AK132" s="26">
        <f t="shared" si="678"/>
        <v>75000</v>
      </c>
      <c r="AL132" s="26">
        <f t="shared" si="678"/>
        <v>85000</v>
      </c>
      <c r="AM132" s="26">
        <f t="shared" si="678"/>
        <v>95000</v>
      </c>
      <c r="AN132" s="26">
        <v>55000</v>
      </c>
      <c r="AO132" s="26">
        <f t="shared" si="382"/>
        <v>1858000</v>
      </c>
      <c r="AP132" s="27">
        <f t="shared" si="383"/>
        <v>675</v>
      </c>
      <c r="AQ132" s="27">
        <f t="shared" si="384"/>
        <v>800</v>
      </c>
      <c r="AR132" s="27">
        <f t="shared" si="385"/>
        <v>925</v>
      </c>
      <c r="AS132" s="27">
        <f t="shared" si="386"/>
        <v>1050</v>
      </c>
      <c r="AT132" s="27">
        <f t="shared" si="387"/>
        <v>925</v>
      </c>
      <c r="AU132" s="27">
        <f t="shared" si="388"/>
        <v>225</v>
      </c>
      <c r="AV132" s="27">
        <f t="shared" si="389"/>
        <v>375</v>
      </c>
      <c r="AW132" s="27">
        <f t="shared" si="390"/>
        <v>525</v>
      </c>
      <c r="AX132" s="27">
        <f t="shared" si="391"/>
        <v>675</v>
      </c>
      <c r="AY132" s="27">
        <f t="shared" si="392"/>
        <v>825</v>
      </c>
      <c r="AZ132" s="27">
        <f t="shared" si="393"/>
        <v>975</v>
      </c>
      <c r="BA132" s="27">
        <f t="shared" si="394"/>
        <v>775</v>
      </c>
      <c r="BB132" s="27">
        <v>900000</v>
      </c>
      <c r="BC132" s="26">
        <v>4000000</v>
      </c>
      <c r="BD132" s="27">
        <f t="shared" si="536"/>
        <v>8750</v>
      </c>
      <c r="BE132" s="28">
        <f t="shared" si="537"/>
        <v>2894.3057392547175</v>
      </c>
      <c r="BF132" s="28">
        <f t="shared" si="538"/>
        <v>2692.8975197185719</v>
      </c>
      <c r="BG132" s="28">
        <f t="shared" si="539"/>
        <v>8609.1643846560764</v>
      </c>
      <c r="BH132" s="28">
        <f t="shared" si="540"/>
        <v>14034.297614384262</v>
      </c>
      <c r="BI132" s="28">
        <f t="shared" si="541"/>
        <v>10653.244604904166</v>
      </c>
      <c r="BJ132" s="28">
        <f t="shared" si="542"/>
        <v>10170.456280523978</v>
      </c>
      <c r="BK132" s="28">
        <f t="shared" si="543"/>
        <v>7262.5288585478393</v>
      </c>
      <c r="BL132" s="28">
        <f t="shared" si="544"/>
        <v>13128.28826764565</v>
      </c>
      <c r="BM132" s="28">
        <f t="shared" si="545"/>
        <v>13721.615824917773</v>
      </c>
      <c r="BN132" s="28">
        <f t="shared" si="546"/>
        <v>11793.230962386928</v>
      </c>
      <c r="BO132" s="28">
        <f t="shared" si="547"/>
        <v>8757.8793563765103</v>
      </c>
      <c r="BP132" s="28">
        <f t="shared" si="548"/>
        <v>7579.4514197251001</v>
      </c>
      <c r="BQ132" s="29">
        <f t="shared" si="395"/>
        <v>111297.36083304156</v>
      </c>
      <c r="BR132" s="26">
        <f t="shared" si="519"/>
        <v>196549.17656257635</v>
      </c>
      <c r="BS132" s="26">
        <f t="shared" si="396"/>
        <v>307846.53739561792</v>
      </c>
      <c r="BT132" s="26">
        <f t="shared" si="520"/>
        <v>316596.53739561792</v>
      </c>
      <c r="BU132" s="111">
        <f t="shared" si="646"/>
        <v>1758000</v>
      </c>
      <c r="BV132" s="110">
        <v>92</v>
      </c>
    </row>
    <row r="133" spans="1:74" ht="13.5" customHeight="1" x14ac:dyDescent="0.2">
      <c r="A133" s="15">
        <v>125</v>
      </c>
      <c r="B133" s="15">
        <v>206</v>
      </c>
      <c r="C133" s="14" t="s">
        <v>127</v>
      </c>
      <c r="D133" s="8">
        <v>100000</v>
      </c>
      <c r="E133" s="8">
        <f t="shared" ref="E133:G133" si="679">+F133-15000</f>
        <v>1398000</v>
      </c>
      <c r="F133" s="8">
        <f t="shared" si="679"/>
        <v>1413000</v>
      </c>
      <c r="G133" s="8">
        <f t="shared" si="679"/>
        <v>1428000</v>
      </c>
      <c r="H133" s="8">
        <f t="shared" ref="H133:O133" si="680">+I133-20000</f>
        <v>1443000</v>
      </c>
      <c r="I133" s="8">
        <f t="shared" si="680"/>
        <v>1463000</v>
      </c>
      <c r="J133" s="8">
        <f t="shared" si="680"/>
        <v>1483000</v>
      </c>
      <c r="K133" s="8">
        <f t="shared" si="680"/>
        <v>1503000</v>
      </c>
      <c r="L133" s="8">
        <f t="shared" si="680"/>
        <v>1523000</v>
      </c>
      <c r="M133" s="8">
        <f t="shared" si="680"/>
        <v>1543000</v>
      </c>
      <c r="N133" s="8">
        <f t="shared" si="680"/>
        <v>1563000</v>
      </c>
      <c r="O133" s="8">
        <f t="shared" si="680"/>
        <v>1583000</v>
      </c>
      <c r="P133" s="8">
        <v>1603000</v>
      </c>
      <c r="Q133" s="8">
        <v>150000</v>
      </c>
      <c r="R133" s="8">
        <f>+Q133+25000</f>
        <v>175000</v>
      </c>
      <c r="S133" s="8">
        <f t="shared" ref="S133:AA133" si="681">+R133+25000</f>
        <v>200000</v>
      </c>
      <c r="T133" s="8">
        <f t="shared" si="681"/>
        <v>225000</v>
      </c>
      <c r="U133" s="8">
        <f t="shared" si="681"/>
        <v>250000</v>
      </c>
      <c r="V133" s="8">
        <v>0</v>
      </c>
      <c r="W133" s="8">
        <f t="shared" si="681"/>
        <v>25000</v>
      </c>
      <c r="X133" s="8">
        <f t="shared" si="681"/>
        <v>50000</v>
      </c>
      <c r="Y133" s="8">
        <f t="shared" si="681"/>
        <v>75000</v>
      </c>
      <c r="Z133" s="8">
        <f t="shared" si="681"/>
        <v>100000</v>
      </c>
      <c r="AA133" s="8">
        <f t="shared" si="681"/>
        <v>125000</v>
      </c>
      <c r="AB133" s="8">
        <v>150000</v>
      </c>
      <c r="AC133" s="8">
        <v>55000</v>
      </c>
      <c r="AD133" s="8">
        <v>27500</v>
      </c>
      <c r="AE133" s="8">
        <f t="shared" ref="AE133:AM133" si="682">+AD133+22500</f>
        <v>50000</v>
      </c>
      <c r="AF133" s="8">
        <f t="shared" si="682"/>
        <v>72500</v>
      </c>
      <c r="AG133" s="8">
        <f>+AF133+1022500-250000</f>
        <v>845000</v>
      </c>
      <c r="AH133" s="8">
        <v>167500</v>
      </c>
      <c r="AI133" s="8">
        <f t="shared" si="682"/>
        <v>190000</v>
      </c>
      <c r="AJ133" s="8">
        <f>+AI133+22500-150000</f>
        <v>62500</v>
      </c>
      <c r="AK133" s="8">
        <f t="shared" si="682"/>
        <v>85000</v>
      </c>
      <c r="AL133" s="8">
        <f>+AK133+22500-100000</f>
        <v>7500</v>
      </c>
      <c r="AM133" s="8">
        <f t="shared" si="682"/>
        <v>30000</v>
      </c>
      <c r="AN133" s="8">
        <f>+AM133+22500</f>
        <v>52500</v>
      </c>
      <c r="AO133" s="8">
        <f t="shared" si="382"/>
        <v>1905500</v>
      </c>
      <c r="AP133" s="16">
        <f t="shared" si="383"/>
        <v>1025</v>
      </c>
      <c r="AQ133" s="16">
        <f t="shared" si="384"/>
        <v>1012.5</v>
      </c>
      <c r="AR133" s="16">
        <f t="shared" si="385"/>
        <v>1250</v>
      </c>
      <c r="AS133" s="16">
        <f t="shared" si="386"/>
        <v>1487.5</v>
      </c>
      <c r="AT133" s="16">
        <f t="shared" si="387"/>
        <v>5475</v>
      </c>
      <c r="AU133" s="16">
        <f t="shared" si="388"/>
        <v>837.5</v>
      </c>
      <c r="AV133" s="16">
        <f t="shared" si="389"/>
        <v>1075</v>
      </c>
      <c r="AW133" s="16">
        <f t="shared" si="390"/>
        <v>562.5</v>
      </c>
      <c r="AX133" s="16">
        <f t="shared" si="391"/>
        <v>800</v>
      </c>
      <c r="AY133" s="16">
        <f t="shared" si="392"/>
        <v>537.5</v>
      </c>
      <c r="AZ133" s="16">
        <f t="shared" si="393"/>
        <v>775</v>
      </c>
      <c r="BA133" s="16">
        <f t="shared" si="394"/>
        <v>1012.5</v>
      </c>
      <c r="BB133" s="16">
        <v>900000</v>
      </c>
      <c r="BC133" s="8">
        <v>750000</v>
      </c>
      <c r="BD133" s="16">
        <f t="shared" si="536"/>
        <v>15850</v>
      </c>
      <c r="BE133" s="23">
        <f t="shared" si="537"/>
        <v>3018.3727335889675</v>
      </c>
      <c r="BF133" s="23">
        <f t="shared" si="538"/>
        <v>2761.3064525267246</v>
      </c>
      <c r="BG133" s="23">
        <f t="shared" si="539"/>
        <v>8935.8402077749579</v>
      </c>
      <c r="BH133" s="23">
        <f t="shared" si="540"/>
        <v>14734.811613961343</v>
      </c>
      <c r="BI133" s="23">
        <f t="shared" si="541"/>
        <v>16199.270114322238</v>
      </c>
      <c r="BJ133" s="23">
        <f t="shared" si="542"/>
        <v>10935.739385170285</v>
      </c>
      <c r="BK133" s="23">
        <f t="shared" si="543"/>
        <v>7868.4609444815087</v>
      </c>
      <c r="BL133" s="23">
        <f t="shared" si="544"/>
        <v>13185.268685473973</v>
      </c>
      <c r="BM133" s="23">
        <f t="shared" si="545"/>
        <v>13914.551930442489</v>
      </c>
      <c r="BN133" s="23">
        <f t="shared" si="546"/>
        <v>11422.27320509084</v>
      </c>
      <c r="BO133" s="23">
        <f t="shared" si="547"/>
        <v>8571.3430548562428</v>
      </c>
      <c r="BP133" s="23">
        <f t="shared" si="548"/>
        <v>7773.2210335232394</v>
      </c>
      <c r="BQ133" s="22">
        <f t="shared" si="395"/>
        <v>119320.45936121281</v>
      </c>
      <c r="BR133" s="8">
        <f t="shared" si="519"/>
        <v>196549.17656257635</v>
      </c>
      <c r="BS133" s="8">
        <f t="shared" si="396"/>
        <v>315869.63592378917</v>
      </c>
      <c r="BT133" s="8">
        <f t="shared" si="520"/>
        <v>331719.63592378917</v>
      </c>
    </row>
    <row r="134" spans="1:74" ht="13.5" customHeight="1" x14ac:dyDescent="0.2">
      <c r="A134" s="15">
        <v>126</v>
      </c>
      <c r="B134" s="15">
        <v>207</v>
      </c>
      <c r="C134" s="14" t="s">
        <v>128</v>
      </c>
      <c r="D134" s="8">
        <v>100000</v>
      </c>
      <c r="E134" s="8">
        <f t="shared" ref="E134:G134" si="683">+F134-25000</f>
        <v>1765000</v>
      </c>
      <c r="F134" s="8">
        <f t="shared" si="683"/>
        <v>1790000</v>
      </c>
      <c r="G134" s="8">
        <f t="shared" si="683"/>
        <v>1815000</v>
      </c>
      <c r="H134" s="8">
        <f t="shared" ref="H134:O134" si="684">+I134-50000</f>
        <v>1840000</v>
      </c>
      <c r="I134" s="8">
        <f t="shared" si="684"/>
        <v>1890000</v>
      </c>
      <c r="J134" s="8">
        <f t="shared" si="684"/>
        <v>1940000</v>
      </c>
      <c r="K134" s="8">
        <f t="shared" si="684"/>
        <v>1990000</v>
      </c>
      <c r="L134" s="8">
        <f t="shared" si="684"/>
        <v>2040000</v>
      </c>
      <c r="M134" s="8">
        <f t="shared" si="684"/>
        <v>2090000</v>
      </c>
      <c r="N134" s="8">
        <f t="shared" si="684"/>
        <v>2140000</v>
      </c>
      <c r="O134" s="8">
        <f t="shared" si="684"/>
        <v>2190000</v>
      </c>
      <c r="P134" s="8">
        <v>2240000</v>
      </c>
      <c r="Q134" s="8">
        <v>300000</v>
      </c>
      <c r="R134" s="8">
        <f>+Q134+50000</f>
        <v>350000</v>
      </c>
      <c r="S134" s="8">
        <f t="shared" ref="S134:U134" si="685">+R134+50000</f>
        <v>400000</v>
      </c>
      <c r="T134" s="8">
        <f t="shared" si="685"/>
        <v>450000</v>
      </c>
      <c r="U134" s="8">
        <f t="shared" si="685"/>
        <v>500000</v>
      </c>
      <c r="V134" s="8">
        <v>0</v>
      </c>
      <c r="W134" s="8">
        <f>+V134+100000</f>
        <v>100000</v>
      </c>
      <c r="X134" s="8">
        <f t="shared" ref="X134:AA134" si="686">+W134+100000</f>
        <v>200000</v>
      </c>
      <c r="Y134" s="8">
        <f t="shared" si="686"/>
        <v>300000</v>
      </c>
      <c r="Z134" s="8">
        <f t="shared" si="686"/>
        <v>400000</v>
      </c>
      <c r="AA134" s="8">
        <f t="shared" si="686"/>
        <v>500000</v>
      </c>
      <c r="AB134" s="8">
        <v>600000</v>
      </c>
      <c r="AC134" s="8">
        <v>82000</v>
      </c>
      <c r="AD134" s="8">
        <f>+AC134+10000</f>
        <v>92000</v>
      </c>
      <c r="AE134" s="8">
        <f t="shared" ref="AE134:AM134" si="687">+AD134+10000</f>
        <v>102000</v>
      </c>
      <c r="AF134" s="8">
        <f t="shared" si="687"/>
        <v>112000</v>
      </c>
      <c r="AG134" s="8">
        <f t="shared" si="687"/>
        <v>122000</v>
      </c>
      <c r="AH134" s="8">
        <f t="shared" si="687"/>
        <v>132000</v>
      </c>
      <c r="AI134" s="8">
        <f t="shared" si="687"/>
        <v>142000</v>
      </c>
      <c r="AJ134" s="8">
        <f t="shared" si="687"/>
        <v>152000</v>
      </c>
      <c r="AK134" s="8">
        <f t="shared" si="687"/>
        <v>162000</v>
      </c>
      <c r="AL134" s="8">
        <f t="shared" si="687"/>
        <v>172000</v>
      </c>
      <c r="AM134" s="8">
        <f t="shared" si="687"/>
        <v>182000</v>
      </c>
      <c r="AN134" s="8">
        <v>192000</v>
      </c>
      <c r="AO134" s="8">
        <f t="shared" si="382"/>
        <v>3132000</v>
      </c>
      <c r="AP134" s="16">
        <f t="shared" si="383"/>
        <v>1910</v>
      </c>
      <c r="AQ134" s="16">
        <f t="shared" si="384"/>
        <v>2210</v>
      </c>
      <c r="AR134" s="16">
        <f t="shared" si="385"/>
        <v>2510</v>
      </c>
      <c r="AS134" s="16">
        <f t="shared" si="386"/>
        <v>2810</v>
      </c>
      <c r="AT134" s="16">
        <f t="shared" si="387"/>
        <v>3110</v>
      </c>
      <c r="AU134" s="16">
        <f t="shared" si="388"/>
        <v>660</v>
      </c>
      <c r="AV134" s="16">
        <f t="shared" si="389"/>
        <v>1210</v>
      </c>
      <c r="AW134" s="16">
        <f t="shared" si="390"/>
        <v>1760</v>
      </c>
      <c r="AX134" s="16">
        <f t="shared" si="391"/>
        <v>2310</v>
      </c>
      <c r="AY134" s="16">
        <f t="shared" si="392"/>
        <v>2860</v>
      </c>
      <c r="AZ134" s="16">
        <f t="shared" si="393"/>
        <v>3410</v>
      </c>
      <c r="BA134" s="16">
        <f t="shared" si="394"/>
        <v>3960</v>
      </c>
      <c r="BB134" s="16">
        <v>270000</v>
      </c>
      <c r="BC134" s="8">
        <v>150000</v>
      </c>
      <c r="BD134" s="16">
        <f t="shared" si="536"/>
        <v>28720</v>
      </c>
      <c r="BE134" s="23">
        <f t="shared" si="537"/>
        <v>3982.5505181294247</v>
      </c>
      <c r="BF134" s="23">
        <f t="shared" si="538"/>
        <v>3753.6383837320441</v>
      </c>
      <c r="BG134" s="23">
        <f t="shared" si="539"/>
        <v>12147.314838128275</v>
      </c>
      <c r="BH134" s="23">
        <f t="shared" si="540"/>
        <v>20030.697450764077</v>
      </c>
      <c r="BI134" s="23">
        <f t="shared" si="541"/>
        <v>15918.921572087918</v>
      </c>
      <c r="BJ134" s="23">
        <f t="shared" si="542"/>
        <v>13568.937986055333</v>
      </c>
      <c r="BK134" s="23">
        <f t="shared" si="543"/>
        <v>10093.097317123695</v>
      </c>
      <c r="BL134" s="23">
        <f t="shared" si="544"/>
        <v>18932.693497090833</v>
      </c>
      <c r="BM134" s="23">
        <f t="shared" si="545"/>
        <v>20466.662074061831</v>
      </c>
      <c r="BN134" s="23">
        <f t="shared" si="546"/>
        <v>18141.447191593023</v>
      </c>
      <c r="BO134" s="23">
        <f t="shared" si="547"/>
        <v>13859.647202955797</v>
      </c>
      <c r="BP134" s="23">
        <f t="shared" si="548"/>
        <v>12776.556429805712</v>
      </c>
      <c r="BQ134" s="22">
        <f t="shared" si="395"/>
        <v>163672.16446152795</v>
      </c>
      <c r="BR134" s="8">
        <f t="shared" si="519"/>
        <v>58964.752968772911</v>
      </c>
      <c r="BS134" s="8">
        <f t="shared" si="396"/>
        <v>222636.91743030085</v>
      </c>
      <c r="BT134" s="8">
        <f t="shared" si="520"/>
        <v>251356.91743030085</v>
      </c>
    </row>
    <row r="135" spans="1:74" s="135" customFormat="1" ht="13.5" customHeight="1" x14ac:dyDescent="0.2">
      <c r="A135" s="128">
        <v>127</v>
      </c>
      <c r="B135" s="128">
        <v>208</v>
      </c>
      <c r="C135" s="129" t="s">
        <v>129</v>
      </c>
      <c r="D135" s="130">
        <v>100000</v>
      </c>
      <c r="E135" s="130">
        <f t="shared" ref="E135:G135" si="688">+F135-15000</f>
        <v>1391000</v>
      </c>
      <c r="F135" s="130">
        <f t="shared" si="688"/>
        <v>1406000</v>
      </c>
      <c r="G135" s="130">
        <f t="shared" si="688"/>
        <v>1421000</v>
      </c>
      <c r="H135" s="130">
        <f t="shared" ref="H135:O135" si="689">+I135-20000</f>
        <v>1436000</v>
      </c>
      <c r="I135" s="130">
        <f t="shared" si="689"/>
        <v>1456000</v>
      </c>
      <c r="J135" s="130">
        <f t="shared" si="689"/>
        <v>1476000</v>
      </c>
      <c r="K135" s="130">
        <f t="shared" si="689"/>
        <v>1496000</v>
      </c>
      <c r="L135" s="130">
        <f t="shared" si="689"/>
        <v>1516000</v>
      </c>
      <c r="M135" s="130">
        <f t="shared" si="689"/>
        <v>1536000</v>
      </c>
      <c r="N135" s="130">
        <f t="shared" si="689"/>
        <v>1556000</v>
      </c>
      <c r="O135" s="130">
        <f t="shared" si="689"/>
        <v>1576000</v>
      </c>
      <c r="P135" s="130">
        <v>1596000</v>
      </c>
      <c r="Q135" s="130">
        <v>0</v>
      </c>
      <c r="R135" s="130">
        <v>0</v>
      </c>
      <c r="S135" s="130">
        <v>0</v>
      </c>
      <c r="T135" s="130">
        <v>0</v>
      </c>
      <c r="U135" s="130">
        <v>0</v>
      </c>
      <c r="V135" s="130">
        <v>0</v>
      </c>
      <c r="W135" s="130">
        <v>0</v>
      </c>
      <c r="X135" s="130">
        <v>0</v>
      </c>
      <c r="Y135" s="130">
        <v>0</v>
      </c>
      <c r="Z135" s="130">
        <v>0</v>
      </c>
      <c r="AA135" s="130">
        <v>0</v>
      </c>
      <c r="AB135" s="130">
        <v>0</v>
      </c>
      <c r="AC135" s="130">
        <v>66500</v>
      </c>
      <c r="AD135" s="130">
        <f>+AC135+47500</f>
        <v>114000</v>
      </c>
      <c r="AE135" s="130">
        <f t="shared" ref="AE135:AM135" si="690">+AD135+47500</f>
        <v>161500</v>
      </c>
      <c r="AF135" s="130">
        <v>9000</v>
      </c>
      <c r="AG135" s="130">
        <f t="shared" si="690"/>
        <v>56500</v>
      </c>
      <c r="AH135" s="130">
        <v>4000</v>
      </c>
      <c r="AI135" s="130">
        <v>1500</v>
      </c>
      <c r="AJ135" s="130">
        <f t="shared" si="690"/>
        <v>49000</v>
      </c>
      <c r="AK135" s="130">
        <f t="shared" si="690"/>
        <v>96500</v>
      </c>
      <c r="AL135" s="130">
        <v>4000</v>
      </c>
      <c r="AM135" s="130">
        <f t="shared" si="690"/>
        <v>51500</v>
      </c>
      <c r="AN135" s="130">
        <v>99000</v>
      </c>
      <c r="AO135" s="130">
        <f t="shared" si="382"/>
        <v>1795000</v>
      </c>
      <c r="AP135" s="131">
        <f t="shared" si="383"/>
        <v>332.5</v>
      </c>
      <c r="AQ135" s="131">
        <f t="shared" si="384"/>
        <v>570</v>
      </c>
      <c r="AR135" s="131">
        <f t="shared" si="385"/>
        <v>807.5</v>
      </c>
      <c r="AS135" s="131">
        <f t="shared" si="386"/>
        <v>45</v>
      </c>
      <c r="AT135" s="131">
        <f t="shared" si="387"/>
        <v>282.5</v>
      </c>
      <c r="AU135" s="131">
        <f t="shared" si="388"/>
        <v>20</v>
      </c>
      <c r="AV135" s="131">
        <f t="shared" si="389"/>
        <v>7.5</v>
      </c>
      <c r="AW135" s="131">
        <f t="shared" si="390"/>
        <v>245</v>
      </c>
      <c r="AX135" s="131">
        <f t="shared" si="391"/>
        <v>482.5</v>
      </c>
      <c r="AY135" s="131">
        <f t="shared" si="392"/>
        <v>20</v>
      </c>
      <c r="AZ135" s="131">
        <f t="shared" si="393"/>
        <v>257.5</v>
      </c>
      <c r="BA135" s="131">
        <f t="shared" si="394"/>
        <v>495</v>
      </c>
      <c r="BB135" s="131">
        <v>900000</v>
      </c>
      <c r="BC135" s="130">
        <v>2000000</v>
      </c>
      <c r="BD135" s="131">
        <f t="shared" si="536"/>
        <v>3565</v>
      </c>
      <c r="BE135" s="132">
        <f t="shared" si="537"/>
        <v>2760.4906239370625</v>
      </c>
      <c r="BF135" s="132">
        <f t="shared" si="538"/>
        <v>2607.5875564519347</v>
      </c>
      <c r="BG135" s="132">
        <f t="shared" si="539"/>
        <v>8455.8780368849075</v>
      </c>
      <c r="BH135" s="132">
        <f t="shared" si="540"/>
        <v>12369.075763961031</v>
      </c>
      <c r="BI135" s="132">
        <f t="shared" si="541"/>
        <v>9827.4353120182877</v>
      </c>
      <c r="BJ135" s="132">
        <f t="shared" si="542"/>
        <v>9870.590247682976</v>
      </c>
      <c r="BK135" s="132">
        <f t="shared" si="543"/>
        <v>6914.1179091359791</v>
      </c>
      <c r="BL135" s="132">
        <f t="shared" si="544"/>
        <v>12649.652757887736</v>
      </c>
      <c r="BM135" s="132">
        <f t="shared" si="545"/>
        <v>13370.47211286279</v>
      </c>
      <c r="BN135" s="132">
        <f t="shared" si="546"/>
        <v>10709.38916715662</v>
      </c>
      <c r="BO135" s="132">
        <f t="shared" si="547"/>
        <v>8056.0365219065079</v>
      </c>
      <c r="BP135" s="132">
        <f t="shared" si="548"/>
        <v>7322.4517214244106</v>
      </c>
      <c r="BQ135" s="133">
        <f t="shared" si="395"/>
        <v>104913.17773131025</v>
      </c>
      <c r="BR135" s="130">
        <f t="shared" si="519"/>
        <v>196549.17656257635</v>
      </c>
      <c r="BS135" s="130">
        <f t="shared" si="396"/>
        <v>301462.35429388657</v>
      </c>
      <c r="BT135" s="130">
        <f t="shared" si="520"/>
        <v>305027.35429388657</v>
      </c>
      <c r="BU135" s="134">
        <f t="shared" ref="BU135" si="691">AO135-100000</f>
        <v>1695000</v>
      </c>
      <c r="BV135" s="135">
        <v>93</v>
      </c>
    </row>
    <row r="136" spans="1:74" ht="13.5" customHeight="1" x14ac:dyDescent="0.2">
      <c r="A136" s="15">
        <v>128</v>
      </c>
      <c r="B136" s="15">
        <v>210</v>
      </c>
      <c r="C136" s="14" t="s">
        <v>130</v>
      </c>
      <c r="D136" s="8">
        <v>100000</v>
      </c>
      <c r="E136" s="8">
        <f t="shared" ref="E136:G136" si="692">+F136-15000</f>
        <v>1338000</v>
      </c>
      <c r="F136" s="8">
        <f t="shared" si="692"/>
        <v>1353000</v>
      </c>
      <c r="G136" s="8">
        <f t="shared" si="692"/>
        <v>1368000</v>
      </c>
      <c r="H136" s="8">
        <f t="shared" ref="H136:O136" si="693">+I136-20000</f>
        <v>1383000</v>
      </c>
      <c r="I136" s="8">
        <f t="shared" si="693"/>
        <v>1403000</v>
      </c>
      <c r="J136" s="8">
        <f t="shared" si="693"/>
        <v>1423000</v>
      </c>
      <c r="K136" s="8">
        <f t="shared" si="693"/>
        <v>1443000</v>
      </c>
      <c r="L136" s="8">
        <f t="shared" si="693"/>
        <v>1463000</v>
      </c>
      <c r="M136" s="8">
        <f t="shared" si="693"/>
        <v>1483000</v>
      </c>
      <c r="N136" s="8">
        <f t="shared" si="693"/>
        <v>1503000</v>
      </c>
      <c r="O136" s="8">
        <f t="shared" si="693"/>
        <v>1523000</v>
      </c>
      <c r="P136" s="8">
        <v>1543000</v>
      </c>
      <c r="Q136" s="8">
        <v>300000</v>
      </c>
      <c r="R136" s="8">
        <f>+Q136+50000</f>
        <v>350000</v>
      </c>
      <c r="S136" s="8">
        <f t="shared" ref="S136" si="694">+R136+50000</f>
        <v>400000</v>
      </c>
      <c r="T136" s="8">
        <f t="shared" ref="T136" si="695">+S136+50000</f>
        <v>450000</v>
      </c>
      <c r="U136" s="8">
        <f t="shared" ref="U136" si="696">+T136+50000</f>
        <v>500000</v>
      </c>
      <c r="V136" s="8">
        <v>0</v>
      </c>
      <c r="W136" s="8">
        <f>+V136+100000</f>
        <v>100000</v>
      </c>
      <c r="X136" s="8">
        <f t="shared" ref="X136" si="697">+W136+100000</f>
        <v>200000</v>
      </c>
      <c r="Y136" s="8">
        <f t="shared" ref="Y136" si="698">+X136+100000</f>
        <v>300000</v>
      </c>
      <c r="Z136" s="8">
        <f t="shared" ref="Z136" si="699">+Y136+100000</f>
        <v>400000</v>
      </c>
      <c r="AA136" s="8">
        <f t="shared" ref="AA136" si="700">+Z136+100000</f>
        <v>500000</v>
      </c>
      <c r="AB136" s="8">
        <v>600000</v>
      </c>
      <c r="AC136" s="8">
        <v>17000</v>
      </c>
      <c r="AD136" s="8">
        <f>+AC136+17000</f>
        <v>34000</v>
      </c>
      <c r="AE136" s="8">
        <v>1000</v>
      </c>
      <c r="AF136" s="8">
        <f t="shared" ref="AF136:AM136" si="701">+AE136+17000</f>
        <v>18000</v>
      </c>
      <c r="AG136" s="8">
        <f t="shared" si="701"/>
        <v>35000</v>
      </c>
      <c r="AH136" s="8">
        <f t="shared" si="701"/>
        <v>52000</v>
      </c>
      <c r="AI136" s="8">
        <f t="shared" si="701"/>
        <v>69000</v>
      </c>
      <c r="AJ136" s="8">
        <f t="shared" si="701"/>
        <v>86000</v>
      </c>
      <c r="AK136" s="8">
        <f t="shared" si="701"/>
        <v>103000</v>
      </c>
      <c r="AL136" s="8">
        <f t="shared" si="701"/>
        <v>120000</v>
      </c>
      <c r="AM136" s="8">
        <f t="shared" si="701"/>
        <v>137000</v>
      </c>
      <c r="AN136" s="8">
        <v>154000</v>
      </c>
      <c r="AO136" s="8">
        <f t="shared" si="382"/>
        <v>2397000</v>
      </c>
      <c r="AP136" s="16">
        <f t="shared" si="383"/>
        <v>1585</v>
      </c>
      <c r="AQ136" s="16">
        <f t="shared" si="384"/>
        <v>1920</v>
      </c>
      <c r="AR136" s="16">
        <f t="shared" si="385"/>
        <v>2005</v>
      </c>
      <c r="AS136" s="16">
        <f t="shared" si="386"/>
        <v>2340</v>
      </c>
      <c r="AT136" s="16">
        <f t="shared" si="387"/>
        <v>2675</v>
      </c>
      <c r="AU136" s="16">
        <f t="shared" si="388"/>
        <v>260</v>
      </c>
      <c r="AV136" s="16">
        <f t="shared" si="389"/>
        <v>845</v>
      </c>
      <c r="AW136" s="16">
        <f t="shared" si="390"/>
        <v>1430</v>
      </c>
      <c r="AX136" s="16">
        <f t="shared" si="391"/>
        <v>2015</v>
      </c>
      <c r="AY136" s="16">
        <f t="shared" si="392"/>
        <v>2600</v>
      </c>
      <c r="AZ136" s="16">
        <f t="shared" si="393"/>
        <v>3185</v>
      </c>
      <c r="BA136" s="16">
        <f t="shared" si="394"/>
        <v>3770</v>
      </c>
      <c r="BB136" s="16">
        <v>900000</v>
      </c>
      <c r="BC136" s="8">
        <v>4750000</v>
      </c>
      <c r="BD136" s="16">
        <f t="shared" si="536"/>
        <v>24630</v>
      </c>
      <c r="BE136" s="23">
        <f t="shared" si="537"/>
        <v>3110.5367865229819</v>
      </c>
      <c r="BF136" s="23">
        <f t="shared" si="538"/>
        <v>2956.8755192606195</v>
      </c>
      <c r="BG136" s="23">
        <f t="shared" si="539"/>
        <v>9393.1863601413934</v>
      </c>
      <c r="BH136" s="23">
        <f t="shared" si="540"/>
        <v>15619.460721998686</v>
      </c>
      <c r="BI136" s="23">
        <f t="shared" si="541"/>
        <v>12420.659327685749</v>
      </c>
      <c r="BJ136" s="23">
        <f t="shared" si="542"/>
        <v>9839.354202595372</v>
      </c>
      <c r="BK136" s="23">
        <f t="shared" si="543"/>
        <v>7409.6837937031587</v>
      </c>
      <c r="BL136" s="23">
        <f t="shared" si="544"/>
        <v>14047.572341942596</v>
      </c>
      <c r="BM136" s="23">
        <f t="shared" si="545"/>
        <v>15326.844222883406</v>
      </c>
      <c r="BN136" s="23">
        <f t="shared" si="546"/>
        <v>13696.405543297291</v>
      </c>
      <c r="BO136" s="23">
        <f t="shared" si="547"/>
        <v>10539.301035895054</v>
      </c>
      <c r="BP136" s="23">
        <f t="shared" si="548"/>
        <v>9778.2266162976666</v>
      </c>
      <c r="BQ136" s="22">
        <f t="shared" si="395"/>
        <v>124138.10647222397</v>
      </c>
      <c r="BR136" s="8">
        <f t="shared" ref="BR136:BR167" si="702">+BB136/$BB$205*40219858</f>
        <v>196549.17656257635</v>
      </c>
      <c r="BS136" s="8">
        <f t="shared" si="396"/>
        <v>320687.28303480032</v>
      </c>
      <c r="BT136" s="8">
        <f t="shared" ref="BT136:BT167" si="703">+BS136+BD136</f>
        <v>345317.28303480032</v>
      </c>
    </row>
    <row r="137" spans="1:74" s="110" customFormat="1" ht="13.5" customHeight="1" x14ac:dyDescent="0.2">
      <c r="A137" s="24">
        <v>129</v>
      </c>
      <c r="B137" s="24">
        <v>211</v>
      </c>
      <c r="C137" s="25" t="s">
        <v>131</v>
      </c>
      <c r="D137" s="26">
        <v>100000</v>
      </c>
      <c r="E137" s="26">
        <f t="shared" ref="E137:G137" si="704">+F137-15000</f>
        <v>1324000</v>
      </c>
      <c r="F137" s="26">
        <f t="shared" si="704"/>
        <v>1339000</v>
      </c>
      <c r="G137" s="26">
        <f t="shared" si="704"/>
        <v>1354000</v>
      </c>
      <c r="H137" s="26">
        <f t="shared" ref="H137:O137" si="705">+I137-20000</f>
        <v>1369000</v>
      </c>
      <c r="I137" s="26">
        <f t="shared" si="705"/>
        <v>1389000</v>
      </c>
      <c r="J137" s="26">
        <f t="shared" si="705"/>
        <v>1409000</v>
      </c>
      <c r="K137" s="26">
        <f t="shared" si="705"/>
        <v>1429000</v>
      </c>
      <c r="L137" s="26">
        <f t="shared" si="705"/>
        <v>1449000</v>
      </c>
      <c r="M137" s="26">
        <f t="shared" si="705"/>
        <v>1469000</v>
      </c>
      <c r="N137" s="26">
        <f t="shared" si="705"/>
        <v>1489000</v>
      </c>
      <c r="O137" s="26">
        <f t="shared" si="705"/>
        <v>1509000</v>
      </c>
      <c r="P137" s="26">
        <v>1529000</v>
      </c>
      <c r="Q137" s="26">
        <v>350000</v>
      </c>
      <c r="R137" s="26">
        <f>+Q137+50000</f>
        <v>400000</v>
      </c>
      <c r="S137" s="26">
        <f t="shared" ref="S137:AA138" si="706">+R137+50000</f>
        <v>450000</v>
      </c>
      <c r="T137" s="26">
        <f t="shared" si="706"/>
        <v>500000</v>
      </c>
      <c r="U137" s="26">
        <f t="shared" si="706"/>
        <v>550000</v>
      </c>
      <c r="V137" s="26">
        <v>0</v>
      </c>
      <c r="W137" s="26">
        <f>+V137+70000</f>
        <v>70000</v>
      </c>
      <c r="X137" s="26">
        <f t="shared" ref="X137:AA137" si="707">+W137+70000</f>
        <v>140000</v>
      </c>
      <c r="Y137" s="26">
        <f t="shared" si="707"/>
        <v>210000</v>
      </c>
      <c r="Z137" s="26">
        <f t="shared" si="707"/>
        <v>280000</v>
      </c>
      <c r="AA137" s="26">
        <f t="shared" si="707"/>
        <v>350000</v>
      </c>
      <c r="AB137" s="26">
        <v>420000</v>
      </c>
      <c r="AC137" s="26">
        <v>297000</v>
      </c>
      <c r="AD137" s="26">
        <f>+AC137+31000</f>
        <v>328000</v>
      </c>
      <c r="AE137" s="26">
        <f>+AD137+31000</f>
        <v>359000</v>
      </c>
      <c r="AF137" s="26">
        <f>+AE137+26000</f>
        <v>385000</v>
      </c>
      <c r="AG137" s="26">
        <f t="shared" ref="AG137:AM137" si="708">+AF137+26000</f>
        <v>411000</v>
      </c>
      <c r="AH137" s="26">
        <f t="shared" si="708"/>
        <v>437000</v>
      </c>
      <c r="AI137" s="26">
        <f t="shared" si="708"/>
        <v>463000</v>
      </c>
      <c r="AJ137" s="26">
        <f t="shared" si="708"/>
        <v>489000</v>
      </c>
      <c r="AK137" s="26">
        <f t="shared" si="708"/>
        <v>515000</v>
      </c>
      <c r="AL137" s="26">
        <f t="shared" si="708"/>
        <v>541000</v>
      </c>
      <c r="AM137" s="26">
        <f t="shared" si="708"/>
        <v>567000</v>
      </c>
      <c r="AN137" s="26">
        <v>593000</v>
      </c>
      <c r="AO137" s="26">
        <f t="shared" si="382"/>
        <v>2642000</v>
      </c>
      <c r="AP137" s="27">
        <f t="shared" si="383"/>
        <v>3235</v>
      </c>
      <c r="AQ137" s="27">
        <f t="shared" si="384"/>
        <v>3640</v>
      </c>
      <c r="AR137" s="27">
        <f t="shared" si="385"/>
        <v>4045</v>
      </c>
      <c r="AS137" s="27">
        <f t="shared" si="386"/>
        <v>4425</v>
      </c>
      <c r="AT137" s="27">
        <f t="shared" si="387"/>
        <v>4805</v>
      </c>
      <c r="AU137" s="27">
        <f t="shared" si="388"/>
        <v>2185</v>
      </c>
      <c r="AV137" s="27">
        <f t="shared" si="389"/>
        <v>2665</v>
      </c>
      <c r="AW137" s="27">
        <f t="shared" si="390"/>
        <v>3145</v>
      </c>
      <c r="AX137" s="27">
        <f t="shared" si="391"/>
        <v>3625</v>
      </c>
      <c r="AY137" s="27">
        <f t="shared" si="392"/>
        <v>4105</v>
      </c>
      <c r="AZ137" s="27">
        <f t="shared" si="393"/>
        <v>4585</v>
      </c>
      <c r="BA137" s="27">
        <f t="shared" si="394"/>
        <v>5065</v>
      </c>
      <c r="BB137" s="27">
        <v>900000</v>
      </c>
      <c r="BC137" s="26">
        <v>2074000</v>
      </c>
      <c r="BD137" s="27">
        <f t="shared" si="536"/>
        <v>45525</v>
      </c>
      <c r="BE137" s="28">
        <f t="shared" si="537"/>
        <v>3670.6106466604533</v>
      </c>
      <c r="BF137" s="28">
        <f t="shared" si="538"/>
        <v>3488.0507622415694</v>
      </c>
      <c r="BG137" s="28">
        <f t="shared" si="539"/>
        <v>11373.344426431231</v>
      </c>
      <c r="BH137" s="28">
        <f t="shared" si="540"/>
        <v>18845.828057193699</v>
      </c>
      <c r="BI137" s="28">
        <f t="shared" si="541"/>
        <v>14931.607140740965</v>
      </c>
      <c r="BJ137" s="28">
        <f t="shared" si="542"/>
        <v>12157.068748095615</v>
      </c>
      <c r="BK137" s="28">
        <f t="shared" si="543"/>
        <v>8924.5140085373332</v>
      </c>
      <c r="BL137" s="28">
        <f t="shared" si="544"/>
        <v>16547.113337345039</v>
      </c>
      <c r="BM137" s="28">
        <f t="shared" si="545"/>
        <v>17703.817042947903</v>
      </c>
      <c r="BN137" s="28">
        <f t="shared" si="546"/>
        <v>15547.968610149068</v>
      </c>
      <c r="BO137" s="28">
        <f t="shared" si="547"/>
        <v>11779.767441004828</v>
      </c>
      <c r="BP137" s="28">
        <f t="shared" si="548"/>
        <v>10777.669887467015</v>
      </c>
      <c r="BQ137" s="29">
        <f t="shared" si="395"/>
        <v>145747.36010881473</v>
      </c>
      <c r="BR137" s="26">
        <f t="shared" si="702"/>
        <v>196549.17656257635</v>
      </c>
      <c r="BS137" s="26">
        <f t="shared" ref="BS137:BS200" si="709">+BQ137+BR137</f>
        <v>342296.53667139111</v>
      </c>
      <c r="BT137" s="26">
        <f t="shared" si="703"/>
        <v>387821.53667139111</v>
      </c>
      <c r="BU137" s="111">
        <f t="shared" ref="BU137:BU141" si="710">AO137-100000</f>
        <v>2542000</v>
      </c>
      <c r="BV137" s="110">
        <v>94</v>
      </c>
    </row>
    <row r="138" spans="1:74" s="110" customFormat="1" ht="13.5" customHeight="1" x14ac:dyDescent="0.2">
      <c r="A138" s="24">
        <v>130</v>
      </c>
      <c r="B138" s="24">
        <v>212</v>
      </c>
      <c r="C138" s="25" t="s">
        <v>132</v>
      </c>
      <c r="D138" s="26">
        <v>100000</v>
      </c>
      <c r="E138" s="26">
        <f t="shared" ref="E138:G138" si="711">+F138-15000</f>
        <v>1709000</v>
      </c>
      <c r="F138" s="26">
        <f t="shared" si="711"/>
        <v>1724000</v>
      </c>
      <c r="G138" s="26">
        <f t="shared" si="711"/>
        <v>1739000</v>
      </c>
      <c r="H138" s="26">
        <f t="shared" ref="H138:O138" si="712">+I138-20000</f>
        <v>1754000</v>
      </c>
      <c r="I138" s="26">
        <f t="shared" si="712"/>
        <v>1774000</v>
      </c>
      <c r="J138" s="26">
        <f t="shared" si="712"/>
        <v>1794000</v>
      </c>
      <c r="K138" s="26">
        <f t="shared" si="712"/>
        <v>1814000</v>
      </c>
      <c r="L138" s="26">
        <f t="shared" si="712"/>
        <v>1834000</v>
      </c>
      <c r="M138" s="26">
        <f t="shared" si="712"/>
        <v>1854000</v>
      </c>
      <c r="N138" s="26">
        <f t="shared" si="712"/>
        <v>1874000</v>
      </c>
      <c r="O138" s="26">
        <f t="shared" si="712"/>
        <v>1894000</v>
      </c>
      <c r="P138" s="26">
        <v>1914000</v>
      </c>
      <c r="Q138" s="26">
        <v>350000</v>
      </c>
      <c r="R138" s="26">
        <f>+Q138+50000</f>
        <v>400000</v>
      </c>
      <c r="S138" s="26">
        <f t="shared" si="706"/>
        <v>450000</v>
      </c>
      <c r="T138" s="26">
        <f t="shared" si="706"/>
        <v>500000</v>
      </c>
      <c r="U138" s="26">
        <f t="shared" si="706"/>
        <v>550000</v>
      </c>
      <c r="V138" s="26">
        <v>0</v>
      </c>
      <c r="W138" s="26">
        <f t="shared" si="706"/>
        <v>50000</v>
      </c>
      <c r="X138" s="26">
        <f t="shared" si="706"/>
        <v>100000</v>
      </c>
      <c r="Y138" s="26">
        <f t="shared" si="706"/>
        <v>150000</v>
      </c>
      <c r="Z138" s="26">
        <f t="shared" si="706"/>
        <v>200000</v>
      </c>
      <c r="AA138" s="26">
        <f t="shared" si="706"/>
        <v>250000</v>
      </c>
      <c r="AB138" s="26">
        <v>300000</v>
      </c>
      <c r="AC138" s="26">
        <v>214000</v>
      </c>
      <c r="AD138" s="26">
        <f>+AC138+26000</f>
        <v>240000</v>
      </c>
      <c r="AE138" s="26">
        <f>+AD138+26000</f>
        <v>266000</v>
      </c>
      <c r="AF138" s="26">
        <f>+AE138+21000</f>
        <v>287000</v>
      </c>
      <c r="AG138" s="26">
        <f>+AF138+21000</f>
        <v>308000</v>
      </c>
      <c r="AH138" s="26">
        <f>+AG138+26000</f>
        <v>334000</v>
      </c>
      <c r="AI138" s="26">
        <f>+AH138+26000</f>
        <v>360000</v>
      </c>
      <c r="AJ138" s="26">
        <f>+AI138+46000-200000</f>
        <v>206000</v>
      </c>
      <c r="AK138" s="26">
        <f t="shared" ref="AK138:AM138" si="713">+AJ138+46000</f>
        <v>252000</v>
      </c>
      <c r="AL138" s="26">
        <f t="shared" si="713"/>
        <v>298000</v>
      </c>
      <c r="AM138" s="26">
        <f t="shared" si="713"/>
        <v>344000</v>
      </c>
      <c r="AN138" s="26">
        <v>140000</v>
      </c>
      <c r="AO138" s="26">
        <f t="shared" ref="AO138:AO201" si="714">+AN138+AB138+P138+D138</f>
        <v>2454000</v>
      </c>
      <c r="AP138" s="27">
        <f t="shared" ref="AP138:AP201" si="715">0.5%*(Q138+AC138)</f>
        <v>2820</v>
      </c>
      <c r="AQ138" s="27">
        <f t="shared" ref="AQ138:AQ201" si="716">0.5%*(R138+AD138)</f>
        <v>3200</v>
      </c>
      <c r="AR138" s="27">
        <f t="shared" ref="AR138:AR201" si="717">0.5%*(S138+AE138)</f>
        <v>3580</v>
      </c>
      <c r="AS138" s="27">
        <f t="shared" ref="AS138:AS201" si="718">0.5%*(T138+AF138)</f>
        <v>3935</v>
      </c>
      <c r="AT138" s="27">
        <f t="shared" ref="AT138:AT201" si="719">0.5%*(U138+AG138)</f>
        <v>4290</v>
      </c>
      <c r="AU138" s="27">
        <f t="shared" ref="AU138:AU201" si="720">0.5%*(V138+AH138)</f>
        <v>1670</v>
      </c>
      <c r="AV138" s="27">
        <f t="shared" ref="AV138:AV201" si="721">0.5%*(W138+AI138)</f>
        <v>2050</v>
      </c>
      <c r="AW138" s="27">
        <f t="shared" ref="AW138:AW201" si="722">0.5%*(X138+AJ138)</f>
        <v>1530</v>
      </c>
      <c r="AX138" s="27">
        <f t="shared" ref="AX138:AX201" si="723">0.5%*(Y138+AK138)</f>
        <v>2010</v>
      </c>
      <c r="AY138" s="27">
        <f t="shared" ref="AY138:AY201" si="724">0.5%*(Z138+AL138)</f>
        <v>2490</v>
      </c>
      <c r="AZ138" s="27">
        <f t="shared" ref="AZ138:AZ201" si="725">0.5%*(AA138+AM138)</f>
        <v>2970</v>
      </c>
      <c r="BA138" s="27">
        <f t="shared" ref="BA138:BA201" si="726">0.5%*(AB138+AN138)</f>
        <v>2200</v>
      </c>
      <c r="BB138" s="27">
        <v>900000</v>
      </c>
      <c r="BC138" s="26">
        <v>2074000</v>
      </c>
      <c r="BD138" s="27">
        <f t="shared" si="536"/>
        <v>32745</v>
      </c>
      <c r="BE138" s="28">
        <f t="shared" si="537"/>
        <v>4205.8711079310751</v>
      </c>
      <c r="BF138" s="28">
        <f t="shared" si="538"/>
        <v>3966.1084809244239</v>
      </c>
      <c r="BG138" s="28">
        <f t="shared" si="539"/>
        <v>12840.872739519133</v>
      </c>
      <c r="BH138" s="28">
        <f t="shared" si="540"/>
        <v>21143.513975806523</v>
      </c>
      <c r="BI138" s="28">
        <f t="shared" si="541"/>
        <v>16650.265595307883</v>
      </c>
      <c r="BJ138" s="28">
        <f t="shared" si="542"/>
        <v>13918.7816910365</v>
      </c>
      <c r="BK138" s="28">
        <f t="shared" si="543"/>
        <v>10058.472626498915</v>
      </c>
      <c r="BL138" s="28">
        <f t="shared" si="544"/>
        <v>17018.151458059176</v>
      </c>
      <c r="BM138" s="28">
        <f t="shared" si="545"/>
        <v>18182.298584649197</v>
      </c>
      <c r="BN138" s="28">
        <f t="shared" si="546"/>
        <v>15947.957844103112</v>
      </c>
      <c r="BO138" s="28">
        <f t="shared" si="547"/>
        <v>12068.898708361239</v>
      </c>
      <c r="BP138" s="28">
        <f t="shared" si="548"/>
        <v>10010.750152855433</v>
      </c>
      <c r="BQ138" s="29">
        <f t="shared" ref="BQ138:BQ201" si="727">SUM(BE138:BP138)</f>
        <v>156011.94296505261</v>
      </c>
      <c r="BR138" s="26">
        <f t="shared" si="702"/>
        <v>196549.17656257635</v>
      </c>
      <c r="BS138" s="26">
        <f t="shared" si="709"/>
        <v>352561.11952762899</v>
      </c>
      <c r="BT138" s="26">
        <f t="shared" si="703"/>
        <v>385306.11952762899</v>
      </c>
      <c r="BU138" s="111">
        <f t="shared" si="710"/>
        <v>2354000</v>
      </c>
      <c r="BV138" s="110">
        <v>95</v>
      </c>
    </row>
    <row r="139" spans="1:74" s="110" customFormat="1" ht="13.5" customHeight="1" x14ac:dyDescent="0.2">
      <c r="A139" s="24">
        <v>131</v>
      </c>
      <c r="B139" s="24">
        <v>216</v>
      </c>
      <c r="C139" s="25" t="s">
        <v>133</v>
      </c>
      <c r="D139" s="26">
        <v>100000</v>
      </c>
      <c r="E139" s="26">
        <f t="shared" ref="E139:G139" si="728">+F139-15000</f>
        <v>1240000</v>
      </c>
      <c r="F139" s="26">
        <f t="shared" si="728"/>
        <v>1255000</v>
      </c>
      <c r="G139" s="26">
        <f t="shared" si="728"/>
        <v>1270000</v>
      </c>
      <c r="H139" s="26">
        <f t="shared" ref="H139:O139" si="729">+I139-20000</f>
        <v>1285000</v>
      </c>
      <c r="I139" s="26">
        <f t="shared" si="729"/>
        <v>1305000</v>
      </c>
      <c r="J139" s="26">
        <f t="shared" si="729"/>
        <v>1325000</v>
      </c>
      <c r="K139" s="26">
        <f t="shared" si="729"/>
        <v>1345000</v>
      </c>
      <c r="L139" s="26">
        <f t="shared" si="729"/>
        <v>1365000</v>
      </c>
      <c r="M139" s="26">
        <f t="shared" si="729"/>
        <v>1385000</v>
      </c>
      <c r="N139" s="26">
        <f t="shared" si="729"/>
        <v>1405000</v>
      </c>
      <c r="O139" s="26">
        <f t="shared" si="729"/>
        <v>1425000</v>
      </c>
      <c r="P139" s="26">
        <v>1445000</v>
      </c>
      <c r="Q139" s="26">
        <v>1200000</v>
      </c>
      <c r="R139" s="26">
        <f>+Q139+200000</f>
        <v>1400000</v>
      </c>
      <c r="S139" s="26">
        <f t="shared" ref="S139:AA139" si="730">+R139+200000</f>
        <v>1600000</v>
      </c>
      <c r="T139" s="26">
        <f t="shared" si="730"/>
        <v>1800000</v>
      </c>
      <c r="U139" s="26">
        <f t="shared" si="730"/>
        <v>2000000</v>
      </c>
      <c r="V139" s="26">
        <v>0</v>
      </c>
      <c r="W139" s="26">
        <v>0</v>
      </c>
      <c r="X139" s="26">
        <f t="shared" si="730"/>
        <v>200000</v>
      </c>
      <c r="Y139" s="26">
        <f t="shared" si="730"/>
        <v>400000</v>
      </c>
      <c r="Z139" s="26">
        <f t="shared" si="730"/>
        <v>600000</v>
      </c>
      <c r="AA139" s="26">
        <f t="shared" si="730"/>
        <v>800000</v>
      </c>
      <c r="AB139" s="26">
        <v>1000000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f t="shared" si="714"/>
        <v>2545000</v>
      </c>
      <c r="AP139" s="27">
        <f t="shared" si="715"/>
        <v>6000</v>
      </c>
      <c r="AQ139" s="27">
        <f t="shared" si="716"/>
        <v>7000</v>
      </c>
      <c r="AR139" s="27">
        <f t="shared" si="717"/>
        <v>8000</v>
      </c>
      <c r="AS139" s="27">
        <f t="shared" si="718"/>
        <v>9000</v>
      </c>
      <c r="AT139" s="27">
        <f t="shared" si="719"/>
        <v>10000</v>
      </c>
      <c r="AU139" s="27">
        <f t="shared" si="720"/>
        <v>0</v>
      </c>
      <c r="AV139" s="27">
        <f t="shared" si="721"/>
        <v>0</v>
      </c>
      <c r="AW139" s="27">
        <f t="shared" si="722"/>
        <v>1000</v>
      </c>
      <c r="AX139" s="27">
        <f t="shared" si="723"/>
        <v>2000</v>
      </c>
      <c r="AY139" s="27">
        <f t="shared" si="724"/>
        <v>3000</v>
      </c>
      <c r="AZ139" s="27">
        <f t="shared" si="725"/>
        <v>4000</v>
      </c>
      <c r="BA139" s="27">
        <f t="shared" si="726"/>
        <v>5000</v>
      </c>
      <c r="BB139" s="27">
        <v>412500</v>
      </c>
      <c r="BC139" s="26">
        <v>4500000</v>
      </c>
      <c r="BD139" s="27">
        <f t="shared" ref="BD139:BD170" si="731">SUM(AP139:BA139)</f>
        <v>55000</v>
      </c>
      <c r="BE139" s="28">
        <f t="shared" ref="BE139:BE170" si="732">(BE$6/($D$205+E$205+Q$205+AC$205))*($D139+E139+Q139+AC139)</f>
        <v>4501.8595086999285</v>
      </c>
      <c r="BF139" s="28">
        <f t="shared" ref="BF139:BF170" si="733">(BF$6/($D$205+F$205+R$205+AD$205))*($D139+F139+R139+AD139)</f>
        <v>4434.5084679167157</v>
      </c>
      <c r="BG139" s="28">
        <f t="shared" ref="BG139:BG170" si="734">(BG$6/($D$205+G$205+S$205+AE$205))*($D139+G139+S139+AE139)</f>
        <v>14926.57222558584</v>
      </c>
      <c r="BH139" s="28">
        <f t="shared" ref="BH139:BH170" si="735">(BH$6/($D$205+H$205+T$205+AF$205))*($D139+H139+T139+AF139)</f>
        <v>25498.709584605749</v>
      </c>
      <c r="BI139" s="28">
        <f t="shared" ref="BI139:BI170" si="736">(BI$6/($D$205+I$205+U$205+AG$205))*($D139+I139+U139+AG139)</f>
        <v>20751.886658866526</v>
      </c>
      <c r="BJ139" s="28">
        <f t="shared" ref="BJ139:BJ170" si="737">(BJ$6/($D$205+J$205+V$205+AH$205))*($D139+J139+V139+AH139)</f>
        <v>8902.2728499672412</v>
      </c>
      <c r="BK139" s="28">
        <f t="shared" ref="BK139:BK170" si="738">(BK$6/($D$205+K$205+W$205+AI$205))*($D139+K139+W139+AI139)</f>
        <v>6254.0847441010892</v>
      </c>
      <c r="BL139" s="28">
        <f t="shared" ref="BL139:BL170" si="739">(BL$6/($D$205+L$205+X$205+AJ$205))*($D139+L139+X139+AJ139)</f>
        <v>12649.652757887736</v>
      </c>
      <c r="BM139" s="28">
        <f t="shared" ref="BM139:BM170" si="740">(BM$6/($D$205+M$205+Y$205+AK$205))*($D139+M139+Y139+AK139)</f>
        <v>14547.382356563556</v>
      </c>
      <c r="BN139" s="28">
        <f t="shared" ref="BN139:BN170" si="741">(BN$6/($D$205+N$205+Z$205+AL$205))*($D139+N139+Z139+AL139)</f>
        <v>13580.279636665473</v>
      </c>
      <c r="BO139" s="28">
        <f t="shared" ref="BO139:BO170" si="742">(BO$6/($D$205+O$205+AA$205+AM$205))*($D139+O139+AA139+AM139)</f>
        <v>10842.422525865488</v>
      </c>
      <c r="BP139" s="28">
        <f t="shared" ref="BP139:BP170" si="743">(BP$6/($D$205+P$205+AB$205+AN$205))*($D139+P139+AB139+AN139)</f>
        <v>10381.971939289762</v>
      </c>
      <c r="BQ139" s="29">
        <f t="shared" si="727"/>
        <v>147271.60325601511</v>
      </c>
      <c r="BR139" s="26">
        <f t="shared" si="702"/>
        <v>90085.0392578475</v>
      </c>
      <c r="BS139" s="26">
        <f t="shared" si="709"/>
        <v>237356.64251386261</v>
      </c>
      <c r="BT139" s="26">
        <f t="shared" si="703"/>
        <v>292356.64251386258</v>
      </c>
      <c r="BU139" s="111">
        <f t="shared" si="710"/>
        <v>2445000</v>
      </c>
      <c r="BV139" s="110">
        <v>96</v>
      </c>
    </row>
    <row r="140" spans="1:74" s="110" customFormat="1" ht="13.5" customHeight="1" x14ac:dyDescent="0.2">
      <c r="A140" s="24">
        <v>132</v>
      </c>
      <c r="B140" s="24">
        <v>217</v>
      </c>
      <c r="C140" s="25" t="s">
        <v>134</v>
      </c>
      <c r="D140" s="26">
        <v>100000</v>
      </c>
      <c r="E140" s="26">
        <f t="shared" ref="E140:G140" si="744">+F140-15000</f>
        <v>1240000</v>
      </c>
      <c r="F140" s="26">
        <f t="shared" si="744"/>
        <v>1255000</v>
      </c>
      <c r="G140" s="26">
        <f t="shared" si="744"/>
        <v>1270000</v>
      </c>
      <c r="H140" s="26">
        <f t="shared" ref="H140:O140" si="745">+I140-20000</f>
        <v>1285000</v>
      </c>
      <c r="I140" s="26">
        <f t="shared" si="745"/>
        <v>1305000</v>
      </c>
      <c r="J140" s="26">
        <f t="shared" si="745"/>
        <v>1325000</v>
      </c>
      <c r="K140" s="26">
        <f t="shared" si="745"/>
        <v>1345000</v>
      </c>
      <c r="L140" s="26">
        <f t="shared" si="745"/>
        <v>1365000</v>
      </c>
      <c r="M140" s="26">
        <f t="shared" si="745"/>
        <v>1385000</v>
      </c>
      <c r="N140" s="26">
        <f t="shared" si="745"/>
        <v>1405000</v>
      </c>
      <c r="O140" s="26">
        <f t="shared" si="745"/>
        <v>1425000</v>
      </c>
      <c r="P140" s="26">
        <v>1445000</v>
      </c>
      <c r="Q140" s="26">
        <v>600000</v>
      </c>
      <c r="R140" s="26">
        <f>+Q140+100000</f>
        <v>700000</v>
      </c>
      <c r="S140" s="26">
        <f t="shared" ref="S140:U140" si="746">+R140+100000</f>
        <v>800000</v>
      </c>
      <c r="T140" s="26">
        <f t="shared" si="746"/>
        <v>900000</v>
      </c>
      <c r="U140" s="26">
        <f t="shared" si="746"/>
        <v>1000000</v>
      </c>
      <c r="V140" s="26">
        <v>0</v>
      </c>
      <c r="W140" s="26">
        <f>+V140+200000</f>
        <v>200000</v>
      </c>
      <c r="X140" s="26">
        <f t="shared" ref="X140:AA140" si="747">+W140+200000</f>
        <v>400000</v>
      </c>
      <c r="Y140" s="26">
        <f t="shared" si="747"/>
        <v>600000</v>
      </c>
      <c r="Z140" s="26">
        <f t="shared" si="747"/>
        <v>800000</v>
      </c>
      <c r="AA140" s="26">
        <f t="shared" si="747"/>
        <v>1000000</v>
      </c>
      <c r="AB140" s="26">
        <v>1200000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0</v>
      </c>
      <c r="AJ140" s="26">
        <v>0</v>
      </c>
      <c r="AK140" s="26">
        <v>0</v>
      </c>
      <c r="AL140" s="26">
        <v>0</v>
      </c>
      <c r="AM140" s="26">
        <v>0</v>
      </c>
      <c r="AN140" s="26">
        <v>0</v>
      </c>
      <c r="AO140" s="26">
        <f t="shared" si="714"/>
        <v>2745000</v>
      </c>
      <c r="AP140" s="27">
        <f t="shared" si="715"/>
        <v>3000</v>
      </c>
      <c r="AQ140" s="27">
        <f t="shared" si="716"/>
        <v>3500</v>
      </c>
      <c r="AR140" s="27">
        <f t="shared" si="717"/>
        <v>4000</v>
      </c>
      <c r="AS140" s="27">
        <f t="shared" si="718"/>
        <v>4500</v>
      </c>
      <c r="AT140" s="27">
        <f t="shared" si="719"/>
        <v>5000</v>
      </c>
      <c r="AU140" s="27">
        <f t="shared" si="720"/>
        <v>0</v>
      </c>
      <c r="AV140" s="27">
        <f t="shared" si="721"/>
        <v>1000</v>
      </c>
      <c r="AW140" s="27">
        <f t="shared" si="722"/>
        <v>2000</v>
      </c>
      <c r="AX140" s="27">
        <f t="shared" si="723"/>
        <v>3000</v>
      </c>
      <c r="AY140" s="27">
        <f t="shared" si="724"/>
        <v>4000</v>
      </c>
      <c r="AZ140" s="27">
        <f t="shared" si="725"/>
        <v>5000</v>
      </c>
      <c r="BA140" s="27">
        <f t="shared" si="726"/>
        <v>6000</v>
      </c>
      <c r="BB140" s="27">
        <v>900000</v>
      </c>
      <c r="BC140" s="26">
        <v>500000</v>
      </c>
      <c r="BD140" s="27">
        <f t="shared" si="731"/>
        <v>41000</v>
      </c>
      <c r="BE140" s="28">
        <f t="shared" si="732"/>
        <v>3438.4281286920714</v>
      </c>
      <c r="BF140" s="28">
        <f t="shared" si="733"/>
        <v>3307.7731040177318</v>
      </c>
      <c r="BG140" s="28">
        <f t="shared" si="734"/>
        <v>10905.946710276523</v>
      </c>
      <c r="BH140" s="28">
        <f t="shared" si="735"/>
        <v>18293.422731812916</v>
      </c>
      <c r="BI140" s="28">
        <f t="shared" si="736"/>
        <v>14657.353132033477</v>
      </c>
      <c r="BJ140" s="28">
        <f t="shared" si="737"/>
        <v>8902.2728499672412</v>
      </c>
      <c r="BK140" s="28">
        <f t="shared" si="738"/>
        <v>7119.7020097206168</v>
      </c>
      <c r="BL140" s="28">
        <f t="shared" si="739"/>
        <v>14169.13056664302</v>
      </c>
      <c r="BM140" s="28">
        <f t="shared" si="740"/>
        <v>16090.871200761279</v>
      </c>
      <c r="BN140" s="28">
        <f t="shared" si="741"/>
        <v>14870.567488130126</v>
      </c>
      <c r="BO140" s="28">
        <f t="shared" si="742"/>
        <v>11775.10403346682</v>
      </c>
      <c r="BP140" s="28">
        <f t="shared" si="743"/>
        <v>11197.84399738719</v>
      </c>
      <c r="BQ140" s="29">
        <f t="shared" si="727"/>
        <v>134728.41595290898</v>
      </c>
      <c r="BR140" s="26">
        <f t="shared" si="702"/>
        <v>196549.17656257635</v>
      </c>
      <c r="BS140" s="26">
        <f t="shared" si="709"/>
        <v>331277.59251548536</v>
      </c>
      <c r="BT140" s="26">
        <f t="shared" si="703"/>
        <v>372277.59251548536</v>
      </c>
      <c r="BU140" s="111">
        <f t="shared" si="710"/>
        <v>2645000</v>
      </c>
      <c r="BV140" s="110">
        <v>97</v>
      </c>
    </row>
    <row r="141" spans="1:74" s="110" customFormat="1" ht="13.5" customHeight="1" x14ac:dyDescent="0.2">
      <c r="A141" s="24">
        <v>133</v>
      </c>
      <c r="B141" s="24">
        <v>218</v>
      </c>
      <c r="C141" s="25" t="s">
        <v>135</v>
      </c>
      <c r="D141" s="26">
        <v>100000</v>
      </c>
      <c r="E141" s="26">
        <f t="shared" ref="E141:G141" si="748">+F141-15000</f>
        <v>1230000</v>
      </c>
      <c r="F141" s="26">
        <f t="shared" si="748"/>
        <v>1245000</v>
      </c>
      <c r="G141" s="26">
        <f t="shared" si="748"/>
        <v>1260000</v>
      </c>
      <c r="H141" s="26">
        <f t="shared" ref="H141:O141" si="749">+I141-20000</f>
        <v>1275000</v>
      </c>
      <c r="I141" s="26">
        <f t="shared" si="749"/>
        <v>1295000</v>
      </c>
      <c r="J141" s="26">
        <f t="shared" si="749"/>
        <v>1315000</v>
      </c>
      <c r="K141" s="26">
        <f t="shared" si="749"/>
        <v>1335000</v>
      </c>
      <c r="L141" s="26">
        <f t="shared" si="749"/>
        <v>1355000</v>
      </c>
      <c r="M141" s="26">
        <f t="shared" si="749"/>
        <v>1375000</v>
      </c>
      <c r="N141" s="26">
        <f t="shared" si="749"/>
        <v>1395000</v>
      </c>
      <c r="O141" s="26">
        <f t="shared" si="749"/>
        <v>1415000</v>
      </c>
      <c r="P141" s="26">
        <v>1435000</v>
      </c>
      <c r="Q141" s="26">
        <v>300000</v>
      </c>
      <c r="R141" s="26">
        <f>+Q141+50000</f>
        <v>350000</v>
      </c>
      <c r="S141" s="26">
        <f t="shared" ref="S141:U141" si="750">+R141+50000</f>
        <v>400000</v>
      </c>
      <c r="T141" s="26">
        <f t="shared" si="750"/>
        <v>450000</v>
      </c>
      <c r="U141" s="26">
        <f t="shared" si="750"/>
        <v>500000</v>
      </c>
      <c r="V141" s="26">
        <v>0</v>
      </c>
      <c r="W141" s="26">
        <f>+V141+100000</f>
        <v>100000</v>
      </c>
      <c r="X141" s="26">
        <f t="shared" ref="X141:AA141" si="751">+W141+100000</f>
        <v>200000</v>
      </c>
      <c r="Y141" s="26">
        <f t="shared" si="751"/>
        <v>300000</v>
      </c>
      <c r="Z141" s="26">
        <f t="shared" si="751"/>
        <v>400000</v>
      </c>
      <c r="AA141" s="26">
        <f t="shared" si="751"/>
        <v>500000</v>
      </c>
      <c r="AB141" s="26">
        <v>600000</v>
      </c>
      <c r="AC141" s="26">
        <v>4000</v>
      </c>
      <c r="AD141" s="26">
        <v>4000</v>
      </c>
      <c r="AE141" s="26">
        <v>4000</v>
      </c>
      <c r="AF141" s="26">
        <v>4000</v>
      </c>
      <c r="AG141" s="26">
        <v>4000</v>
      </c>
      <c r="AH141" s="26">
        <v>4000</v>
      </c>
      <c r="AI141" s="26">
        <v>4000</v>
      </c>
      <c r="AJ141" s="26">
        <v>4000</v>
      </c>
      <c r="AK141" s="26">
        <v>4000</v>
      </c>
      <c r="AL141" s="26">
        <v>4000</v>
      </c>
      <c r="AM141" s="26">
        <v>4000</v>
      </c>
      <c r="AN141" s="26">
        <v>4000</v>
      </c>
      <c r="AO141" s="26">
        <f t="shared" si="714"/>
        <v>2139000</v>
      </c>
      <c r="AP141" s="27">
        <f t="shared" si="715"/>
        <v>1520</v>
      </c>
      <c r="AQ141" s="27">
        <f t="shared" si="716"/>
        <v>1770</v>
      </c>
      <c r="AR141" s="27">
        <f t="shared" si="717"/>
        <v>2020</v>
      </c>
      <c r="AS141" s="27">
        <f t="shared" si="718"/>
        <v>2270</v>
      </c>
      <c r="AT141" s="27">
        <f t="shared" si="719"/>
        <v>2520</v>
      </c>
      <c r="AU141" s="27">
        <f t="shared" si="720"/>
        <v>20</v>
      </c>
      <c r="AV141" s="27">
        <f t="shared" si="721"/>
        <v>520</v>
      </c>
      <c r="AW141" s="27">
        <f t="shared" si="722"/>
        <v>1020</v>
      </c>
      <c r="AX141" s="27">
        <f t="shared" si="723"/>
        <v>1520</v>
      </c>
      <c r="AY141" s="27">
        <f t="shared" si="724"/>
        <v>2020</v>
      </c>
      <c r="AZ141" s="27">
        <f t="shared" si="725"/>
        <v>2520</v>
      </c>
      <c r="BA141" s="27">
        <f t="shared" si="726"/>
        <v>3020</v>
      </c>
      <c r="BB141" s="27">
        <v>405000</v>
      </c>
      <c r="BC141" s="26">
        <v>2000000</v>
      </c>
      <c r="BD141" s="27">
        <f t="shared" si="731"/>
        <v>20740</v>
      </c>
      <c r="BE141" s="28">
        <f t="shared" si="732"/>
        <v>2896.0781248880639</v>
      </c>
      <c r="BF141" s="28">
        <f t="shared" si="733"/>
        <v>2734.7476903776769</v>
      </c>
      <c r="BG141" s="28">
        <f t="shared" si="734"/>
        <v>8865.4792612570454</v>
      </c>
      <c r="BH141" s="28">
        <f t="shared" si="735"/>
        <v>14642.744059731212</v>
      </c>
      <c r="BI141" s="28">
        <f t="shared" si="736"/>
        <v>11573.519167455956</v>
      </c>
      <c r="BJ141" s="28">
        <f t="shared" si="737"/>
        <v>8864.7895958621157</v>
      </c>
      <c r="BK141" s="28">
        <f t="shared" si="738"/>
        <v>6660.9248589422668</v>
      </c>
      <c r="BL141" s="28">
        <f t="shared" si="739"/>
        <v>12604.068423625076</v>
      </c>
      <c r="BM141" s="28">
        <f t="shared" si="740"/>
        <v>13729.333269138762</v>
      </c>
      <c r="BN141" s="28">
        <f t="shared" si="741"/>
        <v>12251.28314965688</v>
      </c>
      <c r="BO141" s="28">
        <f t="shared" si="742"/>
        <v>9415.4198192354488</v>
      </c>
      <c r="BP141" s="28">
        <f t="shared" si="743"/>
        <v>8725.7516613519856</v>
      </c>
      <c r="BQ141" s="29">
        <f t="shared" si="727"/>
        <v>112964.13908152249</v>
      </c>
      <c r="BR141" s="26">
        <f t="shared" si="702"/>
        <v>88447.129453159359</v>
      </c>
      <c r="BS141" s="26">
        <f t="shared" si="709"/>
        <v>201411.26853468185</v>
      </c>
      <c r="BT141" s="26">
        <f t="shared" si="703"/>
        <v>222151.26853468185</v>
      </c>
      <c r="BU141" s="111">
        <f t="shared" si="710"/>
        <v>2039000</v>
      </c>
      <c r="BV141" s="110">
        <v>98</v>
      </c>
    </row>
    <row r="142" spans="1:74" ht="13.5" customHeight="1" x14ac:dyDescent="0.2">
      <c r="A142" s="15">
        <v>134</v>
      </c>
      <c r="B142" s="15">
        <v>220</v>
      </c>
      <c r="C142" s="14" t="s">
        <v>136</v>
      </c>
      <c r="D142" s="8">
        <v>100000</v>
      </c>
      <c r="E142" s="8">
        <f t="shared" ref="E142:G142" si="752">+F142-25000</f>
        <v>1600000</v>
      </c>
      <c r="F142" s="8">
        <f t="shared" si="752"/>
        <v>1625000</v>
      </c>
      <c r="G142" s="8">
        <f t="shared" si="752"/>
        <v>1650000</v>
      </c>
      <c r="H142" s="8">
        <f t="shared" ref="H142:O142" si="753">+I142-50000</f>
        <v>1675000</v>
      </c>
      <c r="I142" s="8">
        <f t="shared" si="753"/>
        <v>1725000</v>
      </c>
      <c r="J142" s="8">
        <f t="shared" si="753"/>
        <v>1775000</v>
      </c>
      <c r="K142" s="8">
        <f t="shared" si="753"/>
        <v>1825000</v>
      </c>
      <c r="L142" s="8">
        <f t="shared" si="753"/>
        <v>1875000</v>
      </c>
      <c r="M142" s="8">
        <f t="shared" si="753"/>
        <v>1925000</v>
      </c>
      <c r="N142" s="8">
        <f t="shared" si="753"/>
        <v>1975000</v>
      </c>
      <c r="O142" s="8">
        <f t="shared" si="753"/>
        <v>2025000</v>
      </c>
      <c r="P142" s="8">
        <v>2075000</v>
      </c>
      <c r="Q142" s="8">
        <v>1200000</v>
      </c>
      <c r="R142" s="8">
        <f>+Q142+200000</f>
        <v>1400000</v>
      </c>
      <c r="S142" s="8">
        <f t="shared" ref="S142:U145" si="754">+R142+200000</f>
        <v>1600000</v>
      </c>
      <c r="T142" s="8">
        <f t="shared" si="754"/>
        <v>1800000</v>
      </c>
      <c r="U142" s="8">
        <f t="shared" si="754"/>
        <v>2000000</v>
      </c>
      <c r="V142" s="8">
        <v>0</v>
      </c>
      <c r="W142" s="8">
        <f>+V142+300000</f>
        <v>300000</v>
      </c>
      <c r="X142" s="8">
        <f t="shared" ref="X142:AA142" si="755">+W142+300000</f>
        <v>600000</v>
      </c>
      <c r="Y142" s="8">
        <f t="shared" si="755"/>
        <v>900000</v>
      </c>
      <c r="Z142" s="8">
        <f t="shared" si="755"/>
        <v>1200000</v>
      </c>
      <c r="AA142" s="8">
        <f t="shared" si="755"/>
        <v>1500000</v>
      </c>
      <c r="AB142" s="8">
        <v>1800000</v>
      </c>
      <c r="AC142" s="8">
        <v>160000</v>
      </c>
      <c r="AD142" s="8">
        <f>10000+AC142</f>
        <v>170000</v>
      </c>
      <c r="AE142" s="8">
        <f t="shared" ref="AE142:AM142" si="756">10000+AD142</f>
        <v>180000</v>
      </c>
      <c r="AF142" s="8">
        <f t="shared" si="756"/>
        <v>190000</v>
      </c>
      <c r="AG142" s="8">
        <f t="shared" si="756"/>
        <v>200000</v>
      </c>
      <c r="AH142" s="8">
        <f t="shared" si="756"/>
        <v>210000</v>
      </c>
      <c r="AI142" s="8">
        <v>20000</v>
      </c>
      <c r="AJ142" s="8">
        <f t="shared" si="756"/>
        <v>30000</v>
      </c>
      <c r="AK142" s="8">
        <f t="shared" si="756"/>
        <v>40000</v>
      </c>
      <c r="AL142" s="8">
        <f t="shared" si="756"/>
        <v>50000</v>
      </c>
      <c r="AM142" s="8">
        <f t="shared" si="756"/>
        <v>60000</v>
      </c>
      <c r="AN142" s="8">
        <v>70000</v>
      </c>
      <c r="AO142" s="8">
        <f t="shared" si="714"/>
        <v>4045000</v>
      </c>
      <c r="AP142" s="16">
        <f t="shared" si="715"/>
        <v>6800</v>
      </c>
      <c r="AQ142" s="16">
        <f t="shared" si="716"/>
        <v>7850</v>
      </c>
      <c r="AR142" s="16">
        <f t="shared" si="717"/>
        <v>8900</v>
      </c>
      <c r="AS142" s="16">
        <f t="shared" si="718"/>
        <v>9950</v>
      </c>
      <c r="AT142" s="16">
        <f t="shared" si="719"/>
        <v>11000</v>
      </c>
      <c r="AU142" s="16">
        <f t="shared" si="720"/>
        <v>1050</v>
      </c>
      <c r="AV142" s="16">
        <f t="shared" si="721"/>
        <v>1600</v>
      </c>
      <c r="AW142" s="16">
        <f t="shared" si="722"/>
        <v>3150</v>
      </c>
      <c r="AX142" s="16">
        <f t="shared" si="723"/>
        <v>4700</v>
      </c>
      <c r="AY142" s="16">
        <f t="shared" si="724"/>
        <v>6250</v>
      </c>
      <c r="AZ142" s="16">
        <f t="shared" si="725"/>
        <v>7800</v>
      </c>
      <c r="BA142" s="16">
        <f t="shared" si="726"/>
        <v>9350</v>
      </c>
      <c r="BB142" s="16">
        <v>900000</v>
      </c>
      <c r="BC142" s="8">
        <v>4000000</v>
      </c>
      <c r="BD142" s="16">
        <f t="shared" si="731"/>
        <v>78400</v>
      </c>
      <c r="BE142" s="23">
        <f t="shared" si="732"/>
        <v>5423.5000380400716</v>
      </c>
      <c r="BF142" s="23">
        <f t="shared" si="733"/>
        <v>5303.7043200673606</v>
      </c>
      <c r="BG142" s="23">
        <f t="shared" si="734"/>
        <v>17741.010086302362</v>
      </c>
      <c r="BH142" s="23">
        <f t="shared" si="735"/>
        <v>30142.116667516686</v>
      </c>
      <c r="BI142" s="23">
        <f t="shared" si="736"/>
        <v>24530.497445503013</v>
      </c>
      <c r="BJ142" s="23">
        <f t="shared" si="737"/>
        <v>13025.430801531016</v>
      </c>
      <c r="BK142" s="23">
        <f t="shared" si="738"/>
        <v>9716.5538065792007</v>
      </c>
      <c r="BL142" s="23">
        <f t="shared" si="739"/>
        <v>19791.198459037569</v>
      </c>
      <c r="BM142" s="23">
        <f t="shared" si="740"/>
        <v>22882.22211523127</v>
      </c>
      <c r="BN142" s="23">
        <f t="shared" si="741"/>
        <v>21451.035530599856</v>
      </c>
      <c r="BO142" s="23">
        <f t="shared" si="742"/>
        <v>17184.656777554548</v>
      </c>
      <c r="BP142" s="23">
        <f t="shared" si="743"/>
        <v>16501.012375020469</v>
      </c>
      <c r="BQ142" s="22">
        <f t="shared" si="727"/>
        <v>203692.93842298342</v>
      </c>
      <c r="BR142" s="8">
        <f t="shared" si="702"/>
        <v>196549.17656257635</v>
      </c>
      <c r="BS142" s="8">
        <f t="shared" si="709"/>
        <v>400242.11498555978</v>
      </c>
      <c r="BT142" s="8">
        <f t="shared" si="703"/>
        <v>478642.11498555978</v>
      </c>
    </row>
    <row r="143" spans="1:74" ht="13.5" customHeight="1" x14ac:dyDescent="0.2">
      <c r="A143" s="15">
        <v>135</v>
      </c>
      <c r="B143" s="15">
        <v>221</v>
      </c>
      <c r="C143" s="14" t="s">
        <v>137</v>
      </c>
      <c r="D143" s="8">
        <v>100000</v>
      </c>
      <c r="E143" s="8">
        <f t="shared" ref="E143:G143" si="757">+F143-25000</f>
        <v>1580000</v>
      </c>
      <c r="F143" s="8">
        <f t="shared" si="757"/>
        <v>1605000</v>
      </c>
      <c r="G143" s="8">
        <f t="shared" si="757"/>
        <v>1630000</v>
      </c>
      <c r="H143" s="8">
        <f t="shared" ref="H143:O143" si="758">+I143-50000</f>
        <v>1655000</v>
      </c>
      <c r="I143" s="8">
        <f t="shared" si="758"/>
        <v>1705000</v>
      </c>
      <c r="J143" s="8">
        <f t="shared" si="758"/>
        <v>1755000</v>
      </c>
      <c r="K143" s="8">
        <f t="shared" si="758"/>
        <v>1805000</v>
      </c>
      <c r="L143" s="8">
        <f t="shared" si="758"/>
        <v>1855000</v>
      </c>
      <c r="M143" s="8">
        <f t="shared" si="758"/>
        <v>1905000</v>
      </c>
      <c r="N143" s="8">
        <f t="shared" si="758"/>
        <v>1955000</v>
      </c>
      <c r="O143" s="8">
        <f t="shared" si="758"/>
        <v>2005000</v>
      </c>
      <c r="P143" s="8">
        <v>2055000</v>
      </c>
      <c r="Q143" s="8">
        <v>1200000</v>
      </c>
      <c r="R143" s="8">
        <f>+Q143+200000</f>
        <v>1400000</v>
      </c>
      <c r="S143" s="8">
        <f t="shared" si="754"/>
        <v>1600000</v>
      </c>
      <c r="T143" s="8">
        <f t="shared" si="754"/>
        <v>1800000</v>
      </c>
      <c r="U143" s="8">
        <f t="shared" si="754"/>
        <v>2000000</v>
      </c>
      <c r="V143" s="8">
        <v>0</v>
      </c>
      <c r="W143" s="8">
        <f t="shared" ref="W143" si="759">+V143+200000</f>
        <v>200000</v>
      </c>
      <c r="X143" s="8">
        <f t="shared" ref="X143" si="760">+W143+200000</f>
        <v>400000</v>
      </c>
      <c r="Y143" s="8">
        <f t="shared" ref="Y143" si="761">+X143+200000</f>
        <v>600000</v>
      </c>
      <c r="Z143" s="8">
        <f t="shared" ref="Z143" si="762">+Y143+200000</f>
        <v>800000</v>
      </c>
      <c r="AA143" s="8">
        <f t="shared" ref="AA143" si="763">+Z143+200000</f>
        <v>1000000</v>
      </c>
      <c r="AB143" s="8">
        <v>1200000</v>
      </c>
      <c r="AC143" s="8">
        <v>0</v>
      </c>
      <c r="AD143" s="8">
        <f>50000+AC143</f>
        <v>50000</v>
      </c>
      <c r="AE143" s="8">
        <v>0</v>
      </c>
      <c r="AF143" s="8">
        <f t="shared" ref="AF143:AL143" si="764">50000+AE143</f>
        <v>50000</v>
      </c>
      <c r="AG143" s="8">
        <v>0</v>
      </c>
      <c r="AH143" s="8">
        <f t="shared" si="764"/>
        <v>50000</v>
      </c>
      <c r="AI143" s="8">
        <f t="shared" si="764"/>
        <v>100000</v>
      </c>
      <c r="AJ143" s="8">
        <v>50000</v>
      </c>
      <c r="AK143" s="8">
        <v>0</v>
      </c>
      <c r="AL143" s="8">
        <f t="shared" si="764"/>
        <v>50000</v>
      </c>
      <c r="AM143" s="8">
        <v>0</v>
      </c>
      <c r="AN143" s="8">
        <v>50000</v>
      </c>
      <c r="AO143" s="8">
        <f t="shared" si="714"/>
        <v>3405000</v>
      </c>
      <c r="AP143" s="16">
        <f t="shared" si="715"/>
        <v>6000</v>
      </c>
      <c r="AQ143" s="16">
        <f t="shared" si="716"/>
        <v>7250</v>
      </c>
      <c r="AR143" s="16">
        <f t="shared" si="717"/>
        <v>8000</v>
      </c>
      <c r="AS143" s="16">
        <f t="shared" si="718"/>
        <v>9250</v>
      </c>
      <c r="AT143" s="16">
        <f t="shared" si="719"/>
        <v>10000</v>
      </c>
      <c r="AU143" s="16">
        <f t="shared" si="720"/>
        <v>250</v>
      </c>
      <c r="AV143" s="16">
        <f t="shared" si="721"/>
        <v>1500</v>
      </c>
      <c r="AW143" s="16">
        <f t="shared" si="722"/>
        <v>2250</v>
      </c>
      <c r="AX143" s="16">
        <f t="shared" si="723"/>
        <v>3000</v>
      </c>
      <c r="AY143" s="16">
        <f t="shared" si="724"/>
        <v>4250</v>
      </c>
      <c r="AZ143" s="16">
        <f t="shared" si="725"/>
        <v>5000</v>
      </c>
      <c r="BA143" s="16">
        <f t="shared" si="726"/>
        <v>6250</v>
      </c>
      <c r="BB143" s="16">
        <v>720000</v>
      </c>
      <c r="BC143" s="8">
        <v>2000000</v>
      </c>
      <c r="BD143" s="16">
        <f t="shared" si="731"/>
        <v>63000</v>
      </c>
      <c r="BE143" s="23">
        <f t="shared" si="732"/>
        <v>5104.4706240377136</v>
      </c>
      <c r="BF143" s="23">
        <f t="shared" si="733"/>
        <v>5078.357247287564</v>
      </c>
      <c r="BG143" s="23">
        <f t="shared" si="734"/>
        <v>16735.853707475035</v>
      </c>
      <c r="BH143" s="23">
        <f t="shared" si="735"/>
        <v>28861.176782575738</v>
      </c>
      <c r="BI143" s="23">
        <f t="shared" si="736"/>
        <v>23189.700069599745</v>
      </c>
      <c r="BJ143" s="23">
        <f t="shared" si="737"/>
        <v>11900.93317837726</v>
      </c>
      <c r="BK143" s="23">
        <f t="shared" si="738"/>
        <v>9543.4303534552946</v>
      </c>
      <c r="BL143" s="23">
        <f t="shared" si="739"/>
        <v>18271.720650282285</v>
      </c>
      <c r="BM143" s="23">
        <f t="shared" si="740"/>
        <v>20103.942195675365</v>
      </c>
      <c r="BN143" s="23">
        <f t="shared" si="741"/>
        <v>18741.431042524084</v>
      </c>
      <c r="BO143" s="23">
        <f t="shared" si="742"/>
        <v>14479.880405510683</v>
      </c>
      <c r="BP143" s="23">
        <f t="shared" si="743"/>
        <v>13890.2217891087</v>
      </c>
      <c r="BQ143" s="22">
        <f t="shared" si="727"/>
        <v>185901.11804590948</v>
      </c>
      <c r="BR143" s="8">
        <f t="shared" si="702"/>
        <v>157239.34125006109</v>
      </c>
      <c r="BS143" s="8">
        <f t="shared" si="709"/>
        <v>343140.45929597056</v>
      </c>
      <c r="BT143" s="8">
        <f t="shared" si="703"/>
        <v>406140.45929597056</v>
      </c>
    </row>
    <row r="144" spans="1:74" s="110" customFormat="1" ht="13.5" customHeight="1" x14ac:dyDescent="0.2">
      <c r="A144" s="24">
        <v>136</v>
      </c>
      <c r="B144" s="24">
        <v>222</v>
      </c>
      <c r="C144" s="25" t="s">
        <v>138</v>
      </c>
      <c r="D144" s="26">
        <v>100000</v>
      </c>
      <c r="E144" s="26">
        <f t="shared" ref="E144:F144" si="765">+F144-15000</f>
        <v>1200000</v>
      </c>
      <c r="F144" s="26">
        <f t="shared" si="765"/>
        <v>1215000</v>
      </c>
      <c r="G144" s="26">
        <f>+H144-15000</f>
        <v>1230000</v>
      </c>
      <c r="H144" s="26">
        <f t="shared" ref="H144:N144" si="766">+I144-20000</f>
        <v>1245000</v>
      </c>
      <c r="I144" s="26">
        <f t="shared" si="766"/>
        <v>1265000</v>
      </c>
      <c r="J144" s="26">
        <f t="shared" si="766"/>
        <v>1285000</v>
      </c>
      <c r="K144" s="26">
        <f t="shared" si="766"/>
        <v>1305000</v>
      </c>
      <c r="L144" s="26">
        <f t="shared" si="766"/>
        <v>1325000</v>
      </c>
      <c r="M144" s="26">
        <f t="shared" si="766"/>
        <v>1345000</v>
      </c>
      <c r="N144" s="26">
        <f t="shared" si="766"/>
        <v>1365000</v>
      </c>
      <c r="O144" s="26">
        <f>+P144-20000</f>
        <v>1385000</v>
      </c>
      <c r="P144" s="26">
        <v>1405000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3000</v>
      </c>
      <c r="AD144" s="26">
        <v>3000</v>
      </c>
      <c r="AE144" s="26">
        <v>3000</v>
      </c>
      <c r="AF144" s="26">
        <v>3000</v>
      </c>
      <c r="AG144" s="26">
        <v>3000</v>
      </c>
      <c r="AH144" s="26">
        <v>3000</v>
      </c>
      <c r="AI144" s="26">
        <v>3000</v>
      </c>
      <c r="AJ144" s="26">
        <v>3000</v>
      </c>
      <c r="AK144" s="26">
        <v>3000</v>
      </c>
      <c r="AL144" s="26">
        <v>3000</v>
      </c>
      <c r="AM144" s="26">
        <v>3000</v>
      </c>
      <c r="AN144" s="26">
        <v>3000</v>
      </c>
      <c r="AO144" s="26">
        <f t="shared" si="714"/>
        <v>1508000</v>
      </c>
      <c r="AP144" s="27">
        <f t="shared" si="715"/>
        <v>15</v>
      </c>
      <c r="AQ144" s="27">
        <f t="shared" si="716"/>
        <v>15</v>
      </c>
      <c r="AR144" s="27">
        <f t="shared" si="717"/>
        <v>15</v>
      </c>
      <c r="AS144" s="27">
        <f t="shared" si="718"/>
        <v>15</v>
      </c>
      <c r="AT144" s="27">
        <f t="shared" si="719"/>
        <v>15</v>
      </c>
      <c r="AU144" s="27">
        <f t="shared" si="720"/>
        <v>15</v>
      </c>
      <c r="AV144" s="27">
        <f t="shared" si="721"/>
        <v>15</v>
      </c>
      <c r="AW144" s="27">
        <f t="shared" si="722"/>
        <v>15</v>
      </c>
      <c r="AX144" s="27">
        <f t="shared" si="723"/>
        <v>15</v>
      </c>
      <c r="AY144" s="27">
        <f t="shared" si="724"/>
        <v>15</v>
      </c>
      <c r="AZ144" s="27">
        <f t="shared" si="725"/>
        <v>15</v>
      </c>
      <c r="BA144" s="27">
        <f t="shared" si="726"/>
        <v>15</v>
      </c>
      <c r="BB144" s="27">
        <v>712500</v>
      </c>
      <c r="BC144" s="26">
        <v>1664000</v>
      </c>
      <c r="BD144" s="27">
        <f t="shared" si="731"/>
        <v>180</v>
      </c>
      <c r="BE144" s="28">
        <f t="shared" si="732"/>
        <v>2309.4184802503964</v>
      </c>
      <c r="BF144" s="28">
        <f t="shared" si="733"/>
        <v>2121.4817280269444</v>
      </c>
      <c r="BG144" s="28">
        <f t="shared" si="734"/>
        <v>6699.3672648841502</v>
      </c>
      <c r="BH144" s="28">
        <f t="shared" si="735"/>
        <v>10791.918530627489</v>
      </c>
      <c r="BI144" s="28">
        <f t="shared" si="736"/>
        <v>8337.3218647076083</v>
      </c>
      <c r="BJ144" s="28">
        <f t="shared" si="737"/>
        <v>8671.1261163189683</v>
      </c>
      <c r="BK144" s="28">
        <f t="shared" si="738"/>
        <v>6093.945549961476</v>
      </c>
      <c r="BL144" s="28">
        <f t="shared" si="739"/>
        <v>10849.071554512724</v>
      </c>
      <c r="BM144" s="28">
        <f t="shared" si="740"/>
        <v>11174.859231991528</v>
      </c>
      <c r="BN144" s="28">
        <f t="shared" si="741"/>
        <v>9470.7128297505533</v>
      </c>
      <c r="BO144" s="28">
        <f t="shared" si="742"/>
        <v>6939.1504165539118</v>
      </c>
      <c r="BP144" s="28">
        <f t="shared" si="743"/>
        <v>6151.675318054602</v>
      </c>
      <c r="BQ144" s="29">
        <f t="shared" si="727"/>
        <v>89610.048885640354</v>
      </c>
      <c r="BR144" s="26">
        <f t="shared" si="702"/>
        <v>155601.43144537293</v>
      </c>
      <c r="BS144" s="26">
        <f t="shared" si="709"/>
        <v>245211.48033101327</v>
      </c>
      <c r="BT144" s="26">
        <f t="shared" si="703"/>
        <v>245391.48033101327</v>
      </c>
      <c r="BU144" s="111">
        <f t="shared" ref="BU144" si="767">AO144-100000</f>
        <v>1408000</v>
      </c>
      <c r="BV144" s="110">
        <v>100</v>
      </c>
    </row>
    <row r="145" spans="1:74" ht="13.5" customHeight="1" x14ac:dyDescent="0.2">
      <c r="A145" s="15">
        <v>137</v>
      </c>
      <c r="B145" s="15">
        <v>224</v>
      </c>
      <c r="C145" s="14" t="s">
        <v>139</v>
      </c>
      <c r="D145" s="8">
        <v>100000</v>
      </c>
      <c r="E145" s="8">
        <f t="shared" ref="E145:G145" si="768">+F145-25000</f>
        <v>1540000</v>
      </c>
      <c r="F145" s="8">
        <f t="shared" si="768"/>
        <v>1565000</v>
      </c>
      <c r="G145" s="8">
        <f t="shared" si="768"/>
        <v>1590000</v>
      </c>
      <c r="H145" s="8">
        <f t="shared" ref="H145:O145" si="769">+I145-50000</f>
        <v>1615000</v>
      </c>
      <c r="I145" s="8">
        <f t="shared" si="769"/>
        <v>1665000</v>
      </c>
      <c r="J145" s="8">
        <f t="shared" si="769"/>
        <v>1715000</v>
      </c>
      <c r="K145" s="8">
        <f t="shared" si="769"/>
        <v>1765000</v>
      </c>
      <c r="L145" s="8">
        <f t="shared" si="769"/>
        <v>1815000</v>
      </c>
      <c r="M145" s="8">
        <f t="shared" si="769"/>
        <v>1865000</v>
      </c>
      <c r="N145" s="8">
        <f t="shared" si="769"/>
        <v>1915000</v>
      </c>
      <c r="O145" s="8">
        <f t="shared" si="769"/>
        <v>1965000</v>
      </c>
      <c r="P145" s="8">
        <v>2015000</v>
      </c>
      <c r="Q145" s="8">
        <v>1200000</v>
      </c>
      <c r="R145" s="8">
        <f>+Q145+200000</f>
        <v>1400000</v>
      </c>
      <c r="S145" s="8">
        <f t="shared" si="754"/>
        <v>1600000</v>
      </c>
      <c r="T145" s="8">
        <f t="shared" si="754"/>
        <v>1800000</v>
      </c>
      <c r="U145" s="8">
        <f t="shared" si="754"/>
        <v>2000000</v>
      </c>
      <c r="V145" s="8">
        <v>0</v>
      </c>
      <c r="W145" s="8">
        <f t="shared" ref="W145" si="770">+V145+200000</f>
        <v>200000</v>
      </c>
      <c r="X145" s="8">
        <f t="shared" ref="X145" si="771">+W145+200000</f>
        <v>400000</v>
      </c>
      <c r="Y145" s="8">
        <f t="shared" ref="Y145" si="772">+X145+200000</f>
        <v>600000</v>
      </c>
      <c r="Z145" s="8">
        <f t="shared" ref="Z145" si="773">+Y145+200000</f>
        <v>800000</v>
      </c>
      <c r="AA145" s="8">
        <f t="shared" ref="AA145" si="774">+Z145+200000</f>
        <v>1000000</v>
      </c>
      <c r="AB145" s="8">
        <v>1200000</v>
      </c>
      <c r="AC145" s="8">
        <v>325000</v>
      </c>
      <c r="AD145" s="8">
        <f>25000+AC145</f>
        <v>350000</v>
      </c>
      <c r="AE145" s="8">
        <v>75000</v>
      </c>
      <c r="AF145" s="8">
        <f t="shared" ref="AF145:AM145" si="775">25000+AE145</f>
        <v>100000</v>
      </c>
      <c r="AG145" s="8">
        <f t="shared" si="775"/>
        <v>125000</v>
      </c>
      <c r="AH145" s="8">
        <f t="shared" si="775"/>
        <v>150000</v>
      </c>
      <c r="AI145" s="8">
        <f t="shared" si="775"/>
        <v>175000</v>
      </c>
      <c r="AJ145" s="8">
        <f t="shared" si="775"/>
        <v>200000</v>
      </c>
      <c r="AK145" s="8">
        <f t="shared" si="775"/>
        <v>225000</v>
      </c>
      <c r="AL145" s="8">
        <f t="shared" si="775"/>
        <v>250000</v>
      </c>
      <c r="AM145" s="8">
        <f t="shared" si="775"/>
        <v>275000</v>
      </c>
      <c r="AN145" s="8">
        <v>300000</v>
      </c>
      <c r="AO145" s="8">
        <f t="shared" si="714"/>
        <v>3615000</v>
      </c>
      <c r="AP145" s="16">
        <f t="shared" si="715"/>
        <v>7625</v>
      </c>
      <c r="AQ145" s="16">
        <f t="shared" si="716"/>
        <v>8750</v>
      </c>
      <c r="AR145" s="16">
        <f t="shared" si="717"/>
        <v>8375</v>
      </c>
      <c r="AS145" s="16">
        <f t="shared" si="718"/>
        <v>9500</v>
      </c>
      <c r="AT145" s="16">
        <f t="shared" si="719"/>
        <v>10625</v>
      </c>
      <c r="AU145" s="16">
        <f t="shared" si="720"/>
        <v>750</v>
      </c>
      <c r="AV145" s="16">
        <f t="shared" si="721"/>
        <v>1875</v>
      </c>
      <c r="AW145" s="16">
        <f t="shared" si="722"/>
        <v>3000</v>
      </c>
      <c r="AX145" s="16">
        <f t="shared" si="723"/>
        <v>4125</v>
      </c>
      <c r="AY145" s="16">
        <f t="shared" si="724"/>
        <v>5250</v>
      </c>
      <c r="AZ145" s="16">
        <f t="shared" si="725"/>
        <v>6375</v>
      </c>
      <c r="BA145" s="16">
        <f t="shared" si="726"/>
        <v>7500</v>
      </c>
      <c r="BB145" s="16">
        <v>900000</v>
      </c>
      <c r="BC145" s="8">
        <v>250000</v>
      </c>
      <c r="BD145" s="16">
        <f t="shared" si="731"/>
        <v>73750</v>
      </c>
      <c r="BE145" s="23">
        <f t="shared" si="732"/>
        <v>5609.6005295414461</v>
      </c>
      <c r="BF145" s="23">
        <f t="shared" si="733"/>
        <v>5496.8589538786155</v>
      </c>
      <c r="BG145" s="23">
        <f t="shared" si="734"/>
        <v>16911.756073769815</v>
      </c>
      <c r="BH145" s="23">
        <f t="shared" si="735"/>
        <v>28941.235525384545</v>
      </c>
      <c r="BI145" s="23">
        <f t="shared" si="736"/>
        <v>23707.735419380551</v>
      </c>
      <c r="BJ145" s="23">
        <f t="shared" si="737"/>
        <v>12275.765719428511</v>
      </c>
      <c r="BK145" s="23">
        <f t="shared" si="738"/>
        <v>9694.9133749387129</v>
      </c>
      <c r="BL145" s="23">
        <f t="shared" si="739"/>
        <v>19107.433445097689</v>
      </c>
      <c r="BM145" s="23">
        <f t="shared" si="740"/>
        <v>21531.66937655826</v>
      </c>
      <c r="BN145" s="23">
        <f t="shared" si="741"/>
        <v>19773.661323695807</v>
      </c>
      <c r="BO145" s="23">
        <f t="shared" si="742"/>
        <v>15575.78117694225</v>
      </c>
      <c r="BP145" s="23">
        <f t="shared" si="743"/>
        <v>14746.887450110999</v>
      </c>
      <c r="BQ145" s="22">
        <f t="shared" si="727"/>
        <v>193373.29836872721</v>
      </c>
      <c r="BR145" s="8">
        <f t="shared" si="702"/>
        <v>196549.17656257635</v>
      </c>
      <c r="BS145" s="8">
        <f t="shared" si="709"/>
        <v>389922.47493130353</v>
      </c>
      <c r="BT145" s="8">
        <f t="shared" si="703"/>
        <v>463672.47493130353</v>
      </c>
    </row>
    <row r="146" spans="1:74" ht="13.5" customHeight="1" x14ac:dyDescent="0.2">
      <c r="A146" s="15">
        <v>138</v>
      </c>
      <c r="B146" s="15">
        <v>225</v>
      </c>
      <c r="C146" s="14" t="s">
        <v>140</v>
      </c>
      <c r="D146" s="8">
        <v>100000</v>
      </c>
      <c r="E146" s="8">
        <f t="shared" ref="E146:G146" si="776">+F146-25000</f>
        <v>1540000</v>
      </c>
      <c r="F146" s="8">
        <f t="shared" si="776"/>
        <v>1565000</v>
      </c>
      <c r="G146" s="8">
        <f t="shared" si="776"/>
        <v>1590000</v>
      </c>
      <c r="H146" s="8">
        <f t="shared" ref="H146:O146" si="777">+I146-50000</f>
        <v>1615000</v>
      </c>
      <c r="I146" s="8">
        <f t="shared" si="777"/>
        <v>1665000</v>
      </c>
      <c r="J146" s="8">
        <f t="shared" si="777"/>
        <v>1715000</v>
      </c>
      <c r="K146" s="8">
        <f t="shared" si="777"/>
        <v>1765000</v>
      </c>
      <c r="L146" s="8">
        <f t="shared" si="777"/>
        <v>1815000</v>
      </c>
      <c r="M146" s="8">
        <f t="shared" si="777"/>
        <v>1865000</v>
      </c>
      <c r="N146" s="8">
        <f t="shared" si="777"/>
        <v>1915000</v>
      </c>
      <c r="O146" s="8">
        <f t="shared" si="777"/>
        <v>1965000</v>
      </c>
      <c r="P146" s="8">
        <v>2015000</v>
      </c>
      <c r="Q146" s="8">
        <v>900000</v>
      </c>
      <c r="R146" s="8">
        <f>+Q146+150000</f>
        <v>1050000</v>
      </c>
      <c r="S146" s="8">
        <f t="shared" ref="S146:AA146" si="778">+R146+150000</f>
        <v>1200000</v>
      </c>
      <c r="T146" s="8">
        <f t="shared" si="778"/>
        <v>1350000</v>
      </c>
      <c r="U146" s="8">
        <f t="shared" si="778"/>
        <v>1500000</v>
      </c>
      <c r="V146" s="8">
        <v>0</v>
      </c>
      <c r="W146" s="8">
        <f t="shared" si="778"/>
        <v>150000</v>
      </c>
      <c r="X146" s="8">
        <f t="shared" si="778"/>
        <v>300000</v>
      </c>
      <c r="Y146" s="8">
        <f t="shared" si="778"/>
        <v>450000</v>
      </c>
      <c r="Z146" s="8">
        <f t="shared" si="778"/>
        <v>600000</v>
      </c>
      <c r="AA146" s="8">
        <f t="shared" si="778"/>
        <v>750000</v>
      </c>
      <c r="AB146" s="8">
        <v>900000</v>
      </c>
      <c r="AC146" s="8">
        <v>165000</v>
      </c>
      <c r="AD146" s="8">
        <f>+AC146+25000</f>
        <v>190000</v>
      </c>
      <c r="AE146" s="8">
        <f t="shared" ref="AE146:AM146" si="779">+AD146+25000</f>
        <v>215000</v>
      </c>
      <c r="AF146" s="8">
        <f>+AE146+25000-200000</f>
        <v>40000</v>
      </c>
      <c r="AG146" s="8">
        <f t="shared" si="779"/>
        <v>65000</v>
      </c>
      <c r="AH146" s="8">
        <f t="shared" si="779"/>
        <v>90000</v>
      </c>
      <c r="AI146" s="8">
        <f t="shared" si="779"/>
        <v>115000</v>
      </c>
      <c r="AJ146" s="8">
        <f t="shared" si="779"/>
        <v>140000</v>
      </c>
      <c r="AK146" s="8">
        <v>165000</v>
      </c>
      <c r="AL146" s="8">
        <f t="shared" si="779"/>
        <v>190000</v>
      </c>
      <c r="AM146" s="8">
        <f t="shared" si="779"/>
        <v>215000</v>
      </c>
      <c r="AN146" s="8">
        <v>240000</v>
      </c>
      <c r="AO146" s="8">
        <f t="shared" si="714"/>
        <v>3255000</v>
      </c>
      <c r="AP146" s="16">
        <f t="shared" si="715"/>
        <v>5325</v>
      </c>
      <c r="AQ146" s="16">
        <f t="shared" si="716"/>
        <v>6200</v>
      </c>
      <c r="AR146" s="16">
        <f t="shared" si="717"/>
        <v>7075</v>
      </c>
      <c r="AS146" s="16">
        <f t="shared" si="718"/>
        <v>6950</v>
      </c>
      <c r="AT146" s="16">
        <f t="shared" si="719"/>
        <v>7825</v>
      </c>
      <c r="AU146" s="16">
        <f t="shared" si="720"/>
        <v>450</v>
      </c>
      <c r="AV146" s="16">
        <f t="shared" si="721"/>
        <v>1325</v>
      </c>
      <c r="AW146" s="16">
        <f t="shared" si="722"/>
        <v>2200</v>
      </c>
      <c r="AX146" s="16">
        <f t="shared" si="723"/>
        <v>3075</v>
      </c>
      <c r="AY146" s="16">
        <f t="shared" si="724"/>
        <v>3950</v>
      </c>
      <c r="AZ146" s="16">
        <f t="shared" si="725"/>
        <v>4825</v>
      </c>
      <c r="BA146" s="16">
        <f t="shared" si="726"/>
        <v>5700</v>
      </c>
      <c r="BB146" s="16">
        <v>480000</v>
      </c>
      <c r="BC146" s="8">
        <v>0</v>
      </c>
      <c r="BD146" s="16">
        <f t="shared" si="731"/>
        <v>54900</v>
      </c>
      <c r="BE146" s="23">
        <f t="shared" si="732"/>
        <v>4794.303138202089</v>
      </c>
      <c r="BF146" s="23">
        <f t="shared" si="733"/>
        <v>4675.9517601807838</v>
      </c>
      <c r="BG146" s="23">
        <f t="shared" si="734"/>
        <v>15605.052781294287</v>
      </c>
      <c r="BH146" s="23">
        <f t="shared" si="735"/>
        <v>24858.239642135275</v>
      </c>
      <c r="BI146" s="23">
        <f t="shared" si="736"/>
        <v>20294.796644354046</v>
      </c>
      <c r="BJ146" s="23">
        <f t="shared" si="737"/>
        <v>11900.93317837726</v>
      </c>
      <c r="BK146" s="23">
        <f t="shared" si="738"/>
        <v>9218.8238788479721</v>
      </c>
      <c r="BL146" s="23">
        <f t="shared" si="739"/>
        <v>17891.851198093464</v>
      </c>
      <c r="BM146" s="23">
        <f t="shared" si="740"/>
        <v>19911.006090150648</v>
      </c>
      <c r="BN146" s="23">
        <f t="shared" si="741"/>
        <v>18096.287116791758</v>
      </c>
      <c r="BO146" s="23">
        <f t="shared" si="742"/>
        <v>14130.124840160184</v>
      </c>
      <c r="BP146" s="23">
        <f t="shared" si="743"/>
        <v>13278.317745535631</v>
      </c>
      <c r="BQ146" s="22">
        <f t="shared" si="727"/>
        <v>174655.68801412344</v>
      </c>
      <c r="BR146" s="8">
        <f t="shared" si="702"/>
        <v>104826.22750004072</v>
      </c>
      <c r="BS146" s="8">
        <f t="shared" si="709"/>
        <v>279481.91551416414</v>
      </c>
      <c r="BT146" s="8">
        <f t="shared" si="703"/>
        <v>334381.91551416414</v>
      </c>
    </row>
    <row r="147" spans="1:74" ht="13.5" customHeight="1" x14ac:dyDescent="0.2">
      <c r="A147" s="15">
        <v>139</v>
      </c>
      <c r="B147" s="15">
        <v>226</v>
      </c>
      <c r="C147" s="14" t="s">
        <v>141</v>
      </c>
      <c r="D147" s="8">
        <v>100000</v>
      </c>
      <c r="E147" s="8">
        <f t="shared" ref="E147:G147" si="780">+F147-15000</f>
        <v>1170000</v>
      </c>
      <c r="F147" s="8">
        <f t="shared" si="780"/>
        <v>1185000</v>
      </c>
      <c r="G147" s="8">
        <f t="shared" si="780"/>
        <v>1200000</v>
      </c>
      <c r="H147" s="8">
        <f t="shared" ref="H147:O147" si="781">+I147-20000</f>
        <v>1215000</v>
      </c>
      <c r="I147" s="8">
        <f t="shared" si="781"/>
        <v>1235000</v>
      </c>
      <c r="J147" s="8">
        <f t="shared" si="781"/>
        <v>1255000</v>
      </c>
      <c r="K147" s="8">
        <f t="shared" si="781"/>
        <v>1275000</v>
      </c>
      <c r="L147" s="8">
        <f t="shared" si="781"/>
        <v>1295000</v>
      </c>
      <c r="M147" s="8">
        <f t="shared" si="781"/>
        <v>1315000</v>
      </c>
      <c r="N147" s="8">
        <f t="shared" si="781"/>
        <v>1335000</v>
      </c>
      <c r="O147" s="8">
        <f t="shared" si="781"/>
        <v>1355000</v>
      </c>
      <c r="P147" s="8">
        <v>1375000</v>
      </c>
      <c r="Q147" s="8">
        <v>300000</v>
      </c>
      <c r="R147" s="8">
        <f>+Q147+50000</f>
        <v>350000</v>
      </c>
      <c r="S147" s="8">
        <f t="shared" ref="S147:U147" si="782">+R147+50000</f>
        <v>400000</v>
      </c>
      <c r="T147" s="8">
        <f t="shared" si="782"/>
        <v>450000</v>
      </c>
      <c r="U147" s="8">
        <f t="shared" si="782"/>
        <v>500000</v>
      </c>
      <c r="V147" s="8">
        <v>0</v>
      </c>
      <c r="W147" s="8">
        <f>+V147+100000</f>
        <v>100000</v>
      </c>
      <c r="X147" s="8">
        <f t="shared" ref="X147:AA147" si="783">+W147+100000</f>
        <v>200000</v>
      </c>
      <c r="Y147" s="8">
        <f t="shared" si="783"/>
        <v>300000</v>
      </c>
      <c r="Z147" s="8">
        <f t="shared" si="783"/>
        <v>400000</v>
      </c>
      <c r="AA147" s="8">
        <f t="shared" si="783"/>
        <v>500000</v>
      </c>
      <c r="AB147" s="8">
        <v>600000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f t="shared" si="714"/>
        <v>2075000</v>
      </c>
      <c r="AP147" s="16">
        <f t="shared" si="715"/>
        <v>1500</v>
      </c>
      <c r="AQ147" s="16">
        <f t="shared" si="716"/>
        <v>1750</v>
      </c>
      <c r="AR147" s="16">
        <f t="shared" si="717"/>
        <v>2000</v>
      </c>
      <c r="AS147" s="16">
        <f t="shared" si="718"/>
        <v>2250</v>
      </c>
      <c r="AT147" s="16">
        <f t="shared" si="719"/>
        <v>2500</v>
      </c>
      <c r="AU147" s="16">
        <f t="shared" si="720"/>
        <v>0</v>
      </c>
      <c r="AV147" s="16">
        <f t="shared" si="721"/>
        <v>500</v>
      </c>
      <c r="AW147" s="16">
        <f t="shared" si="722"/>
        <v>1000</v>
      </c>
      <c r="AX147" s="16">
        <f t="shared" si="723"/>
        <v>1500</v>
      </c>
      <c r="AY147" s="16">
        <f t="shared" si="724"/>
        <v>2000</v>
      </c>
      <c r="AZ147" s="16">
        <f t="shared" si="725"/>
        <v>2500</v>
      </c>
      <c r="BA147" s="16">
        <f t="shared" si="726"/>
        <v>3000</v>
      </c>
      <c r="BB147" s="16">
        <v>900000</v>
      </c>
      <c r="BC147" s="8">
        <v>750000</v>
      </c>
      <c r="BD147" s="16">
        <f t="shared" si="731"/>
        <v>20500</v>
      </c>
      <c r="BE147" s="23">
        <f t="shared" si="732"/>
        <v>2782.6454443538928</v>
      </c>
      <c r="BF147" s="23">
        <f t="shared" si="733"/>
        <v>2631.7318856783413</v>
      </c>
      <c r="BG147" s="23">
        <f t="shared" si="734"/>
        <v>8543.8292200322994</v>
      </c>
      <c r="BH147" s="23">
        <f t="shared" si="735"/>
        <v>14130.368105754835</v>
      </c>
      <c r="BI147" s="23">
        <f t="shared" si="736"/>
        <v>11183.469021738641</v>
      </c>
      <c r="BJ147" s="23">
        <f t="shared" si="737"/>
        <v>8464.9682187407798</v>
      </c>
      <c r="BK147" s="23">
        <f t="shared" si="738"/>
        <v>6383.9273339440178</v>
      </c>
      <c r="BL147" s="23">
        <f t="shared" si="739"/>
        <v>12117.835524823386</v>
      </c>
      <c r="BM147" s="23">
        <f t="shared" si="740"/>
        <v>13235.41683899549</v>
      </c>
      <c r="BN147" s="23">
        <f t="shared" si="741"/>
        <v>11838.39103718819</v>
      </c>
      <c r="BO147" s="23">
        <f t="shared" si="742"/>
        <v>9116.9617368030231</v>
      </c>
      <c r="BP147" s="23">
        <f t="shared" si="743"/>
        <v>8464.6726027608092</v>
      </c>
      <c r="BQ147" s="22">
        <f t="shared" si="727"/>
        <v>108894.21697081372</v>
      </c>
      <c r="BR147" s="8">
        <f t="shared" si="702"/>
        <v>196549.17656257635</v>
      </c>
      <c r="BS147" s="8">
        <f t="shared" si="709"/>
        <v>305443.39353339007</v>
      </c>
      <c r="BT147" s="8">
        <f t="shared" si="703"/>
        <v>325943.39353339007</v>
      </c>
    </row>
    <row r="148" spans="1:74" s="110" customFormat="1" ht="13.5" customHeight="1" x14ac:dyDescent="0.2">
      <c r="A148" s="24">
        <v>140</v>
      </c>
      <c r="B148" s="24">
        <v>227</v>
      </c>
      <c r="C148" s="25" t="s">
        <v>142</v>
      </c>
      <c r="D148" s="26">
        <v>100000</v>
      </c>
      <c r="E148" s="26">
        <f t="shared" ref="E148:G148" si="784">+F148-15000</f>
        <v>1170000</v>
      </c>
      <c r="F148" s="26">
        <f t="shared" si="784"/>
        <v>1185000</v>
      </c>
      <c r="G148" s="26">
        <f t="shared" si="784"/>
        <v>1200000</v>
      </c>
      <c r="H148" s="26">
        <f t="shared" ref="H148:O148" si="785">+I148-20000</f>
        <v>1215000</v>
      </c>
      <c r="I148" s="26">
        <f t="shared" si="785"/>
        <v>1235000</v>
      </c>
      <c r="J148" s="26">
        <f t="shared" si="785"/>
        <v>1255000</v>
      </c>
      <c r="K148" s="26">
        <f t="shared" si="785"/>
        <v>1275000</v>
      </c>
      <c r="L148" s="26">
        <f t="shared" si="785"/>
        <v>1295000</v>
      </c>
      <c r="M148" s="26">
        <f t="shared" si="785"/>
        <v>1315000</v>
      </c>
      <c r="N148" s="26">
        <f t="shared" si="785"/>
        <v>1335000</v>
      </c>
      <c r="O148" s="26">
        <f t="shared" si="785"/>
        <v>1355000</v>
      </c>
      <c r="P148" s="26">
        <v>1375000</v>
      </c>
      <c r="Q148" s="26">
        <v>60000</v>
      </c>
      <c r="R148" s="26">
        <f t="shared" ref="R148:T148" si="786">+Q148+10000</f>
        <v>70000</v>
      </c>
      <c r="S148" s="26">
        <f t="shared" si="786"/>
        <v>80000</v>
      </c>
      <c r="T148" s="26">
        <f t="shared" si="786"/>
        <v>90000</v>
      </c>
      <c r="U148" s="26">
        <f>+T148+10000</f>
        <v>100000</v>
      </c>
      <c r="V148" s="26">
        <v>0</v>
      </c>
      <c r="W148" s="26">
        <f t="shared" ref="W148:Z148" si="787">+V148+50000</f>
        <v>50000</v>
      </c>
      <c r="X148" s="26">
        <f t="shared" si="787"/>
        <v>100000</v>
      </c>
      <c r="Y148" s="26">
        <f t="shared" si="787"/>
        <v>150000</v>
      </c>
      <c r="Z148" s="26">
        <f t="shared" si="787"/>
        <v>200000</v>
      </c>
      <c r="AA148" s="26">
        <f>+Z148+50000</f>
        <v>250000</v>
      </c>
      <c r="AB148" s="26">
        <v>300000</v>
      </c>
      <c r="AC148" s="26">
        <v>10000</v>
      </c>
      <c r="AD148" s="26">
        <v>10000</v>
      </c>
      <c r="AE148" s="26">
        <v>10000</v>
      </c>
      <c r="AF148" s="26">
        <v>10000</v>
      </c>
      <c r="AG148" s="26">
        <v>10000</v>
      </c>
      <c r="AH148" s="26">
        <v>10000</v>
      </c>
      <c r="AI148" s="26">
        <v>10000</v>
      </c>
      <c r="AJ148" s="26">
        <v>10000</v>
      </c>
      <c r="AK148" s="26">
        <v>10000</v>
      </c>
      <c r="AL148" s="26">
        <v>10000</v>
      </c>
      <c r="AM148" s="26">
        <v>10000</v>
      </c>
      <c r="AN148" s="26">
        <v>10000</v>
      </c>
      <c r="AO148" s="26">
        <f t="shared" si="714"/>
        <v>1785000</v>
      </c>
      <c r="AP148" s="27">
        <f t="shared" si="715"/>
        <v>350</v>
      </c>
      <c r="AQ148" s="27">
        <f t="shared" si="716"/>
        <v>400</v>
      </c>
      <c r="AR148" s="27">
        <f t="shared" si="717"/>
        <v>450</v>
      </c>
      <c r="AS148" s="27">
        <f t="shared" si="718"/>
        <v>500</v>
      </c>
      <c r="AT148" s="27">
        <f t="shared" si="719"/>
        <v>550</v>
      </c>
      <c r="AU148" s="27">
        <f t="shared" si="720"/>
        <v>50</v>
      </c>
      <c r="AV148" s="27">
        <f t="shared" si="721"/>
        <v>300</v>
      </c>
      <c r="AW148" s="27">
        <f t="shared" si="722"/>
        <v>550</v>
      </c>
      <c r="AX148" s="27">
        <f t="shared" si="723"/>
        <v>800</v>
      </c>
      <c r="AY148" s="27">
        <f t="shared" si="724"/>
        <v>1050</v>
      </c>
      <c r="AZ148" s="27">
        <f t="shared" si="725"/>
        <v>1300</v>
      </c>
      <c r="BA148" s="27">
        <f t="shared" si="726"/>
        <v>1550</v>
      </c>
      <c r="BB148" s="27">
        <v>900000</v>
      </c>
      <c r="BC148" s="26">
        <v>1750000</v>
      </c>
      <c r="BD148" s="27">
        <f t="shared" si="731"/>
        <v>7850</v>
      </c>
      <c r="BE148" s="28">
        <f t="shared" si="732"/>
        <v>2374.9967486842143</v>
      </c>
      <c r="BF148" s="28">
        <f t="shared" si="733"/>
        <v>2197.1339596030189</v>
      </c>
      <c r="BG148" s="28">
        <f t="shared" si="734"/>
        <v>6985.8368328499391</v>
      </c>
      <c r="BH148" s="28">
        <f t="shared" si="735"/>
        <v>11328.312107446511</v>
      </c>
      <c r="BI148" s="28">
        <f t="shared" si="736"/>
        <v>8806.6009462737529</v>
      </c>
      <c r="BJ148" s="28">
        <f t="shared" si="737"/>
        <v>8527.4403089159896</v>
      </c>
      <c r="BK148" s="28">
        <f t="shared" si="738"/>
        <v>6210.8038808201127</v>
      </c>
      <c r="BL148" s="28">
        <f t="shared" si="739"/>
        <v>11434.070510883508</v>
      </c>
      <c r="BM148" s="28">
        <f t="shared" si="740"/>
        <v>12154.974648057083</v>
      </c>
      <c r="BN148" s="28">
        <f t="shared" si="741"/>
        <v>10612.617578296771</v>
      </c>
      <c r="BO148" s="28">
        <f t="shared" si="742"/>
        <v>7997.7439276814239</v>
      </c>
      <c r="BP148" s="28">
        <f t="shared" si="743"/>
        <v>7281.6581185195391</v>
      </c>
      <c r="BQ148" s="29">
        <f t="shared" si="727"/>
        <v>95912.18956803187</v>
      </c>
      <c r="BR148" s="26">
        <f t="shared" si="702"/>
        <v>196549.17656257635</v>
      </c>
      <c r="BS148" s="26">
        <f t="shared" si="709"/>
        <v>292461.36613060825</v>
      </c>
      <c r="BT148" s="26">
        <f t="shared" si="703"/>
        <v>300311.36613060825</v>
      </c>
      <c r="BU148" s="111">
        <f t="shared" ref="BU148" si="788">AO148-100000</f>
        <v>1685000</v>
      </c>
      <c r="BV148" s="110">
        <v>101</v>
      </c>
    </row>
    <row r="149" spans="1:74" ht="13.5" customHeight="1" x14ac:dyDescent="0.2">
      <c r="A149" s="15">
        <v>141</v>
      </c>
      <c r="B149" s="15">
        <v>228</v>
      </c>
      <c r="C149" s="14" t="s">
        <v>143</v>
      </c>
      <c r="D149" s="8">
        <v>100000</v>
      </c>
      <c r="E149" s="8">
        <f t="shared" ref="E149:G149" si="789">+F149-25000</f>
        <v>1540000</v>
      </c>
      <c r="F149" s="8">
        <f t="shared" si="789"/>
        <v>1565000</v>
      </c>
      <c r="G149" s="8">
        <f t="shared" si="789"/>
        <v>1590000</v>
      </c>
      <c r="H149" s="8">
        <f t="shared" ref="H149:O149" si="790">+I149-50000</f>
        <v>1615000</v>
      </c>
      <c r="I149" s="8">
        <f t="shared" si="790"/>
        <v>1665000</v>
      </c>
      <c r="J149" s="8">
        <f t="shared" si="790"/>
        <v>1715000</v>
      </c>
      <c r="K149" s="8">
        <f t="shared" si="790"/>
        <v>1765000</v>
      </c>
      <c r="L149" s="8">
        <f t="shared" si="790"/>
        <v>1815000</v>
      </c>
      <c r="M149" s="8">
        <f t="shared" si="790"/>
        <v>1865000</v>
      </c>
      <c r="N149" s="8">
        <f t="shared" si="790"/>
        <v>1915000</v>
      </c>
      <c r="O149" s="8">
        <f t="shared" si="790"/>
        <v>1965000</v>
      </c>
      <c r="P149" s="8">
        <v>2015000</v>
      </c>
      <c r="Q149" s="8">
        <v>300000</v>
      </c>
      <c r="R149" s="8">
        <f>+Q149+50000</f>
        <v>350000</v>
      </c>
      <c r="S149" s="8">
        <f t="shared" ref="S149:U149" si="791">+R149+50000</f>
        <v>400000</v>
      </c>
      <c r="T149" s="8">
        <f t="shared" si="791"/>
        <v>450000</v>
      </c>
      <c r="U149" s="8">
        <f t="shared" si="791"/>
        <v>500000</v>
      </c>
      <c r="V149" s="8">
        <v>0</v>
      </c>
      <c r="W149" s="8">
        <f>+V149+100000</f>
        <v>100000</v>
      </c>
      <c r="X149" s="8">
        <f t="shared" ref="X149:AA149" si="792">+W149+100000</f>
        <v>200000</v>
      </c>
      <c r="Y149" s="8">
        <f t="shared" si="792"/>
        <v>300000</v>
      </c>
      <c r="Z149" s="8">
        <f t="shared" si="792"/>
        <v>400000</v>
      </c>
      <c r="AA149" s="8">
        <f t="shared" si="792"/>
        <v>500000</v>
      </c>
      <c r="AB149" s="8">
        <v>600000</v>
      </c>
      <c r="AC149" s="8">
        <v>5120000</v>
      </c>
      <c r="AD149" s="8">
        <f>+AC149+10000</f>
        <v>5130000</v>
      </c>
      <c r="AE149" s="8">
        <f t="shared" ref="AE149:AL149" si="793">+AD149+10000</f>
        <v>5140000</v>
      </c>
      <c r="AF149" s="8">
        <f>+AE149+10000-400000</f>
        <v>4750000</v>
      </c>
      <c r="AG149" s="8">
        <f>+AF149+10000-400000</f>
        <v>4360000</v>
      </c>
      <c r="AH149" s="8">
        <f>+AG149+10000-500000</f>
        <v>3870000</v>
      </c>
      <c r="AI149" s="8">
        <f t="shared" si="793"/>
        <v>3880000</v>
      </c>
      <c r="AJ149" s="8">
        <f>+AI149+10000-300000</f>
        <v>3590000</v>
      </c>
      <c r="AK149" s="8">
        <f>+AJ149+10000-500000</f>
        <v>3100000</v>
      </c>
      <c r="AL149" s="8">
        <f t="shared" si="793"/>
        <v>3110000</v>
      </c>
      <c r="AM149" s="8">
        <f>+AL149+10000-300000</f>
        <v>2820000</v>
      </c>
      <c r="AN149" s="8">
        <v>2330000</v>
      </c>
      <c r="AO149" s="8">
        <f t="shared" si="714"/>
        <v>5045000</v>
      </c>
      <c r="AP149" s="16">
        <f t="shared" si="715"/>
        <v>27100</v>
      </c>
      <c r="AQ149" s="16">
        <f t="shared" si="716"/>
        <v>27400</v>
      </c>
      <c r="AR149" s="16">
        <f t="shared" si="717"/>
        <v>27700</v>
      </c>
      <c r="AS149" s="16">
        <f t="shared" si="718"/>
        <v>26000</v>
      </c>
      <c r="AT149" s="16">
        <f t="shared" si="719"/>
        <v>24300</v>
      </c>
      <c r="AU149" s="16">
        <f t="shared" si="720"/>
        <v>19350</v>
      </c>
      <c r="AV149" s="16">
        <f t="shared" si="721"/>
        <v>19900</v>
      </c>
      <c r="AW149" s="16">
        <f t="shared" si="722"/>
        <v>18950</v>
      </c>
      <c r="AX149" s="16">
        <f t="shared" si="723"/>
        <v>17000</v>
      </c>
      <c r="AY149" s="16">
        <f t="shared" si="724"/>
        <v>17550</v>
      </c>
      <c r="AZ149" s="16">
        <f t="shared" si="725"/>
        <v>16600</v>
      </c>
      <c r="BA149" s="16">
        <f t="shared" si="726"/>
        <v>14650</v>
      </c>
      <c r="BB149" s="16">
        <v>0</v>
      </c>
      <c r="BC149" s="8">
        <v>0</v>
      </c>
      <c r="BD149" s="16">
        <f t="shared" si="731"/>
        <v>256500</v>
      </c>
      <c r="BE149" s="23">
        <f t="shared" si="732"/>
        <v>12513.042571425785</v>
      </c>
      <c r="BF149" s="23">
        <f t="shared" si="733"/>
        <v>11500.748821511774</v>
      </c>
      <c r="BG149" s="23">
        <f t="shared" si="734"/>
        <v>36336.403094607958</v>
      </c>
      <c r="BH149" s="23">
        <f t="shared" si="735"/>
        <v>55360.620652291604</v>
      </c>
      <c r="BI149" s="23">
        <f t="shared" si="736"/>
        <v>40376.284615268938</v>
      </c>
      <c r="BJ149" s="23">
        <f t="shared" si="737"/>
        <v>35515.383264606149</v>
      </c>
      <c r="BK149" s="23">
        <f t="shared" si="738"/>
        <v>25297.664587730702</v>
      </c>
      <c r="BL149" s="23">
        <f t="shared" si="739"/>
        <v>43343.104494744461</v>
      </c>
      <c r="BM149" s="23">
        <f t="shared" si="740"/>
        <v>41404.088245603969</v>
      </c>
      <c r="BN149" s="23">
        <f t="shared" si="741"/>
        <v>35644.201896711042</v>
      </c>
      <c r="BO149" s="23">
        <f t="shared" si="742"/>
        <v>25112.449592165871</v>
      </c>
      <c r="BP149" s="23">
        <f t="shared" si="743"/>
        <v>20580.372665507606</v>
      </c>
      <c r="BQ149" s="22">
        <f t="shared" si="727"/>
        <v>382984.36450217583</v>
      </c>
      <c r="BR149" s="8">
        <f t="shared" si="702"/>
        <v>0</v>
      </c>
      <c r="BS149" s="8">
        <f t="shared" si="709"/>
        <v>382984.36450217583</v>
      </c>
      <c r="BT149" s="8">
        <f t="shared" si="703"/>
        <v>639484.36450217583</v>
      </c>
    </row>
    <row r="150" spans="1:74" s="110" customFormat="1" ht="13.5" customHeight="1" x14ac:dyDescent="0.2">
      <c r="A150" s="24">
        <v>142</v>
      </c>
      <c r="B150" s="24">
        <v>229</v>
      </c>
      <c r="C150" s="25" t="s">
        <v>144</v>
      </c>
      <c r="D150" s="26">
        <v>100000</v>
      </c>
      <c r="E150" s="26">
        <f t="shared" ref="E150:G150" si="794">+F150-15000</f>
        <v>1170000</v>
      </c>
      <c r="F150" s="26">
        <f t="shared" si="794"/>
        <v>1185000</v>
      </c>
      <c r="G150" s="26">
        <f t="shared" si="794"/>
        <v>1200000</v>
      </c>
      <c r="H150" s="26">
        <f t="shared" ref="H150:O150" si="795">+I150-20000</f>
        <v>1215000</v>
      </c>
      <c r="I150" s="26">
        <f t="shared" si="795"/>
        <v>1235000</v>
      </c>
      <c r="J150" s="26">
        <f t="shared" si="795"/>
        <v>1255000</v>
      </c>
      <c r="K150" s="26">
        <f t="shared" si="795"/>
        <v>1275000</v>
      </c>
      <c r="L150" s="26">
        <f t="shared" si="795"/>
        <v>1295000</v>
      </c>
      <c r="M150" s="26">
        <f t="shared" si="795"/>
        <v>1315000</v>
      </c>
      <c r="N150" s="26">
        <f t="shared" si="795"/>
        <v>1335000</v>
      </c>
      <c r="O150" s="26">
        <f t="shared" si="795"/>
        <v>1355000</v>
      </c>
      <c r="P150" s="26">
        <v>1375000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f>+V150+150000</f>
        <v>150000</v>
      </c>
      <c r="X150" s="26">
        <f t="shared" ref="X150:AA150" si="796">+W150+150000</f>
        <v>300000</v>
      </c>
      <c r="Y150" s="26">
        <f t="shared" si="796"/>
        <v>450000</v>
      </c>
      <c r="Z150" s="26">
        <f t="shared" si="796"/>
        <v>600000</v>
      </c>
      <c r="AA150" s="26">
        <f t="shared" si="796"/>
        <v>750000</v>
      </c>
      <c r="AB150" s="26">
        <v>900000</v>
      </c>
      <c r="AC150" s="26">
        <v>0</v>
      </c>
      <c r="AD150" s="26">
        <v>8000000</v>
      </c>
      <c r="AE150" s="26">
        <v>7800000</v>
      </c>
      <c r="AF150" s="26">
        <v>7300000</v>
      </c>
      <c r="AG150" s="26">
        <v>6000000</v>
      </c>
      <c r="AH150" s="26">
        <v>6000000</v>
      </c>
      <c r="AI150" s="26">
        <v>0</v>
      </c>
      <c r="AJ150" s="26">
        <v>0</v>
      </c>
      <c r="AK150" s="26">
        <v>0</v>
      </c>
      <c r="AL150" s="26">
        <v>0</v>
      </c>
      <c r="AM150" s="26">
        <v>0</v>
      </c>
      <c r="AN150" s="26">
        <v>0</v>
      </c>
      <c r="AO150" s="26">
        <f t="shared" si="714"/>
        <v>2375000</v>
      </c>
      <c r="AP150" s="27">
        <f t="shared" si="715"/>
        <v>0</v>
      </c>
      <c r="AQ150" s="27">
        <f t="shared" si="716"/>
        <v>40000</v>
      </c>
      <c r="AR150" s="27">
        <f t="shared" si="717"/>
        <v>39000</v>
      </c>
      <c r="AS150" s="27">
        <f t="shared" si="718"/>
        <v>36500</v>
      </c>
      <c r="AT150" s="27">
        <f t="shared" si="719"/>
        <v>30000</v>
      </c>
      <c r="AU150" s="27">
        <f t="shared" si="720"/>
        <v>30000</v>
      </c>
      <c r="AV150" s="27">
        <f t="shared" si="721"/>
        <v>750</v>
      </c>
      <c r="AW150" s="27">
        <f t="shared" si="722"/>
        <v>1500</v>
      </c>
      <c r="AX150" s="27">
        <f t="shared" si="723"/>
        <v>2250</v>
      </c>
      <c r="AY150" s="27">
        <f t="shared" si="724"/>
        <v>3000</v>
      </c>
      <c r="AZ150" s="27">
        <f t="shared" si="725"/>
        <v>3750</v>
      </c>
      <c r="BA150" s="27">
        <f t="shared" si="726"/>
        <v>4500</v>
      </c>
      <c r="BB150" s="27">
        <v>900000</v>
      </c>
      <c r="BC150" s="26">
        <v>250000</v>
      </c>
      <c r="BD150" s="27">
        <f t="shared" si="731"/>
        <v>191250</v>
      </c>
      <c r="BE150" s="28">
        <f t="shared" si="732"/>
        <v>2250.9297543499642</v>
      </c>
      <c r="BF150" s="28">
        <f t="shared" si="733"/>
        <v>14945.339791145811</v>
      </c>
      <c r="BG150" s="28">
        <f t="shared" si="734"/>
        <v>45734.615236643484</v>
      </c>
      <c r="BH150" s="28">
        <f t="shared" si="735"/>
        <v>68970.606929789181</v>
      </c>
      <c r="BI150" s="28">
        <f t="shared" si="736"/>
        <v>44703.403419320399</v>
      </c>
      <c r="BJ150" s="28">
        <f t="shared" si="737"/>
        <v>45948.222323866008</v>
      </c>
      <c r="BK150" s="28">
        <f t="shared" si="738"/>
        <v>6600.3316503489004</v>
      </c>
      <c r="BL150" s="28">
        <f t="shared" si="739"/>
        <v>12877.574429201028</v>
      </c>
      <c r="BM150" s="28">
        <f t="shared" si="740"/>
        <v>14393.033472143783</v>
      </c>
      <c r="BN150" s="28">
        <f t="shared" si="741"/>
        <v>13128.678888652845</v>
      </c>
      <c r="BO150" s="28">
        <f t="shared" si="742"/>
        <v>10282.813621304689</v>
      </c>
      <c r="BP150" s="28">
        <f t="shared" si="743"/>
        <v>9688.4806899069499</v>
      </c>
      <c r="BQ150" s="29">
        <f t="shared" si="727"/>
        <v>289524.03020667302</v>
      </c>
      <c r="BR150" s="26">
        <f t="shared" si="702"/>
        <v>196549.17656257635</v>
      </c>
      <c r="BS150" s="26">
        <f t="shared" si="709"/>
        <v>486073.2067692494</v>
      </c>
      <c r="BT150" s="26">
        <f t="shared" si="703"/>
        <v>677323.2067692494</v>
      </c>
      <c r="BU150" s="111">
        <f t="shared" ref="BU150:BU153" si="797">AO150-100000</f>
        <v>2275000</v>
      </c>
      <c r="BV150" s="110">
        <v>102</v>
      </c>
    </row>
    <row r="151" spans="1:74" s="110" customFormat="1" ht="13.5" customHeight="1" x14ac:dyDescent="0.2">
      <c r="A151" s="24">
        <v>143</v>
      </c>
      <c r="B151" s="24">
        <v>230</v>
      </c>
      <c r="C151" s="25" t="s">
        <v>145</v>
      </c>
      <c r="D151" s="26">
        <v>100000</v>
      </c>
      <c r="E151" s="26">
        <f t="shared" ref="E151:G151" si="798">+F151-15000</f>
        <v>1170000</v>
      </c>
      <c r="F151" s="26">
        <f t="shared" si="798"/>
        <v>1185000</v>
      </c>
      <c r="G151" s="26">
        <f t="shared" si="798"/>
        <v>1200000</v>
      </c>
      <c r="H151" s="26">
        <f t="shared" ref="H151:O151" si="799">+I151-20000</f>
        <v>1215000</v>
      </c>
      <c r="I151" s="26">
        <f t="shared" si="799"/>
        <v>1235000</v>
      </c>
      <c r="J151" s="26">
        <f t="shared" si="799"/>
        <v>1255000</v>
      </c>
      <c r="K151" s="26">
        <f t="shared" si="799"/>
        <v>1275000</v>
      </c>
      <c r="L151" s="26">
        <f t="shared" si="799"/>
        <v>1295000</v>
      </c>
      <c r="M151" s="26">
        <f t="shared" si="799"/>
        <v>1315000</v>
      </c>
      <c r="N151" s="26">
        <f t="shared" si="799"/>
        <v>1335000</v>
      </c>
      <c r="O151" s="26">
        <f t="shared" si="799"/>
        <v>1355000</v>
      </c>
      <c r="P151" s="26">
        <v>1375000</v>
      </c>
      <c r="Q151" s="26">
        <v>300000</v>
      </c>
      <c r="R151" s="26">
        <f>+Q151+50000</f>
        <v>350000</v>
      </c>
      <c r="S151" s="26">
        <f t="shared" ref="S151" si="800">+R151+50000</f>
        <v>400000</v>
      </c>
      <c r="T151" s="26">
        <f t="shared" ref="T151" si="801">+S151+50000</f>
        <v>450000</v>
      </c>
      <c r="U151" s="26">
        <f t="shared" ref="U151" si="802">+T151+50000</f>
        <v>500000</v>
      </c>
      <c r="V151" s="26">
        <v>0</v>
      </c>
      <c r="W151" s="26">
        <f>+V151+100000</f>
        <v>100000</v>
      </c>
      <c r="X151" s="26">
        <f t="shared" ref="X151" si="803">+W151+100000</f>
        <v>200000</v>
      </c>
      <c r="Y151" s="26">
        <f t="shared" ref="Y151" si="804">+X151+100000</f>
        <v>300000</v>
      </c>
      <c r="Z151" s="26">
        <f t="shared" ref="Z151" si="805">+Y151+100000</f>
        <v>400000</v>
      </c>
      <c r="AA151" s="26">
        <f t="shared" ref="AA151" si="806">+Z151+100000</f>
        <v>500000</v>
      </c>
      <c r="AB151" s="26">
        <v>600000</v>
      </c>
      <c r="AC151" s="26">
        <v>50000</v>
      </c>
      <c r="AD151" s="26">
        <f>+AC151+50000</f>
        <v>100000</v>
      </c>
      <c r="AE151" s="26">
        <f t="shared" ref="AE151:AM151" si="807">+AD151+50000</f>
        <v>150000</v>
      </c>
      <c r="AF151" s="26">
        <f t="shared" si="807"/>
        <v>200000</v>
      </c>
      <c r="AG151" s="26">
        <f t="shared" si="807"/>
        <v>250000</v>
      </c>
      <c r="AH151" s="26">
        <v>200000</v>
      </c>
      <c r="AI151" s="26">
        <v>50000</v>
      </c>
      <c r="AJ151" s="26">
        <v>0</v>
      </c>
      <c r="AK151" s="26">
        <f t="shared" si="807"/>
        <v>50000</v>
      </c>
      <c r="AL151" s="26">
        <v>0</v>
      </c>
      <c r="AM151" s="26">
        <f t="shared" si="807"/>
        <v>50000</v>
      </c>
      <c r="AN151" s="26">
        <v>0</v>
      </c>
      <c r="AO151" s="26">
        <f t="shared" si="714"/>
        <v>2075000</v>
      </c>
      <c r="AP151" s="27">
        <f t="shared" si="715"/>
        <v>1750</v>
      </c>
      <c r="AQ151" s="27">
        <f t="shared" si="716"/>
        <v>2250</v>
      </c>
      <c r="AR151" s="27">
        <f t="shared" si="717"/>
        <v>2750</v>
      </c>
      <c r="AS151" s="27">
        <f t="shared" si="718"/>
        <v>3250</v>
      </c>
      <c r="AT151" s="27">
        <f t="shared" si="719"/>
        <v>3750</v>
      </c>
      <c r="AU151" s="27">
        <f t="shared" si="720"/>
        <v>1000</v>
      </c>
      <c r="AV151" s="27">
        <f t="shared" si="721"/>
        <v>750</v>
      </c>
      <c r="AW151" s="27">
        <f t="shared" si="722"/>
        <v>1000</v>
      </c>
      <c r="AX151" s="27">
        <f t="shared" si="723"/>
        <v>1750</v>
      </c>
      <c r="AY151" s="27">
        <f t="shared" si="724"/>
        <v>2000</v>
      </c>
      <c r="AZ151" s="27">
        <f t="shared" si="725"/>
        <v>2750</v>
      </c>
      <c r="BA151" s="27">
        <f t="shared" si="726"/>
        <v>3000</v>
      </c>
      <c r="BB151" s="27">
        <v>900000</v>
      </c>
      <c r="BC151" s="26">
        <v>250000</v>
      </c>
      <c r="BD151" s="27">
        <f t="shared" si="731"/>
        <v>26000</v>
      </c>
      <c r="BE151" s="28">
        <f t="shared" si="732"/>
        <v>2871.2647260212143</v>
      </c>
      <c r="BF151" s="28">
        <f t="shared" si="733"/>
        <v>2792.6940805210534</v>
      </c>
      <c r="BG151" s="28">
        <f t="shared" si="734"/>
        <v>9297.6965041527965</v>
      </c>
      <c r="BH151" s="28">
        <f t="shared" si="735"/>
        <v>15731.54296193102</v>
      </c>
      <c r="BI151" s="28">
        <f t="shared" si="736"/>
        <v>12707.102403446903</v>
      </c>
      <c r="BJ151" s="28">
        <f t="shared" si="737"/>
        <v>9714.4100222449542</v>
      </c>
      <c r="BK151" s="28">
        <f t="shared" si="738"/>
        <v>6600.3316503489004</v>
      </c>
      <c r="BL151" s="28">
        <f t="shared" si="739"/>
        <v>12117.835524823386</v>
      </c>
      <c r="BM151" s="28">
        <f t="shared" si="740"/>
        <v>13621.289050044921</v>
      </c>
      <c r="BN151" s="28">
        <f t="shared" si="741"/>
        <v>11838.39103718819</v>
      </c>
      <c r="BO151" s="28">
        <f t="shared" si="742"/>
        <v>9350.1321137033556</v>
      </c>
      <c r="BP151" s="28">
        <f t="shared" si="743"/>
        <v>8464.6726027608092</v>
      </c>
      <c r="BQ151" s="29">
        <f t="shared" si="727"/>
        <v>115107.3626771875</v>
      </c>
      <c r="BR151" s="26">
        <f t="shared" si="702"/>
        <v>196549.17656257635</v>
      </c>
      <c r="BS151" s="26">
        <f t="shared" si="709"/>
        <v>311656.53923976386</v>
      </c>
      <c r="BT151" s="26">
        <f t="shared" si="703"/>
        <v>337656.53923976386</v>
      </c>
      <c r="BU151" s="111">
        <f t="shared" si="797"/>
        <v>1975000</v>
      </c>
      <c r="BV151" s="110">
        <v>103</v>
      </c>
    </row>
    <row r="152" spans="1:74" s="110" customFormat="1" ht="13.5" customHeight="1" x14ac:dyDescent="0.2">
      <c r="A152" s="24">
        <v>144</v>
      </c>
      <c r="B152" s="24">
        <v>231</v>
      </c>
      <c r="C152" s="25" t="s">
        <v>146</v>
      </c>
      <c r="D152" s="26">
        <v>100000</v>
      </c>
      <c r="E152" s="26">
        <f t="shared" ref="E152:G152" si="808">+F152-15000</f>
        <v>1120000</v>
      </c>
      <c r="F152" s="26">
        <f t="shared" si="808"/>
        <v>1135000</v>
      </c>
      <c r="G152" s="26">
        <f t="shared" si="808"/>
        <v>1150000</v>
      </c>
      <c r="H152" s="26">
        <f t="shared" ref="H152:O152" si="809">+I152-20000</f>
        <v>1165000</v>
      </c>
      <c r="I152" s="26">
        <f t="shared" si="809"/>
        <v>1185000</v>
      </c>
      <c r="J152" s="26">
        <f t="shared" si="809"/>
        <v>1205000</v>
      </c>
      <c r="K152" s="26">
        <f t="shared" si="809"/>
        <v>1225000</v>
      </c>
      <c r="L152" s="26">
        <f t="shared" si="809"/>
        <v>1245000</v>
      </c>
      <c r="M152" s="26">
        <f t="shared" si="809"/>
        <v>1265000</v>
      </c>
      <c r="N152" s="26">
        <f t="shared" si="809"/>
        <v>1285000</v>
      </c>
      <c r="O152" s="26">
        <f t="shared" si="809"/>
        <v>1305000</v>
      </c>
      <c r="P152" s="26">
        <v>1325000</v>
      </c>
      <c r="Q152" s="26">
        <v>300000</v>
      </c>
      <c r="R152" s="26">
        <f t="shared" ref="R152:U153" si="810">+Q152+50000</f>
        <v>350000</v>
      </c>
      <c r="S152" s="26">
        <f t="shared" si="810"/>
        <v>400000</v>
      </c>
      <c r="T152" s="26">
        <f t="shared" si="810"/>
        <v>450000</v>
      </c>
      <c r="U152" s="26">
        <f t="shared" si="810"/>
        <v>500000</v>
      </c>
      <c r="V152" s="26">
        <v>0</v>
      </c>
      <c r="W152" s="26">
        <f t="shared" ref="W152:Z152" si="811">+V152+50000</f>
        <v>50000</v>
      </c>
      <c r="X152" s="26">
        <f t="shared" si="811"/>
        <v>100000</v>
      </c>
      <c r="Y152" s="26">
        <f t="shared" si="811"/>
        <v>150000</v>
      </c>
      <c r="Z152" s="26">
        <f t="shared" si="811"/>
        <v>200000</v>
      </c>
      <c r="AA152" s="26">
        <f>+Z152+50000</f>
        <v>250000</v>
      </c>
      <c r="AB152" s="26">
        <v>300000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>
        <v>0</v>
      </c>
      <c r="AI152" s="26">
        <v>0</v>
      </c>
      <c r="AJ152" s="26">
        <v>0</v>
      </c>
      <c r="AK152" s="26">
        <v>0</v>
      </c>
      <c r="AL152" s="26">
        <v>0</v>
      </c>
      <c r="AM152" s="26">
        <v>0</v>
      </c>
      <c r="AN152" s="26">
        <v>0</v>
      </c>
      <c r="AO152" s="26">
        <f t="shared" si="714"/>
        <v>1725000</v>
      </c>
      <c r="AP152" s="27">
        <f t="shared" si="715"/>
        <v>1500</v>
      </c>
      <c r="AQ152" s="27">
        <f t="shared" si="716"/>
        <v>1750</v>
      </c>
      <c r="AR152" s="27">
        <f t="shared" si="717"/>
        <v>2000</v>
      </c>
      <c r="AS152" s="27">
        <f t="shared" si="718"/>
        <v>2250</v>
      </c>
      <c r="AT152" s="27">
        <f t="shared" si="719"/>
        <v>2500</v>
      </c>
      <c r="AU152" s="27">
        <f t="shared" si="720"/>
        <v>0</v>
      </c>
      <c r="AV152" s="27">
        <f t="shared" si="721"/>
        <v>250</v>
      </c>
      <c r="AW152" s="27">
        <f t="shared" si="722"/>
        <v>500</v>
      </c>
      <c r="AX152" s="27">
        <f t="shared" si="723"/>
        <v>750</v>
      </c>
      <c r="AY152" s="27">
        <f t="shared" si="724"/>
        <v>1000</v>
      </c>
      <c r="AZ152" s="27">
        <f t="shared" si="725"/>
        <v>1250</v>
      </c>
      <c r="BA152" s="27">
        <f t="shared" si="726"/>
        <v>1500</v>
      </c>
      <c r="BB152" s="27">
        <v>900000</v>
      </c>
      <c r="BC152" s="26">
        <v>750000</v>
      </c>
      <c r="BD152" s="27">
        <f t="shared" si="731"/>
        <v>15250</v>
      </c>
      <c r="BE152" s="28">
        <f t="shared" si="732"/>
        <v>2694.0261626865713</v>
      </c>
      <c r="BF152" s="28">
        <f t="shared" si="733"/>
        <v>2551.2507882569853</v>
      </c>
      <c r="BG152" s="28">
        <f t="shared" si="734"/>
        <v>8292.5401253254677</v>
      </c>
      <c r="BH152" s="28">
        <f t="shared" si="735"/>
        <v>13730.074391710788</v>
      </c>
      <c r="BI152" s="28">
        <f t="shared" si="736"/>
        <v>10878.74234539699</v>
      </c>
      <c r="BJ152" s="28">
        <f t="shared" si="737"/>
        <v>8152.6077678647371</v>
      </c>
      <c r="BK152" s="28">
        <f t="shared" si="738"/>
        <v>5951.1187011342545</v>
      </c>
      <c r="BL152" s="28">
        <f t="shared" si="739"/>
        <v>10978.227168256924</v>
      </c>
      <c r="BM152" s="28">
        <f t="shared" si="740"/>
        <v>11691.927994797765</v>
      </c>
      <c r="BN152" s="28">
        <f t="shared" si="741"/>
        <v>10225.531222857375</v>
      </c>
      <c r="BO152" s="28">
        <f t="shared" si="742"/>
        <v>7717.9394754010245</v>
      </c>
      <c r="BP152" s="28">
        <f t="shared" si="743"/>
        <v>7036.8965010903112</v>
      </c>
      <c r="BQ152" s="29">
        <f t="shared" si="727"/>
        <v>99900.882644779194</v>
      </c>
      <c r="BR152" s="26">
        <f t="shared" si="702"/>
        <v>196549.17656257635</v>
      </c>
      <c r="BS152" s="26">
        <f t="shared" si="709"/>
        <v>296450.05920735555</v>
      </c>
      <c r="BT152" s="26">
        <f t="shared" si="703"/>
        <v>311700.05920735555</v>
      </c>
      <c r="BU152" s="111">
        <f t="shared" si="797"/>
        <v>1625000</v>
      </c>
      <c r="BV152" s="116">
        <v>144</v>
      </c>
    </row>
    <row r="153" spans="1:74" s="110" customFormat="1" ht="13.5" customHeight="1" x14ac:dyDescent="0.2">
      <c r="A153" s="24">
        <v>145</v>
      </c>
      <c r="B153" s="24">
        <v>232</v>
      </c>
      <c r="C153" s="25" t="s">
        <v>147</v>
      </c>
      <c r="D153" s="26">
        <v>100000</v>
      </c>
      <c r="E153" s="26">
        <f t="shared" ref="E153:G153" si="812">+F153-15000</f>
        <v>1000000</v>
      </c>
      <c r="F153" s="26">
        <f t="shared" si="812"/>
        <v>1015000</v>
      </c>
      <c r="G153" s="26">
        <f t="shared" si="812"/>
        <v>1030000</v>
      </c>
      <c r="H153" s="26">
        <f t="shared" ref="H153:O153" si="813">+I153-20000</f>
        <v>1045000</v>
      </c>
      <c r="I153" s="26">
        <f t="shared" si="813"/>
        <v>1065000</v>
      </c>
      <c r="J153" s="26">
        <f t="shared" si="813"/>
        <v>1085000</v>
      </c>
      <c r="K153" s="26">
        <f t="shared" si="813"/>
        <v>1105000</v>
      </c>
      <c r="L153" s="26">
        <f t="shared" si="813"/>
        <v>1125000</v>
      </c>
      <c r="M153" s="26">
        <f t="shared" si="813"/>
        <v>1145000</v>
      </c>
      <c r="N153" s="26">
        <f t="shared" si="813"/>
        <v>1165000</v>
      </c>
      <c r="O153" s="26">
        <f t="shared" si="813"/>
        <v>1185000</v>
      </c>
      <c r="P153" s="26">
        <v>1205000</v>
      </c>
      <c r="Q153" s="26">
        <v>250000</v>
      </c>
      <c r="R153" s="26">
        <f>+Q153+50000</f>
        <v>300000</v>
      </c>
      <c r="S153" s="26">
        <f t="shared" si="810"/>
        <v>350000</v>
      </c>
      <c r="T153" s="26">
        <f t="shared" si="810"/>
        <v>400000</v>
      </c>
      <c r="U153" s="26">
        <f t="shared" si="810"/>
        <v>450000</v>
      </c>
      <c r="V153" s="26">
        <v>0</v>
      </c>
      <c r="W153" s="26">
        <f>+V153+100000</f>
        <v>100000</v>
      </c>
      <c r="X153" s="26">
        <f t="shared" ref="X153" si="814">+W153+100000</f>
        <v>200000</v>
      </c>
      <c r="Y153" s="26">
        <f t="shared" ref="Y153" si="815">+X153+100000</f>
        <v>300000</v>
      </c>
      <c r="Z153" s="26">
        <f t="shared" ref="Z153" si="816">+Y153+100000</f>
        <v>400000</v>
      </c>
      <c r="AA153" s="26">
        <f t="shared" ref="AA153" si="817">+Z153+100000</f>
        <v>500000</v>
      </c>
      <c r="AB153" s="26">
        <v>600000</v>
      </c>
      <c r="AC153" s="26">
        <v>15000</v>
      </c>
      <c r="AD153" s="26">
        <v>15000</v>
      </c>
      <c r="AE153" s="26">
        <v>15000</v>
      </c>
      <c r="AF153" s="26">
        <v>15000</v>
      </c>
      <c r="AG153" s="26">
        <v>15000</v>
      </c>
      <c r="AH153" s="26">
        <v>15000</v>
      </c>
      <c r="AI153" s="26">
        <v>15000</v>
      </c>
      <c r="AJ153" s="26">
        <v>15000</v>
      </c>
      <c r="AK153" s="26">
        <v>15000</v>
      </c>
      <c r="AL153" s="26">
        <v>15000</v>
      </c>
      <c r="AM153" s="26">
        <v>15000</v>
      </c>
      <c r="AN153" s="26">
        <v>15000</v>
      </c>
      <c r="AO153" s="26">
        <f t="shared" si="714"/>
        <v>1920000</v>
      </c>
      <c r="AP153" s="27">
        <f t="shared" si="715"/>
        <v>1325</v>
      </c>
      <c r="AQ153" s="27">
        <f t="shared" si="716"/>
        <v>1575</v>
      </c>
      <c r="AR153" s="27">
        <f t="shared" si="717"/>
        <v>1825</v>
      </c>
      <c r="AS153" s="27">
        <f t="shared" si="718"/>
        <v>2075</v>
      </c>
      <c r="AT153" s="27">
        <f t="shared" si="719"/>
        <v>2325</v>
      </c>
      <c r="AU153" s="27">
        <f t="shared" si="720"/>
        <v>75</v>
      </c>
      <c r="AV153" s="27">
        <f t="shared" si="721"/>
        <v>575</v>
      </c>
      <c r="AW153" s="27">
        <f t="shared" si="722"/>
        <v>1075</v>
      </c>
      <c r="AX153" s="27">
        <f t="shared" si="723"/>
        <v>1575</v>
      </c>
      <c r="AY153" s="27">
        <f t="shared" si="724"/>
        <v>2075</v>
      </c>
      <c r="AZ153" s="27">
        <f t="shared" si="725"/>
        <v>2575</v>
      </c>
      <c r="BA153" s="27">
        <f t="shared" si="726"/>
        <v>3075</v>
      </c>
      <c r="BB153" s="27">
        <v>900000</v>
      </c>
      <c r="BC153" s="26">
        <v>500000</v>
      </c>
      <c r="BD153" s="27">
        <f t="shared" si="731"/>
        <v>20150</v>
      </c>
      <c r="BE153" s="28">
        <f t="shared" si="732"/>
        <v>2419.3063895178748</v>
      </c>
      <c r="BF153" s="28">
        <f t="shared" si="733"/>
        <v>2301.759386250782</v>
      </c>
      <c r="BG153" s="28">
        <f t="shared" si="734"/>
        <v>7513.5439317342871</v>
      </c>
      <c r="BH153" s="28">
        <f t="shared" si="735"/>
        <v>12489.163878174244</v>
      </c>
      <c r="BI153" s="28">
        <f t="shared" si="736"/>
        <v>9934.0896487378668</v>
      </c>
      <c r="BJ153" s="28">
        <f t="shared" si="737"/>
        <v>7496.6508210250449</v>
      </c>
      <c r="BK153" s="28">
        <f t="shared" si="738"/>
        <v>5713.0739530888841</v>
      </c>
      <c r="BL153" s="28">
        <f t="shared" si="739"/>
        <v>10940.240223038041</v>
      </c>
      <c r="BM153" s="28">
        <f t="shared" si="740"/>
        <v>12039.212984742253</v>
      </c>
      <c r="BN153" s="28">
        <f t="shared" si="741"/>
        <v>10838.417952303085</v>
      </c>
      <c r="BO153" s="28">
        <f t="shared" si="742"/>
        <v>8394.1335684119913</v>
      </c>
      <c r="BP153" s="28">
        <f t="shared" si="743"/>
        <v>7832.3717577353027</v>
      </c>
      <c r="BQ153" s="29">
        <f t="shared" si="727"/>
        <v>97911.964494759668</v>
      </c>
      <c r="BR153" s="26">
        <f t="shared" si="702"/>
        <v>196549.17656257635</v>
      </c>
      <c r="BS153" s="26">
        <f t="shared" si="709"/>
        <v>294461.141057336</v>
      </c>
      <c r="BT153" s="26">
        <f t="shared" si="703"/>
        <v>314611.141057336</v>
      </c>
      <c r="BU153" s="111">
        <f t="shared" si="797"/>
        <v>1820000</v>
      </c>
      <c r="BV153" s="110">
        <v>104</v>
      </c>
    </row>
    <row r="154" spans="1:74" ht="13.5" customHeight="1" x14ac:dyDescent="0.2">
      <c r="A154" s="15">
        <v>146</v>
      </c>
      <c r="B154" s="15">
        <v>233</v>
      </c>
      <c r="C154" s="14" t="s">
        <v>148</v>
      </c>
      <c r="D154" s="8">
        <v>100000</v>
      </c>
      <c r="E154" s="8">
        <f t="shared" ref="E154:G154" si="818">+F154-15000</f>
        <v>1000000</v>
      </c>
      <c r="F154" s="8">
        <f t="shared" si="818"/>
        <v>1015000</v>
      </c>
      <c r="G154" s="8">
        <f t="shared" si="818"/>
        <v>1030000</v>
      </c>
      <c r="H154" s="8">
        <f t="shared" ref="H154:O154" si="819">+I154-20000</f>
        <v>1045000</v>
      </c>
      <c r="I154" s="8">
        <f t="shared" si="819"/>
        <v>1065000</v>
      </c>
      <c r="J154" s="8">
        <f t="shared" si="819"/>
        <v>1085000</v>
      </c>
      <c r="K154" s="8">
        <f t="shared" si="819"/>
        <v>1105000</v>
      </c>
      <c r="L154" s="8">
        <f t="shared" si="819"/>
        <v>1125000</v>
      </c>
      <c r="M154" s="8">
        <f t="shared" si="819"/>
        <v>1145000</v>
      </c>
      <c r="N154" s="8">
        <f t="shared" si="819"/>
        <v>1165000</v>
      </c>
      <c r="O154" s="8">
        <f t="shared" si="819"/>
        <v>1185000</v>
      </c>
      <c r="P154" s="8">
        <v>1205000</v>
      </c>
      <c r="Q154" s="8">
        <v>850000</v>
      </c>
      <c r="R154" s="8">
        <f>+Q154+150000</f>
        <v>1000000</v>
      </c>
      <c r="S154" s="8">
        <f t="shared" ref="S154:U154" si="820">+R154+150000</f>
        <v>1150000</v>
      </c>
      <c r="T154" s="8">
        <f t="shared" si="820"/>
        <v>1300000</v>
      </c>
      <c r="U154" s="8">
        <f t="shared" si="820"/>
        <v>1450000</v>
      </c>
      <c r="V154" s="8">
        <v>0</v>
      </c>
      <c r="W154" s="8">
        <f>+V154+200000</f>
        <v>200000</v>
      </c>
      <c r="X154" s="8">
        <f t="shared" ref="X154:AA154" si="821">+W154+200000</f>
        <v>400000</v>
      </c>
      <c r="Y154" s="8">
        <f t="shared" si="821"/>
        <v>600000</v>
      </c>
      <c r="Z154" s="8">
        <f t="shared" si="821"/>
        <v>800000</v>
      </c>
      <c r="AA154" s="8">
        <f t="shared" si="821"/>
        <v>1000000</v>
      </c>
      <c r="AB154" s="8">
        <v>1200000</v>
      </c>
      <c r="AC154" s="8">
        <v>25000</v>
      </c>
      <c r="AD154" s="8">
        <v>25000</v>
      </c>
      <c r="AE154" s="8">
        <v>25000</v>
      </c>
      <c r="AF154" s="8">
        <v>25000</v>
      </c>
      <c r="AG154" s="8">
        <v>25000</v>
      </c>
      <c r="AH154" s="8">
        <v>25000</v>
      </c>
      <c r="AI154" s="8">
        <v>25000</v>
      </c>
      <c r="AJ154" s="8">
        <v>25000</v>
      </c>
      <c r="AK154" s="8">
        <v>25000</v>
      </c>
      <c r="AL154" s="8">
        <v>25000</v>
      </c>
      <c r="AM154" s="8">
        <v>25000</v>
      </c>
      <c r="AN154" s="8">
        <v>25000</v>
      </c>
      <c r="AO154" s="8">
        <f t="shared" si="714"/>
        <v>2530000</v>
      </c>
      <c r="AP154" s="16">
        <f t="shared" si="715"/>
        <v>4375</v>
      </c>
      <c r="AQ154" s="16">
        <f t="shared" si="716"/>
        <v>5125</v>
      </c>
      <c r="AR154" s="16">
        <f t="shared" si="717"/>
        <v>5875</v>
      </c>
      <c r="AS154" s="16">
        <f t="shared" si="718"/>
        <v>6625</v>
      </c>
      <c r="AT154" s="16">
        <f t="shared" si="719"/>
        <v>7375</v>
      </c>
      <c r="AU154" s="16">
        <f t="shared" si="720"/>
        <v>125</v>
      </c>
      <c r="AV154" s="16">
        <f t="shared" si="721"/>
        <v>1125</v>
      </c>
      <c r="AW154" s="16">
        <f t="shared" si="722"/>
        <v>2125</v>
      </c>
      <c r="AX154" s="16">
        <f t="shared" si="723"/>
        <v>3125</v>
      </c>
      <c r="AY154" s="16">
        <f t="shared" si="724"/>
        <v>4125</v>
      </c>
      <c r="AZ154" s="16">
        <f t="shared" si="725"/>
        <v>5125</v>
      </c>
      <c r="BA154" s="16">
        <f t="shared" si="726"/>
        <v>6125</v>
      </c>
      <c r="BB154" s="16">
        <v>0</v>
      </c>
      <c r="BC154" s="8">
        <v>0</v>
      </c>
      <c r="BD154" s="16">
        <f t="shared" si="731"/>
        <v>51250</v>
      </c>
      <c r="BE154" s="23">
        <f t="shared" si="732"/>
        <v>3500.4616258591964</v>
      </c>
      <c r="BF154" s="23">
        <f t="shared" si="733"/>
        <v>3444.5909696340373</v>
      </c>
      <c r="BG154" s="23">
        <f t="shared" si="734"/>
        <v>11584.42726598497</v>
      </c>
      <c r="BH154" s="23">
        <f t="shared" si="735"/>
        <v>19774.509473775888</v>
      </c>
      <c r="BI154" s="23">
        <f t="shared" si="736"/>
        <v>16089.568510839244</v>
      </c>
      <c r="BJ154" s="23">
        <f t="shared" si="737"/>
        <v>7559.1229112002538</v>
      </c>
      <c r="BK154" s="23">
        <f t="shared" si="738"/>
        <v>6189.163449179624</v>
      </c>
      <c r="BL154" s="23">
        <f t="shared" si="739"/>
        <v>12535.69192223109</v>
      </c>
      <c r="BM154" s="23">
        <f t="shared" si="740"/>
        <v>14431.620693248726</v>
      </c>
      <c r="BN154" s="23">
        <f t="shared" si="741"/>
        <v>13483.508047805624</v>
      </c>
      <c r="BO154" s="23">
        <f t="shared" si="742"/>
        <v>10772.471412795388</v>
      </c>
      <c r="BP154" s="23">
        <f t="shared" si="743"/>
        <v>10320.781534932456</v>
      </c>
      <c r="BQ154" s="22">
        <f t="shared" si="727"/>
        <v>129685.91781748651</v>
      </c>
      <c r="BR154" s="8">
        <f t="shared" si="702"/>
        <v>0</v>
      </c>
      <c r="BS154" s="8">
        <f t="shared" si="709"/>
        <v>129685.91781748651</v>
      </c>
      <c r="BT154" s="8">
        <f t="shared" si="703"/>
        <v>180935.91781748651</v>
      </c>
    </row>
    <row r="155" spans="1:74" ht="13.5" customHeight="1" x14ac:dyDescent="0.2">
      <c r="A155" s="15">
        <v>147</v>
      </c>
      <c r="B155" s="15">
        <v>234</v>
      </c>
      <c r="C155" s="14" t="s">
        <v>149</v>
      </c>
      <c r="D155" s="8">
        <v>100000</v>
      </c>
      <c r="E155" s="8">
        <f t="shared" ref="E155:G155" si="822">+F155-25000</f>
        <v>1370000</v>
      </c>
      <c r="F155" s="8">
        <f t="shared" si="822"/>
        <v>1395000</v>
      </c>
      <c r="G155" s="8">
        <f t="shared" si="822"/>
        <v>1420000</v>
      </c>
      <c r="H155" s="8">
        <f t="shared" ref="H155:O155" si="823">+I155-50000</f>
        <v>1445000</v>
      </c>
      <c r="I155" s="8">
        <f t="shared" si="823"/>
        <v>1495000</v>
      </c>
      <c r="J155" s="8">
        <f t="shared" si="823"/>
        <v>1545000</v>
      </c>
      <c r="K155" s="8">
        <f t="shared" si="823"/>
        <v>1595000</v>
      </c>
      <c r="L155" s="8">
        <f t="shared" si="823"/>
        <v>1645000</v>
      </c>
      <c r="M155" s="8">
        <f t="shared" si="823"/>
        <v>1695000</v>
      </c>
      <c r="N155" s="8">
        <f t="shared" si="823"/>
        <v>1745000</v>
      </c>
      <c r="O155" s="8">
        <f t="shared" si="823"/>
        <v>1795000</v>
      </c>
      <c r="P155" s="8">
        <v>1845000</v>
      </c>
      <c r="Q155" s="8">
        <v>300000</v>
      </c>
      <c r="R155" s="8">
        <f>+Q155+50000</f>
        <v>350000</v>
      </c>
      <c r="S155" s="8">
        <f t="shared" ref="S155:AA155" si="824">+R155+50000</f>
        <v>400000</v>
      </c>
      <c r="T155" s="8">
        <f t="shared" si="824"/>
        <v>450000</v>
      </c>
      <c r="U155" s="8">
        <f t="shared" si="824"/>
        <v>500000</v>
      </c>
      <c r="V155" s="8">
        <v>0</v>
      </c>
      <c r="W155" s="8">
        <f t="shared" si="824"/>
        <v>50000</v>
      </c>
      <c r="X155" s="8">
        <f t="shared" si="824"/>
        <v>100000</v>
      </c>
      <c r="Y155" s="8">
        <f t="shared" si="824"/>
        <v>150000</v>
      </c>
      <c r="Z155" s="8">
        <f t="shared" si="824"/>
        <v>200000</v>
      </c>
      <c r="AA155" s="8">
        <f t="shared" si="824"/>
        <v>250000</v>
      </c>
      <c r="AB155" s="8">
        <v>300000</v>
      </c>
      <c r="AC155" s="8">
        <v>250000</v>
      </c>
      <c r="AD155" s="8">
        <f>+AC155+3000</f>
        <v>253000</v>
      </c>
      <c r="AE155" s="8">
        <f t="shared" ref="AE155:AM155" si="825">+AD155+3000</f>
        <v>256000</v>
      </c>
      <c r="AF155" s="8">
        <f t="shared" si="825"/>
        <v>259000</v>
      </c>
      <c r="AG155" s="8">
        <f t="shared" si="825"/>
        <v>262000</v>
      </c>
      <c r="AH155" s="8">
        <f t="shared" si="825"/>
        <v>265000</v>
      </c>
      <c r="AI155" s="8">
        <f t="shared" si="825"/>
        <v>268000</v>
      </c>
      <c r="AJ155" s="8">
        <f t="shared" si="825"/>
        <v>271000</v>
      </c>
      <c r="AK155" s="8">
        <f t="shared" si="825"/>
        <v>274000</v>
      </c>
      <c r="AL155" s="8">
        <f t="shared" si="825"/>
        <v>277000</v>
      </c>
      <c r="AM155" s="8">
        <f t="shared" si="825"/>
        <v>280000</v>
      </c>
      <c r="AN155" s="8">
        <v>283000</v>
      </c>
      <c r="AO155" s="8">
        <f t="shared" si="714"/>
        <v>2528000</v>
      </c>
      <c r="AP155" s="16">
        <f t="shared" si="715"/>
        <v>2750</v>
      </c>
      <c r="AQ155" s="16">
        <f t="shared" si="716"/>
        <v>3015</v>
      </c>
      <c r="AR155" s="16">
        <f t="shared" si="717"/>
        <v>3280</v>
      </c>
      <c r="AS155" s="16">
        <f t="shared" si="718"/>
        <v>3545</v>
      </c>
      <c r="AT155" s="16">
        <f t="shared" si="719"/>
        <v>3810</v>
      </c>
      <c r="AU155" s="16">
        <f t="shared" si="720"/>
        <v>1325</v>
      </c>
      <c r="AV155" s="16">
        <f t="shared" si="721"/>
        <v>1590</v>
      </c>
      <c r="AW155" s="16">
        <f t="shared" si="722"/>
        <v>1855</v>
      </c>
      <c r="AX155" s="16">
        <f t="shared" si="723"/>
        <v>2120</v>
      </c>
      <c r="AY155" s="16">
        <f t="shared" si="724"/>
        <v>2385</v>
      </c>
      <c r="AZ155" s="16">
        <f t="shared" si="725"/>
        <v>2650</v>
      </c>
      <c r="BA155" s="16">
        <f t="shared" si="726"/>
        <v>2915</v>
      </c>
      <c r="BB155" s="16">
        <v>0</v>
      </c>
      <c r="BC155" s="8">
        <v>0</v>
      </c>
      <c r="BD155" s="16">
        <f t="shared" si="731"/>
        <v>31240</v>
      </c>
      <c r="BE155" s="23">
        <f t="shared" si="732"/>
        <v>3580.2189793597854</v>
      </c>
      <c r="BF155" s="23">
        <f t="shared" si="733"/>
        <v>3376.9868478000981</v>
      </c>
      <c r="BG155" s="23">
        <f t="shared" si="734"/>
        <v>10936.101401641343</v>
      </c>
      <c r="BH155" s="23">
        <f t="shared" si="735"/>
        <v>18045.240629105607</v>
      </c>
      <c r="BI155" s="23">
        <f t="shared" si="736"/>
        <v>14364.815522745492</v>
      </c>
      <c r="BJ155" s="23">
        <f t="shared" si="737"/>
        <v>11932.169223464864</v>
      </c>
      <c r="BK155" s="23">
        <f t="shared" si="738"/>
        <v>8712.4377784605476</v>
      </c>
      <c r="BL155" s="23">
        <f t="shared" si="739"/>
        <v>16076.075216630899</v>
      </c>
      <c r="BM155" s="23">
        <f t="shared" si="740"/>
        <v>17125.008726373755</v>
      </c>
      <c r="BN155" s="23">
        <f t="shared" si="741"/>
        <v>14980.241955504622</v>
      </c>
      <c r="BO155" s="23">
        <f t="shared" si="742"/>
        <v>11308.763279666155</v>
      </c>
      <c r="BP155" s="23">
        <f t="shared" si="743"/>
        <v>10312.622814351482</v>
      </c>
      <c r="BQ155" s="22">
        <f t="shared" si="727"/>
        <v>140750.68237510463</v>
      </c>
      <c r="BR155" s="8">
        <f t="shared" si="702"/>
        <v>0</v>
      </c>
      <c r="BS155" s="8">
        <f t="shared" si="709"/>
        <v>140750.68237510463</v>
      </c>
      <c r="BT155" s="8">
        <f t="shared" si="703"/>
        <v>171990.68237510463</v>
      </c>
    </row>
    <row r="156" spans="1:74" s="110" customFormat="1" ht="13.5" customHeight="1" x14ac:dyDescent="0.2">
      <c r="A156" s="24">
        <v>148</v>
      </c>
      <c r="B156" s="24">
        <v>235</v>
      </c>
      <c r="C156" s="25" t="s">
        <v>173</v>
      </c>
      <c r="D156" s="26">
        <v>100000</v>
      </c>
      <c r="E156" s="26">
        <f t="shared" ref="E156:G156" si="826">+F156-15000</f>
        <v>990000</v>
      </c>
      <c r="F156" s="26">
        <f t="shared" si="826"/>
        <v>1005000</v>
      </c>
      <c r="G156" s="26">
        <f t="shared" si="826"/>
        <v>1020000</v>
      </c>
      <c r="H156" s="26">
        <f t="shared" ref="H156:O156" si="827">+I156-20000</f>
        <v>1035000</v>
      </c>
      <c r="I156" s="26">
        <f t="shared" si="827"/>
        <v>1055000</v>
      </c>
      <c r="J156" s="26">
        <f t="shared" si="827"/>
        <v>1075000</v>
      </c>
      <c r="K156" s="26">
        <f t="shared" si="827"/>
        <v>1095000</v>
      </c>
      <c r="L156" s="26">
        <f t="shared" si="827"/>
        <v>1115000</v>
      </c>
      <c r="M156" s="26">
        <f t="shared" si="827"/>
        <v>1135000</v>
      </c>
      <c r="N156" s="26">
        <f t="shared" si="827"/>
        <v>1155000</v>
      </c>
      <c r="O156" s="26">
        <f t="shared" si="827"/>
        <v>1175000</v>
      </c>
      <c r="P156" s="26">
        <v>1195000</v>
      </c>
      <c r="Q156" s="26">
        <v>600000</v>
      </c>
      <c r="R156" s="26">
        <f>+Q156+100000</f>
        <v>700000</v>
      </c>
      <c r="S156" s="26">
        <f t="shared" ref="S156:AA157" si="828">+R156+100000</f>
        <v>800000</v>
      </c>
      <c r="T156" s="26">
        <f t="shared" si="828"/>
        <v>900000</v>
      </c>
      <c r="U156" s="26">
        <f t="shared" si="828"/>
        <v>1000000</v>
      </c>
      <c r="V156" s="26">
        <v>0</v>
      </c>
      <c r="W156" s="26">
        <f t="shared" si="828"/>
        <v>100000</v>
      </c>
      <c r="X156" s="26">
        <f t="shared" si="828"/>
        <v>200000</v>
      </c>
      <c r="Y156" s="26">
        <f t="shared" si="828"/>
        <v>300000</v>
      </c>
      <c r="Z156" s="26">
        <f t="shared" si="828"/>
        <v>400000</v>
      </c>
      <c r="AA156" s="26">
        <f t="shared" si="828"/>
        <v>500000</v>
      </c>
      <c r="AB156" s="26">
        <v>600000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0</v>
      </c>
      <c r="AJ156" s="26">
        <v>0</v>
      </c>
      <c r="AK156" s="26">
        <v>0</v>
      </c>
      <c r="AL156" s="26">
        <v>0</v>
      </c>
      <c r="AM156" s="26">
        <v>0</v>
      </c>
      <c r="AN156" s="26">
        <v>0</v>
      </c>
      <c r="AO156" s="26">
        <f t="shared" si="714"/>
        <v>1895000</v>
      </c>
      <c r="AP156" s="27">
        <f t="shared" si="715"/>
        <v>3000</v>
      </c>
      <c r="AQ156" s="27">
        <f t="shared" si="716"/>
        <v>3500</v>
      </c>
      <c r="AR156" s="27">
        <f t="shared" si="717"/>
        <v>4000</v>
      </c>
      <c r="AS156" s="27">
        <f t="shared" si="718"/>
        <v>4500</v>
      </c>
      <c r="AT156" s="27">
        <f t="shared" si="719"/>
        <v>5000</v>
      </c>
      <c r="AU156" s="27">
        <f t="shared" si="720"/>
        <v>0</v>
      </c>
      <c r="AV156" s="27">
        <f t="shared" si="721"/>
        <v>500</v>
      </c>
      <c r="AW156" s="27">
        <f t="shared" si="722"/>
        <v>1000</v>
      </c>
      <c r="AX156" s="27">
        <f t="shared" si="723"/>
        <v>1500</v>
      </c>
      <c r="AY156" s="27">
        <f t="shared" si="724"/>
        <v>2000</v>
      </c>
      <c r="AZ156" s="27">
        <f t="shared" si="725"/>
        <v>2500</v>
      </c>
      <c r="BA156" s="27">
        <f t="shared" si="726"/>
        <v>3000</v>
      </c>
      <c r="BB156" s="27">
        <v>900000</v>
      </c>
      <c r="BC156" s="26">
        <v>750000</v>
      </c>
      <c r="BD156" s="27">
        <f t="shared" si="731"/>
        <v>30500</v>
      </c>
      <c r="BE156" s="28">
        <f t="shared" si="732"/>
        <v>2995.3317203554643</v>
      </c>
      <c r="BF156" s="28">
        <f t="shared" si="733"/>
        <v>2905.3676169109517</v>
      </c>
      <c r="BG156" s="28">
        <f t="shared" si="734"/>
        <v>9649.5012367423624</v>
      </c>
      <c r="BH156" s="28">
        <f t="shared" si="735"/>
        <v>16291.954161592685</v>
      </c>
      <c r="BI156" s="28">
        <f t="shared" si="736"/>
        <v>13133.719750325216</v>
      </c>
      <c r="BJ156" s="28">
        <f t="shared" si="737"/>
        <v>7340.470595587024</v>
      </c>
      <c r="BK156" s="28">
        <f t="shared" si="738"/>
        <v>5604.8717948864432</v>
      </c>
      <c r="BL156" s="28">
        <f t="shared" si="739"/>
        <v>10750.305496943631</v>
      </c>
      <c r="BM156" s="28">
        <f t="shared" si="740"/>
        <v>11846.276879217537</v>
      </c>
      <c r="BN156" s="28">
        <f t="shared" si="741"/>
        <v>10677.131970870003</v>
      </c>
      <c r="BO156" s="28">
        <f t="shared" si="742"/>
        <v>8277.5483799618232</v>
      </c>
      <c r="BP156" s="28">
        <f t="shared" si="743"/>
        <v>7730.3877504731245</v>
      </c>
      <c r="BQ156" s="29">
        <f t="shared" si="727"/>
        <v>107202.86735386626</v>
      </c>
      <c r="BR156" s="26">
        <f t="shared" si="702"/>
        <v>196549.17656257635</v>
      </c>
      <c r="BS156" s="26">
        <f t="shared" si="709"/>
        <v>303752.04391644261</v>
      </c>
      <c r="BT156" s="26">
        <f t="shared" si="703"/>
        <v>334252.04391644261</v>
      </c>
      <c r="BU156" s="111">
        <f t="shared" ref="BU156:BU165" si="829">AO156-100000</f>
        <v>1795000</v>
      </c>
      <c r="BV156" s="110">
        <v>105</v>
      </c>
    </row>
    <row r="157" spans="1:74" s="110" customFormat="1" ht="13.5" customHeight="1" x14ac:dyDescent="0.2">
      <c r="A157" s="24">
        <v>149</v>
      </c>
      <c r="B157" s="24">
        <v>236</v>
      </c>
      <c r="C157" s="25" t="s">
        <v>150</v>
      </c>
      <c r="D157" s="26">
        <v>100000</v>
      </c>
      <c r="E157" s="26">
        <f t="shared" ref="E157:G157" si="830">+F157-15000</f>
        <v>980000</v>
      </c>
      <c r="F157" s="26">
        <f t="shared" si="830"/>
        <v>995000</v>
      </c>
      <c r="G157" s="26">
        <f t="shared" si="830"/>
        <v>1010000</v>
      </c>
      <c r="H157" s="26">
        <f t="shared" ref="H157:O157" si="831">+I157-20000</f>
        <v>1025000</v>
      </c>
      <c r="I157" s="26">
        <f t="shared" si="831"/>
        <v>1045000</v>
      </c>
      <c r="J157" s="26">
        <f t="shared" si="831"/>
        <v>1065000</v>
      </c>
      <c r="K157" s="26">
        <f t="shared" si="831"/>
        <v>1085000</v>
      </c>
      <c r="L157" s="26">
        <f t="shared" si="831"/>
        <v>1105000</v>
      </c>
      <c r="M157" s="26">
        <f t="shared" si="831"/>
        <v>1125000</v>
      </c>
      <c r="N157" s="26">
        <f t="shared" si="831"/>
        <v>1145000</v>
      </c>
      <c r="O157" s="26">
        <f t="shared" si="831"/>
        <v>1165000</v>
      </c>
      <c r="P157" s="26">
        <v>1185000</v>
      </c>
      <c r="Q157" s="26">
        <v>600000</v>
      </c>
      <c r="R157" s="26">
        <f>+Q157+100000</f>
        <v>700000</v>
      </c>
      <c r="S157" s="26">
        <f t="shared" si="828"/>
        <v>800000</v>
      </c>
      <c r="T157" s="26">
        <f t="shared" si="828"/>
        <v>900000</v>
      </c>
      <c r="U157" s="26">
        <f t="shared" si="828"/>
        <v>1000000</v>
      </c>
      <c r="V157" s="26">
        <v>0</v>
      </c>
      <c r="W157" s="26">
        <f>+V157+150000</f>
        <v>150000</v>
      </c>
      <c r="X157" s="26">
        <f t="shared" ref="X157:AA157" si="832">+W157+150000</f>
        <v>300000</v>
      </c>
      <c r="Y157" s="26">
        <f t="shared" si="832"/>
        <v>450000</v>
      </c>
      <c r="Z157" s="26">
        <f t="shared" si="832"/>
        <v>600000</v>
      </c>
      <c r="AA157" s="26">
        <f t="shared" si="832"/>
        <v>750000</v>
      </c>
      <c r="AB157" s="26">
        <v>900000</v>
      </c>
      <c r="AC157" s="26">
        <v>14000</v>
      </c>
      <c r="AD157" s="26">
        <v>14000</v>
      </c>
      <c r="AE157" s="26">
        <v>14000</v>
      </c>
      <c r="AF157" s="26">
        <v>14000</v>
      </c>
      <c r="AG157" s="26">
        <v>14000</v>
      </c>
      <c r="AH157" s="26">
        <v>14000</v>
      </c>
      <c r="AI157" s="26">
        <v>14000</v>
      </c>
      <c r="AJ157" s="26">
        <v>14000</v>
      </c>
      <c r="AK157" s="26">
        <v>14000</v>
      </c>
      <c r="AL157" s="26">
        <v>14000</v>
      </c>
      <c r="AM157" s="26">
        <v>14000</v>
      </c>
      <c r="AN157" s="26">
        <v>14000</v>
      </c>
      <c r="AO157" s="26">
        <f t="shared" si="714"/>
        <v>2199000</v>
      </c>
      <c r="AP157" s="27">
        <f t="shared" si="715"/>
        <v>3070</v>
      </c>
      <c r="AQ157" s="27">
        <f t="shared" si="716"/>
        <v>3570</v>
      </c>
      <c r="AR157" s="27">
        <f t="shared" si="717"/>
        <v>4070</v>
      </c>
      <c r="AS157" s="27">
        <f t="shared" si="718"/>
        <v>4570</v>
      </c>
      <c r="AT157" s="27">
        <f t="shared" si="719"/>
        <v>5070</v>
      </c>
      <c r="AU157" s="27">
        <f t="shared" si="720"/>
        <v>70</v>
      </c>
      <c r="AV157" s="27">
        <f t="shared" si="721"/>
        <v>820</v>
      </c>
      <c r="AW157" s="27">
        <f t="shared" si="722"/>
        <v>1570</v>
      </c>
      <c r="AX157" s="27">
        <f t="shared" si="723"/>
        <v>2320</v>
      </c>
      <c r="AY157" s="27">
        <f t="shared" si="724"/>
        <v>3070</v>
      </c>
      <c r="AZ157" s="27">
        <f t="shared" si="725"/>
        <v>3820</v>
      </c>
      <c r="BA157" s="27">
        <f t="shared" si="726"/>
        <v>4570</v>
      </c>
      <c r="BB157" s="27">
        <v>825000</v>
      </c>
      <c r="BC157" s="26">
        <v>2250000</v>
      </c>
      <c r="BD157" s="27">
        <f t="shared" si="731"/>
        <v>36590</v>
      </c>
      <c r="BE157" s="28">
        <f t="shared" si="732"/>
        <v>3002.4212628888499</v>
      </c>
      <c r="BF157" s="28">
        <f t="shared" si="733"/>
        <v>2911.8061047046604</v>
      </c>
      <c r="BG157" s="28">
        <f t="shared" si="734"/>
        <v>9669.6043643189078</v>
      </c>
      <c r="BH157" s="28">
        <f t="shared" si="735"/>
        <v>16323.977658716207</v>
      </c>
      <c r="BI157" s="28">
        <f t="shared" si="736"/>
        <v>13158.097884432549</v>
      </c>
      <c r="BJ157" s="28">
        <f t="shared" si="737"/>
        <v>7365.4594316571074</v>
      </c>
      <c r="BK157" s="28">
        <f t="shared" si="738"/>
        <v>5838.5884566037157</v>
      </c>
      <c r="BL157" s="28">
        <f t="shared" si="739"/>
        <v>11540.433957496378</v>
      </c>
      <c r="BM157" s="28">
        <f t="shared" si="740"/>
        <v>13034.763289249786</v>
      </c>
      <c r="BN157" s="28">
        <f t="shared" si="741"/>
        <v>11993.225579363949</v>
      </c>
      <c r="BO157" s="28">
        <f t="shared" si="742"/>
        <v>9462.0538946155157</v>
      </c>
      <c r="BP157" s="28">
        <f t="shared" si="743"/>
        <v>8970.5132787812145</v>
      </c>
      <c r="BQ157" s="29">
        <f t="shared" si="727"/>
        <v>113270.94516282885</v>
      </c>
      <c r="BR157" s="26">
        <f t="shared" si="702"/>
        <v>180170.078515695</v>
      </c>
      <c r="BS157" s="26">
        <f t="shared" si="709"/>
        <v>293441.02367852384</v>
      </c>
      <c r="BT157" s="26">
        <f t="shared" si="703"/>
        <v>330031.02367852384</v>
      </c>
      <c r="BU157" s="111">
        <f t="shared" si="829"/>
        <v>2099000</v>
      </c>
      <c r="BV157" s="110">
        <v>106</v>
      </c>
    </row>
    <row r="158" spans="1:74" s="135" customFormat="1" ht="13.5" customHeight="1" x14ac:dyDescent="0.2">
      <c r="A158" s="128">
        <v>150</v>
      </c>
      <c r="B158" s="128">
        <v>238</v>
      </c>
      <c r="C158" s="129" t="s">
        <v>151</v>
      </c>
      <c r="D158" s="130">
        <v>100000</v>
      </c>
      <c r="E158" s="130">
        <f t="shared" ref="E158:G158" si="833">+F158-15000</f>
        <v>910000</v>
      </c>
      <c r="F158" s="130">
        <f t="shared" si="833"/>
        <v>925000</v>
      </c>
      <c r="G158" s="130">
        <f t="shared" si="833"/>
        <v>940000</v>
      </c>
      <c r="H158" s="130">
        <f t="shared" ref="H158:O158" si="834">+I158-20000</f>
        <v>955000</v>
      </c>
      <c r="I158" s="130">
        <f t="shared" si="834"/>
        <v>975000</v>
      </c>
      <c r="J158" s="130">
        <f t="shared" si="834"/>
        <v>995000</v>
      </c>
      <c r="K158" s="130">
        <f t="shared" si="834"/>
        <v>1015000</v>
      </c>
      <c r="L158" s="130">
        <f t="shared" si="834"/>
        <v>1035000</v>
      </c>
      <c r="M158" s="130">
        <f t="shared" si="834"/>
        <v>1055000</v>
      </c>
      <c r="N158" s="130">
        <f t="shared" si="834"/>
        <v>1075000</v>
      </c>
      <c r="O158" s="130">
        <f t="shared" si="834"/>
        <v>1095000</v>
      </c>
      <c r="P158" s="130">
        <v>1115000</v>
      </c>
      <c r="Q158" s="130">
        <v>700000</v>
      </c>
      <c r="R158" s="130">
        <f>+Q158+100000</f>
        <v>800000</v>
      </c>
      <c r="S158" s="130">
        <f t="shared" ref="S158:AA159" si="835">+R158+100000</f>
        <v>900000</v>
      </c>
      <c r="T158" s="130">
        <f t="shared" si="835"/>
        <v>1000000</v>
      </c>
      <c r="U158" s="130">
        <f t="shared" si="835"/>
        <v>1100000</v>
      </c>
      <c r="V158" s="130">
        <v>0</v>
      </c>
      <c r="W158" s="130">
        <f t="shared" si="835"/>
        <v>100000</v>
      </c>
      <c r="X158" s="130">
        <f t="shared" si="835"/>
        <v>200000</v>
      </c>
      <c r="Y158" s="130">
        <f t="shared" si="835"/>
        <v>300000</v>
      </c>
      <c r="Z158" s="130">
        <f t="shared" si="835"/>
        <v>400000</v>
      </c>
      <c r="AA158" s="130">
        <f t="shared" si="835"/>
        <v>500000</v>
      </c>
      <c r="AB158" s="130">
        <v>600000</v>
      </c>
      <c r="AC158" s="130">
        <v>3893000</v>
      </c>
      <c r="AD158" s="130">
        <f>+AC158+85000</f>
        <v>3978000</v>
      </c>
      <c r="AE158" s="130">
        <f>+AD158+85000</f>
        <v>4063000</v>
      </c>
      <c r="AF158" s="130">
        <f>+AE158+80000</f>
        <v>4143000</v>
      </c>
      <c r="AG158" s="130">
        <f t="shared" ref="AG158:AM158" si="836">+AF158+80000</f>
        <v>4223000</v>
      </c>
      <c r="AH158" s="130">
        <f t="shared" si="836"/>
        <v>4303000</v>
      </c>
      <c r="AI158" s="130">
        <f t="shared" si="836"/>
        <v>4383000</v>
      </c>
      <c r="AJ158" s="130">
        <f t="shared" si="836"/>
        <v>4463000</v>
      </c>
      <c r="AK158" s="130">
        <f t="shared" si="836"/>
        <v>4543000</v>
      </c>
      <c r="AL158" s="130">
        <f t="shared" si="836"/>
        <v>4623000</v>
      </c>
      <c r="AM158" s="130">
        <f t="shared" si="836"/>
        <v>4703000</v>
      </c>
      <c r="AN158" s="130">
        <v>4783000</v>
      </c>
      <c r="AO158" s="130">
        <f t="shared" si="714"/>
        <v>6598000</v>
      </c>
      <c r="AP158" s="131">
        <f t="shared" si="715"/>
        <v>22965</v>
      </c>
      <c r="AQ158" s="131">
        <f t="shared" si="716"/>
        <v>23890</v>
      </c>
      <c r="AR158" s="131">
        <f t="shared" si="717"/>
        <v>24815</v>
      </c>
      <c r="AS158" s="131">
        <f t="shared" si="718"/>
        <v>25715</v>
      </c>
      <c r="AT158" s="131">
        <f t="shared" si="719"/>
        <v>26615</v>
      </c>
      <c r="AU158" s="131">
        <f t="shared" si="720"/>
        <v>21515</v>
      </c>
      <c r="AV158" s="131">
        <f t="shared" si="721"/>
        <v>22415</v>
      </c>
      <c r="AW158" s="131">
        <f t="shared" si="722"/>
        <v>23315</v>
      </c>
      <c r="AX158" s="131">
        <f t="shared" si="723"/>
        <v>24215</v>
      </c>
      <c r="AY158" s="131">
        <f t="shared" si="724"/>
        <v>25115</v>
      </c>
      <c r="AZ158" s="131">
        <f t="shared" si="725"/>
        <v>26015</v>
      </c>
      <c r="BA158" s="131">
        <f t="shared" si="726"/>
        <v>26915</v>
      </c>
      <c r="BB158" s="131">
        <v>720000</v>
      </c>
      <c r="BC158" s="130">
        <v>1000000</v>
      </c>
      <c r="BD158" s="131">
        <f t="shared" si="731"/>
        <v>293505</v>
      </c>
      <c r="BE158" s="132">
        <f t="shared" si="732"/>
        <v>9930.6767036400397</v>
      </c>
      <c r="BF158" s="132">
        <f t="shared" si="733"/>
        <v>9340.6361667225774</v>
      </c>
      <c r="BG158" s="132">
        <f t="shared" si="734"/>
        <v>30169.768710502289</v>
      </c>
      <c r="BH158" s="132">
        <f t="shared" si="735"/>
        <v>49620.40879289998</v>
      </c>
      <c r="BI158" s="132">
        <f t="shared" si="736"/>
        <v>38992.825504677836</v>
      </c>
      <c r="BJ158" s="132">
        <f t="shared" si="737"/>
        <v>33722.43427657766</v>
      </c>
      <c r="BK158" s="132">
        <f t="shared" si="738"/>
        <v>24228.627264690585</v>
      </c>
      <c r="BL158" s="132">
        <f t="shared" si="739"/>
        <v>44049.661675815667</v>
      </c>
      <c r="BM158" s="132">
        <f t="shared" si="740"/>
        <v>46289.230437489765</v>
      </c>
      <c r="BN158" s="132">
        <f t="shared" si="741"/>
        <v>39986.020516889599</v>
      </c>
      <c r="BO158" s="132">
        <f t="shared" si="742"/>
        <v>29836.481428166619</v>
      </c>
      <c r="BP158" s="132">
        <f t="shared" si="743"/>
        <v>26915.619196634128</v>
      </c>
      <c r="BQ158" s="133">
        <f t="shared" si="727"/>
        <v>383082.39067470678</v>
      </c>
      <c r="BR158" s="130">
        <f t="shared" si="702"/>
        <v>157239.34125006109</v>
      </c>
      <c r="BS158" s="130">
        <f t="shared" si="709"/>
        <v>540321.73192476784</v>
      </c>
      <c r="BT158" s="130">
        <f t="shared" si="703"/>
        <v>833826.73192476784</v>
      </c>
      <c r="BU158" s="134">
        <f t="shared" si="829"/>
        <v>6498000</v>
      </c>
      <c r="BV158" s="135">
        <v>107</v>
      </c>
    </row>
    <row r="159" spans="1:74" s="110" customFormat="1" ht="13.5" customHeight="1" x14ac:dyDescent="0.2">
      <c r="A159" s="24">
        <v>151</v>
      </c>
      <c r="B159" s="24">
        <v>239</v>
      </c>
      <c r="C159" s="25" t="s">
        <v>152</v>
      </c>
      <c r="D159" s="26">
        <v>100000</v>
      </c>
      <c r="E159" s="26">
        <f t="shared" ref="E159:G159" si="837">+F159-15000</f>
        <v>860000</v>
      </c>
      <c r="F159" s="26">
        <f t="shared" si="837"/>
        <v>875000</v>
      </c>
      <c r="G159" s="26">
        <f t="shared" si="837"/>
        <v>890000</v>
      </c>
      <c r="H159" s="26">
        <f t="shared" ref="H159:O159" si="838">+I159-20000</f>
        <v>905000</v>
      </c>
      <c r="I159" s="26">
        <f t="shared" si="838"/>
        <v>925000</v>
      </c>
      <c r="J159" s="26">
        <f t="shared" si="838"/>
        <v>945000</v>
      </c>
      <c r="K159" s="26">
        <f t="shared" si="838"/>
        <v>965000</v>
      </c>
      <c r="L159" s="26">
        <f t="shared" si="838"/>
        <v>985000</v>
      </c>
      <c r="M159" s="26">
        <f t="shared" si="838"/>
        <v>1005000</v>
      </c>
      <c r="N159" s="26">
        <f t="shared" si="838"/>
        <v>1025000</v>
      </c>
      <c r="O159" s="26">
        <f t="shared" si="838"/>
        <v>1045000</v>
      </c>
      <c r="P159" s="26">
        <v>1065000</v>
      </c>
      <c r="Q159" s="26">
        <v>600000</v>
      </c>
      <c r="R159" s="26">
        <f>+Q159+100000</f>
        <v>700000</v>
      </c>
      <c r="S159" s="26">
        <f t="shared" si="835"/>
        <v>800000</v>
      </c>
      <c r="T159" s="26">
        <f t="shared" si="835"/>
        <v>900000</v>
      </c>
      <c r="U159" s="26">
        <f t="shared" si="835"/>
        <v>1000000</v>
      </c>
      <c r="V159" s="26">
        <v>0</v>
      </c>
      <c r="W159" s="26">
        <f t="shared" si="835"/>
        <v>100000</v>
      </c>
      <c r="X159" s="26">
        <f t="shared" si="835"/>
        <v>200000</v>
      </c>
      <c r="Y159" s="26">
        <f t="shared" si="835"/>
        <v>300000</v>
      </c>
      <c r="Z159" s="26">
        <f t="shared" si="835"/>
        <v>400000</v>
      </c>
      <c r="AA159" s="26">
        <f t="shared" si="835"/>
        <v>500000</v>
      </c>
      <c r="AB159" s="26">
        <v>600000</v>
      </c>
      <c r="AC159" s="26">
        <v>100000</v>
      </c>
      <c r="AD159" s="26">
        <v>0</v>
      </c>
      <c r="AE159" s="26">
        <v>0</v>
      </c>
      <c r="AF159" s="26">
        <f t="shared" ref="AF159:AM159" si="839">+AE159+100000</f>
        <v>100000</v>
      </c>
      <c r="AG159" s="26">
        <f t="shared" si="839"/>
        <v>200000</v>
      </c>
      <c r="AH159" s="26">
        <v>0</v>
      </c>
      <c r="AI159" s="26">
        <f t="shared" si="839"/>
        <v>100000</v>
      </c>
      <c r="AJ159" s="26">
        <f t="shared" si="839"/>
        <v>200000</v>
      </c>
      <c r="AK159" s="26">
        <v>100000</v>
      </c>
      <c r="AL159" s="26">
        <v>0</v>
      </c>
      <c r="AM159" s="26">
        <f t="shared" si="839"/>
        <v>100000</v>
      </c>
      <c r="AN159" s="26">
        <v>200000</v>
      </c>
      <c r="AO159" s="26">
        <f t="shared" si="714"/>
        <v>1965000</v>
      </c>
      <c r="AP159" s="27">
        <f t="shared" si="715"/>
        <v>3500</v>
      </c>
      <c r="AQ159" s="27">
        <f t="shared" si="716"/>
        <v>3500</v>
      </c>
      <c r="AR159" s="27">
        <f t="shared" si="717"/>
        <v>4000</v>
      </c>
      <c r="AS159" s="27">
        <f t="shared" si="718"/>
        <v>5000</v>
      </c>
      <c r="AT159" s="27">
        <f t="shared" si="719"/>
        <v>6000</v>
      </c>
      <c r="AU159" s="27">
        <f t="shared" si="720"/>
        <v>0</v>
      </c>
      <c r="AV159" s="27">
        <f t="shared" si="721"/>
        <v>1000</v>
      </c>
      <c r="AW159" s="27">
        <f t="shared" si="722"/>
        <v>2000</v>
      </c>
      <c r="AX159" s="27">
        <f t="shared" si="723"/>
        <v>2000</v>
      </c>
      <c r="AY159" s="27">
        <f t="shared" si="724"/>
        <v>2000</v>
      </c>
      <c r="AZ159" s="27">
        <f t="shared" si="725"/>
        <v>3000</v>
      </c>
      <c r="BA159" s="27">
        <f t="shared" si="726"/>
        <v>4000</v>
      </c>
      <c r="BB159" s="27">
        <v>780000</v>
      </c>
      <c r="BC159" s="26">
        <v>1664000</v>
      </c>
      <c r="BD159" s="27">
        <f t="shared" si="731"/>
        <v>36000</v>
      </c>
      <c r="BE159" s="28">
        <f t="shared" si="732"/>
        <v>2942.1601513550713</v>
      </c>
      <c r="BF159" s="28">
        <f t="shared" si="733"/>
        <v>2696.1167636154264</v>
      </c>
      <c r="BG159" s="28">
        <f t="shared" si="734"/>
        <v>8996.1495905045977</v>
      </c>
      <c r="BH159" s="28">
        <f t="shared" si="735"/>
        <v>16051.777933166257</v>
      </c>
      <c r="BI159" s="28">
        <f t="shared" si="736"/>
        <v>13560.33709720353</v>
      </c>
      <c r="BJ159" s="28">
        <f t="shared" si="737"/>
        <v>6528.3334233093101</v>
      </c>
      <c r="BK159" s="28">
        <f t="shared" si="738"/>
        <v>5475.0292050435137</v>
      </c>
      <c r="BL159" s="28">
        <f t="shared" si="739"/>
        <v>11282.122730007981</v>
      </c>
      <c r="BM159" s="28">
        <f t="shared" si="740"/>
        <v>11614.753552587879</v>
      </c>
      <c r="BN159" s="28">
        <f t="shared" si="741"/>
        <v>9838.4448674179785</v>
      </c>
      <c r="BO159" s="28">
        <f t="shared" si="742"/>
        <v>8137.6461538216245</v>
      </c>
      <c r="BP159" s="28">
        <f t="shared" si="743"/>
        <v>8015.9429708072239</v>
      </c>
      <c r="BQ159" s="29">
        <f t="shared" si="727"/>
        <v>105138.81443884039</v>
      </c>
      <c r="BR159" s="26">
        <f t="shared" si="702"/>
        <v>170342.61968756618</v>
      </c>
      <c r="BS159" s="26">
        <f t="shared" si="709"/>
        <v>275481.43412640656</v>
      </c>
      <c r="BT159" s="26">
        <f t="shared" si="703"/>
        <v>311481.43412640656</v>
      </c>
      <c r="BU159" s="111">
        <f t="shared" si="829"/>
        <v>1865000</v>
      </c>
      <c r="BV159" s="110">
        <v>108</v>
      </c>
    </row>
    <row r="160" spans="1:74" s="110" customFormat="1" ht="13.5" customHeight="1" x14ac:dyDescent="0.2">
      <c r="A160" s="24">
        <v>152</v>
      </c>
      <c r="B160" s="24">
        <v>240</v>
      </c>
      <c r="C160" s="25" t="s">
        <v>153</v>
      </c>
      <c r="D160" s="26">
        <v>100000</v>
      </c>
      <c r="E160" s="26">
        <f t="shared" ref="E160:G160" si="840">+F160-25000</f>
        <v>1230000</v>
      </c>
      <c r="F160" s="26">
        <f t="shared" si="840"/>
        <v>1255000</v>
      </c>
      <c r="G160" s="26">
        <f t="shared" si="840"/>
        <v>1280000</v>
      </c>
      <c r="H160" s="26">
        <f t="shared" ref="H160:O160" si="841">+I160-50000</f>
        <v>1305000</v>
      </c>
      <c r="I160" s="26">
        <f t="shared" si="841"/>
        <v>1355000</v>
      </c>
      <c r="J160" s="26">
        <f t="shared" si="841"/>
        <v>1405000</v>
      </c>
      <c r="K160" s="26">
        <f t="shared" si="841"/>
        <v>1455000</v>
      </c>
      <c r="L160" s="26">
        <f t="shared" si="841"/>
        <v>1505000</v>
      </c>
      <c r="M160" s="26">
        <f t="shared" si="841"/>
        <v>1555000</v>
      </c>
      <c r="N160" s="26">
        <f t="shared" si="841"/>
        <v>1605000</v>
      </c>
      <c r="O160" s="26">
        <f t="shared" si="841"/>
        <v>1655000</v>
      </c>
      <c r="P160" s="26">
        <v>1705000</v>
      </c>
      <c r="Q160" s="26">
        <v>1800000</v>
      </c>
      <c r="R160" s="26">
        <f>+Q160+300000</f>
        <v>2100000</v>
      </c>
      <c r="S160" s="26">
        <f t="shared" ref="S160:U160" si="842">+R160+300000</f>
        <v>2400000</v>
      </c>
      <c r="T160" s="26">
        <f t="shared" si="842"/>
        <v>2700000</v>
      </c>
      <c r="U160" s="26">
        <f t="shared" si="842"/>
        <v>3000000</v>
      </c>
      <c r="V160" s="26">
        <v>0</v>
      </c>
      <c r="W160" s="26">
        <f>+V160+350000</f>
        <v>350000</v>
      </c>
      <c r="X160" s="26">
        <f t="shared" ref="X160:AA160" si="843">+W160+350000</f>
        <v>700000</v>
      </c>
      <c r="Y160" s="26">
        <f t="shared" si="843"/>
        <v>1050000</v>
      </c>
      <c r="Z160" s="26">
        <f t="shared" si="843"/>
        <v>1400000</v>
      </c>
      <c r="AA160" s="26">
        <f t="shared" si="843"/>
        <v>1750000</v>
      </c>
      <c r="AB160" s="26">
        <v>2100000</v>
      </c>
      <c r="AC160" s="26">
        <v>3175000</v>
      </c>
      <c r="AD160" s="26">
        <f>+AC160+250000</f>
        <v>3425000</v>
      </c>
      <c r="AE160" s="26">
        <f t="shared" ref="AE160:AM160" si="844">+AD160+250000</f>
        <v>3675000</v>
      </c>
      <c r="AF160" s="26">
        <f t="shared" si="844"/>
        <v>3925000</v>
      </c>
      <c r="AG160" s="26">
        <f t="shared" si="844"/>
        <v>4175000</v>
      </c>
      <c r="AH160" s="26">
        <f t="shared" si="844"/>
        <v>4425000</v>
      </c>
      <c r="AI160" s="26">
        <f t="shared" si="844"/>
        <v>4675000</v>
      </c>
      <c r="AJ160" s="26">
        <f t="shared" si="844"/>
        <v>4925000</v>
      </c>
      <c r="AK160" s="26">
        <f t="shared" si="844"/>
        <v>5175000</v>
      </c>
      <c r="AL160" s="26">
        <f t="shared" si="844"/>
        <v>5425000</v>
      </c>
      <c r="AM160" s="26">
        <f t="shared" si="844"/>
        <v>5675000</v>
      </c>
      <c r="AN160" s="26">
        <v>5925000</v>
      </c>
      <c r="AO160" s="26">
        <f t="shared" si="714"/>
        <v>9830000</v>
      </c>
      <c r="AP160" s="27">
        <f t="shared" si="715"/>
        <v>24875</v>
      </c>
      <c r="AQ160" s="27">
        <f t="shared" si="716"/>
        <v>27625</v>
      </c>
      <c r="AR160" s="27">
        <f t="shared" si="717"/>
        <v>30375</v>
      </c>
      <c r="AS160" s="27">
        <f t="shared" si="718"/>
        <v>33125</v>
      </c>
      <c r="AT160" s="27">
        <f t="shared" si="719"/>
        <v>35875</v>
      </c>
      <c r="AU160" s="27">
        <f t="shared" si="720"/>
        <v>22125</v>
      </c>
      <c r="AV160" s="27">
        <f t="shared" si="721"/>
        <v>25125</v>
      </c>
      <c r="AW160" s="27">
        <f t="shared" si="722"/>
        <v>28125</v>
      </c>
      <c r="AX160" s="27">
        <f t="shared" si="723"/>
        <v>31125</v>
      </c>
      <c r="AY160" s="27">
        <f t="shared" si="724"/>
        <v>34125</v>
      </c>
      <c r="AZ160" s="27">
        <f t="shared" si="725"/>
        <v>37125</v>
      </c>
      <c r="BA160" s="27">
        <f t="shared" si="726"/>
        <v>40125</v>
      </c>
      <c r="BB160" s="27">
        <v>600000</v>
      </c>
      <c r="BC160" s="26">
        <v>16666000</v>
      </c>
      <c r="BD160" s="27">
        <f t="shared" si="731"/>
        <v>369750</v>
      </c>
      <c r="BE160" s="28">
        <f t="shared" si="732"/>
        <v>11174.891418249232</v>
      </c>
      <c r="BF160" s="28">
        <f t="shared" si="733"/>
        <v>11074.199005178587</v>
      </c>
      <c r="BG160" s="28">
        <f t="shared" si="734"/>
        <v>37467.204020788704</v>
      </c>
      <c r="BH160" s="28">
        <f t="shared" si="735"/>
        <v>64287.170475473831</v>
      </c>
      <c r="BI160" s="28">
        <f t="shared" si="736"/>
        <v>52595.824336569196</v>
      </c>
      <c r="BJ160" s="28">
        <f t="shared" si="737"/>
        <v>37045.949473898763</v>
      </c>
      <c r="BK160" s="28">
        <f t="shared" si="738"/>
        <v>28478.808038882467</v>
      </c>
      <c r="BL160" s="28">
        <f t="shared" si="739"/>
        <v>54929.122786503503</v>
      </c>
      <c r="BM160" s="28">
        <f t="shared" si="740"/>
        <v>60813.460461390358</v>
      </c>
      <c r="BN160" s="28">
        <f t="shared" si="741"/>
        <v>55030.776864967447</v>
      </c>
      <c r="BO160" s="28">
        <f t="shared" si="742"/>
        <v>42810.081198901149</v>
      </c>
      <c r="BP160" s="28">
        <f t="shared" si="743"/>
        <v>40100.111655488552</v>
      </c>
      <c r="BQ160" s="29">
        <f t="shared" si="727"/>
        <v>495807.59973629186</v>
      </c>
      <c r="BR160" s="26">
        <f t="shared" si="702"/>
        <v>131032.78437505091</v>
      </c>
      <c r="BS160" s="26">
        <f t="shared" si="709"/>
        <v>626840.38411134272</v>
      </c>
      <c r="BT160" s="26">
        <f t="shared" si="703"/>
        <v>996590.38411134272</v>
      </c>
      <c r="BU160" s="111">
        <f t="shared" si="829"/>
        <v>9730000</v>
      </c>
      <c r="BV160" s="110">
        <v>109</v>
      </c>
    </row>
    <row r="161" spans="1:74" s="135" customFormat="1" ht="13.5" customHeight="1" x14ac:dyDescent="0.2">
      <c r="A161" s="128">
        <v>153</v>
      </c>
      <c r="B161" s="128">
        <v>241</v>
      </c>
      <c r="C161" s="129" t="s">
        <v>154</v>
      </c>
      <c r="D161" s="130">
        <v>100000</v>
      </c>
      <c r="E161" s="130">
        <f t="shared" ref="E161:G161" si="845">+F161-15000</f>
        <v>740000</v>
      </c>
      <c r="F161" s="130">
        <f t="shared" si="845"/>
        <v>755000</v>
      </c>
      <c r="G161" s="130">
        <f t="shared" si="845"/>
        <v>770000</v>
      </c>
      <c r="H161" s="130">
        <f t="shared" ref="H161:O161" si="846">+I161-20000</f>
        <v>785000</v>
      </c>
      <c r="I161" s="130">
        <f t="shared" si="846"/>
        <v>805000</v>
      </c>
      <c r="J161" s="130">
        <f t="shared" si="846"/>
        <v>825000</v>
      </c>
      <c r="K161" s="130">
        <f t="shared" si="846"/>
        <v>845000</v>
      </c>
      <c r="L161" s="130">
        <f t="shared" si="846"/>
        <v>865000</v>
      </c>
      <c r="M161" s="130">
        <f t="shared" si="846"/>
        <v>885000</v>
      </c>
      <c r="N161" s="130">
        <f t="shared" si="846"/>
        <v>905000</v>
      </c>
      <c r="O161" s="130">
        <f t="shared" si="846"/>
        <v>925000</v>
      </c>
      <c r="P161" s="130">
        <v>945000</v>
      </c>
      <c r="Q161" s="130">
        <v>600000</v>
      </c>
      <c r="R161" s="130">
        <f>+Q161+100000</f>
        <v>700000</v>
      </c>
      <c r="S161" s="130">
        <f t="shared" ref="S161:U161" si="847">+R161+100000</f>
        <v>800000</v>
      </c>
      <c r="T161" s="130">
        <f t="shared" si="847"/>
        <v>900000</v>
      </c>
      <c r="U161" s="130">
        <f t="shared" si="847"/>
        <v>1000000</v>
      </c>
      <c r="V161" s="130">
        <v>0</v>
      </c>
      <c r="W161" s="130">
        <v>0</v>
      </c>
      <c r="X161" s="130">
        <f>+W161+200000</f>
        <v>200000</v>
      </c>
      <c r="Y161" s="130">
        <f>100000+X161</f>
        <v>300000</v>
      </c>
      <c r="Z161" s="130">
        <v>300000</v>
      </c>
      <c r="AA161" s="130">
        <f>+Z161+200000</f>
        <v>500000</v>
      </c>
      <c r="AB161" s="130">
        <v>600000</v>
      </c>
      <c r="AC161" s="130">
        <v>507000</v>
      </c>
      <c r="AD161" s="130">
        <f>+AC161+100000</f>
        <v>607000</v>
      </c>
      <c r="AE161" s="130">
        <f>+AD161+100000-600000</f>
        <v>107000</v>
      </c>
      <c r="AF161" s="130">
        <f t="shared" ref="AF161:AK161" si="848">+AE161+100000</f>
        <v>207000</v>
      </c>
      <c r="AG161" s="130">
        <f t="shared" si="848"/>
        <v>307000</v>
      </c>
      <c r="AH161" s="130">
        <f t="shared" si="848"/>
        <v>407000</v>
      </c>
      <c r="AI161" s="130">
        <v>407000</v>
      </c>
      <c r="AJ161" s="130">
        <f>+AI161+200000</f>
        <v>607000</v>
      </c>
      <c r="AK161" s="130">
        <f t="shared" si="848"/>
        <v>707000</v>
      </c>
      <c r="AL161" s="130">
        <f>+AK161</f>
        <v>707000</v>
      </c>
      <c r="AM161" s="130">
        <f>+AL161+200000</f>
        <v>907000</v>
      </c>
      <c r="AN161" s="130">
        <v>1007000</v>
      </c>
      <c r="AO161" s="130">
        <f t="shared" si="714"/>
        <v>2652000</v>
      </c>
      <c r="AP161" s="131">
        <f t="shared" si="715"/>
        <v>5535</v>
      </c>
      <c r="AQ161" s="131">
        <f t="shared" si="716"/>
        <v>6535</v>
      </c>
      <c r="AR161" s="131">
        <f t="shared" si="717"/>
        <v>4535</v>
      </c>
      <c r="AS161" s="131">
        <f t="shared" si="718"/>
        <v>5535</v>
      </c>
      <c r="AT161" s="131">
        <f t="shared" si="719"/>
        <v>6535</v>
      </c>
      <c r="AU161" s="131">
        <f t="shared" si="720"/>
        <v>2035</v>
      </c>
      <c r="AV161" s="131">
        <f t="shared" si="721"/>
        <v>2035</v>
      </c>
      <c r="AW161" s="131">
        <f t="shared" si="722"/>
        <v>4035</v>
      </c>
      <c r="AX161" s="131">
        <f t="shared" si="723"/>
        <v>5035</v>
      </c>
      <c r="AY161" s="131">
        <f t="shared" si="724"/>
        <v>5035</v>
      </c>
      <c r="AZ161" s="131">
        <f t="shared" si="725"/>
        <v>7035</v>
      </c>
      <c r="BA161" s="131">
        <f t="shared" si="726"/>
        <v>8035</v>
      </c>
      <c r="BB161" s="131">
        <v>900000</v>
      </c>
      <c r="BC161" s="130">
        <v>2081000</v>
      </c>
      <c r="BD161" s="131">
        <f t="shared" si="731"/>
        <v>61920</v>
      </c>
      <c r="BE161" s="132">
        <f t="shared" si="732"/>
        <v>3450.8348281254962</v>
      </c>
      <c r="BF161" s="132">
        <f t="shared" si="733"/>
        <v>3480.0026524994337</v>
      </c>
      <c r="BG161" s="132">
        <f t="shared" si="734"/>
        <v>8930.8144258808206</v>
      </c>
      <c r="BH161" s="132">
        <f t="shared" si="735"/>
        <v>15947.701567514805</v>
      </c>
      <c r="BI161" s="132">
        <f t="shared" si="736"/>
        <v>13481.108161354699</v>
      </c>
      <c r="BJ161" s="132">
        <f t="shared" si="737"/>
        <v>8321.282411337801</v>
      </c>
      <c r="BK161" s="132">
        <f t="shared" si="738"/>
        <v>5851.5727155880086</v>
      </c>
      <c r="BL161" s="132">
        <f t="shared" si="739"/>
        <v>13462.573385571812</v>
      </c>
      <c r="BM161" s="132">
        <f t="shared" si="740"/>
        <v>15373.148888209338</v>
      </c>
      <c r="BN161" s="132">
        <f t="shared" si="741"/>
        <v>12980.295785734408</v>
      </c>
      <c r="BO161" s="132">
        <f t="shared" si="742"/>
        <v>11341.407132432201</v>
      </c>
      <c r="BP161" s="132">
        <f t="shared" si="743"/>
        <v>10818.463490371887</v>
      </c>
      <c r="BQ161" s="133">
        <f t="shared" si="727"/>
        <v>123439.2054446207</v>
      </c>
      <c r="BR161" s="130">
        <f t="shared" si="702"/>
        <v>196549.17656257635</v>
      </c>
      <c r="BS161" s="130">
        <f t="shared" si="709"/>
        <v>319988.38200719707</v>
      </c>
      <c r="BT161" s="130">
        <f t="shared" si="703"/>
        <v>381908.38200719707</v>
      </c>
      <c r="BU161" s="134">
        <f t="shared" si="829"/>
        <v>2552000</v>
      </c>
      <c r="BV161" s="135">
        <v>110</v>
      </c>
    </row>
    <row r="162" spans="1:74" s="110" customFormat="1" ht="13.5" customHeight="1" x14ac:dyDescent="0.2">
      <c r="A162" s="24">
        <v>154</v>
      </c>
      <c r="B162" s="24">
        <v>244</v>
      </c>
      <c r="C162" s="25" t="s">
        <v>155</v>
      </c>
      <c r="D162" s="26">
        <v>100000</v>
      </c>
      <c r="E162" s="26">
        <f t="shared" ref="E162:G162" si="849">+F162-15000</f>
        <v>660000</v>
      </c>
      <c r="F162" s="26">
        <f t="shared" si="849"/>
        <v>675000</v>
      </c>
      <c r="G162" s="26">
        <f t="shared" si="849"/>
        <v>690000</v>
      </c>
      <c r="H162" s="26">
        <f t="shared" ref="H162:O162" si="850">+I162-20000</f>
        <v>705000</v>
      </c>
      <c r="I162" s="26">
        <f t="shared" si="850"/>
        <v>725000</v>
      </c>
      <c r="J162" s="26">
        <f t="shared" si="850"/>
        <v>745000</v>
      </c>
      <c r="K162" s="26">
        <f t="shared" si="850"/>
        <v>765000</v>
      </c>
      <c r="L162" s="26">
        <f t="shared" si="850"/>
        <v>785000</v>
      </c>
      <c r="M162" s="26">
        <f t="shared" si="850"/>
        <v>805000</v>
      </c>
      <c r="N162" s="26">
        <f t="shared" si="850"/>
        <v>825000</v>
      </c>
      <c r="O162" s="26">
        <f t="shared" si="850"/>
        <v>845000</v>
      </c>
      <c r="P162" s="26">
        <v>865000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300000</v>
      </c>
      <c r="Y162" s="26">
        <f>+X162+100000</f>
        <v>400000</v>
      </c>
      <c r="Z162" s="26">
        <f t="shared" ref="Z162:AA162" si="851">+Y162+100000</f>
        <v>500000</v>
      </c>
      <c r="AA162" s="26">
        <f t="shared" si="851"/>
        <v>600000</v>
      </c>
      <c r="AB162" s="26">
        <v>700000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0</v>
      </c>
      <c r="AJ162" s="26">
        <v>0</v>
      </c>
      <c r="AK162" s="26">
        <v>0</v>
      </c>
      <c r="AL162" s="26">
        <v>0</v>
      </c>
      <c r="AM162" s="26">
        <v>0</v>
      </c>
      <c r="AN162" s="26">
        <v>0</v>
      </c>
      <c r="AO162" s="26">
        <f t="shared" si="714"/>
        <v>1665000</v>
      </c>
      <c r="AP162" s="27">
        <f t="shared" si="715"/>
        <v>0</v>
      </c>
      <c r="AQ162" s="27">
        <f t="shared" si="716"/>
        <v>0</v>
      </c>
      <c r="AR162" s="27">
        <f t="shared" si="717"/>
        <v>0</v>
      </c>
      <c r="AS162" s="27">
        <f t="shared" si="718"/>
        <v>0</v>
      </c>
      <c r="AT162" s="27">
        <f t="shared" si="719"/>
        <v>0</v>
      </c>
      <c r="AU162" s="27">
        <f t="shared" si="720"/>
        <v>0</v>
      </c>
      <c r="AV162" s="27">
        <f t="shared" si="721"/>
        <v>0</v>
      </c>
      <c r="AW162" s="27">
        <f t="shared" si="722"/>
        <v>1500</v>
      </c>
      <c r="AX162" s="27">
        <f t="shared" si="723"/>
        <v>2000</v>
      </c>
      <c r="AY162" s="27">
        <f t="shared" si="724"/>
        <v>2500</v>
      </c>
      <c r="AZ162" s="27">
        <f t="shared" si="725"/>
        <v>3000</v>
      </c>
      <c r="BA162" s="27">
        <f t="shared" si="726"/>
        <v>3500</v>
      </c>
      <c r="BB162" s="27">
        <v>900000</v>
      </c>
      <c r="BC162" s="26">
        <v>2000000</v>
      </c>
      <c r="BD162" s="27">
        <f t="shared" si="731"/>
        <v>12500</v>
      </c>
      <c r="BE162" s="28">
        <f t="shared" si="732"/>
        <v>1347.0130813432856</v>
      </c>
      <c r="BF162" s="28">
        <f t="shared" si="733"/>
        <v>1247.4570100310182</v>
      </c>
      <c r="BG162" s="28">
        <f t="shared" si="734"/>
        <v>3970.3676963679509</v>
      </c>
      <c r="BH162" s="28">
        <f t="shared" si="735"/>
        <v>6444.7287961091452</v>
      </c>
      <c r="BI162" s="28">
        <f t="shared" si="736"/>
        <v>5027.9901596372638</v>
      </c>
      <c r="BJ162" s="28">
        <f t="shared" si="737"/>
        <v>5278.8916198051365</v>
      </c>
      <c r="BK162" s="28">
        <f t="shared" si="738"/>
        <v>3743.7946738044579</v>
      </c>
      <c r="BL162" s="28">
        <f t="shared" si="739"/>
        <v>9002.9060168750548</v>
      </c>
      <c r="BM162" s="28">
        <f t="shared" si="740"/>
        <v>10071.264708390154</v>
      </c>
      <c r="BN162" s="28">
        <f t="shared" si="741"/>
        <v>9193.300941685653</v>
      </c>
      <c r="BO162" s="28">
        <f t="shared" si="742"/>
        <v>7204.9646462202918</v>
      </c>
      <c r="BP162" s="28">
        <f t="shared" si="743"/>
        <v>6792.1348836610823</v>
      </c>
      <c r="BQ162" s="29">
        <f t="shared" si="727"/>
        <v>69324.81423393049</v>
      </c>
      <c r="BR162" s="26">
        <f t="shared" si="702"/>
        <v>196549.17656257635</v>
      </c>
      <c r="BS162" s="26">
        <f t="shared" si="709"/>
        <v>265873.99079650687</v>
      </c>
      <c r="BT162" s="26">
        <f t="shared" si="703"/>
        <v>278373.99079650687</v>
      </c>
      <c r="BU162" s="111">
        <f t="shared" si="829"/>
        <v>1565000</v>
      </c>
      <c r="BV162" s="110">
        <v>111</v>
      </c>
    </row>
    <row r="163" spans="1:74" s="110" customFormat="1" ht="13.5" customHeight="1" x14ac:dyDescent="0.2">
      <c r="A163" s="24">
        <v>155</v>
      </c>
      <c r="B163" s="24">
        <v>245</v>
      </c>
      <c r="C163" s="25" t="s">
        <v>156</v>
      </c>
      <c r="D163" s="26">
        <v>100000</v>
      </c>
      <c r="E163" s="26">
        <f t="shared" ref="E163:G163" si="852">+F163-15000</f>
        <v>660000</v>
      </c>
      <c r="F163" s="26">
        <f t="shared" si="852"/>
        <v>675000</v>
      </c>
      <c r="G163" s="26">
        <f t="shared" si="852"/>
        <v>690000</v>
      </c>
      <c r="H163" s="26">
        <f t="shared" ref="H163:O163" si="853">+I163-20000</f>
        <v>705000</v>
      </c>
      <c r="I163" s="26">
        <f t="shared" si="853"/>
        <v>725000</v>
      </c>
      <c r="J163" s="26">
        <f t="shared" si="853"/>
        <v>745000</v>
      </c>
      <c r="K163" s="26">
        <f t="shared" si="853"/>
        <v>765000</v>
      </c>
      <c r="L163" s="26">
        <f t="shared" si="853"/>
        <v>785000</v>
      </c>
      <c r="M163" s="26">
        <f t="shared" si="853"/>
        <v>805000</v>
      </c>
      <c r="N163" s="26">
        <f t="shared" si="853"/>
        <v>825000</v>
      </c>
      <c r="O163" s="26">
        <f t="shared" si="853"/>
        <v>845000</v>
      </c>
      <c r="P163" s="26">
        <v>865000</v>
      </c>
      <c r="Q163" s="26">
        <v>150000</v>
      </c>
      <c r="R163" s="26">
        <f>+Q163+25000</f>
        <v>175000</v>
      </c>
      <c r="S163" s="26">
        <f t="shared" ref="S163:U163" si="854">+R163+25000</f>
        <v>200000</v>
      </c>
      <c r="T163" s="26">
        <f t="shared" si="854"/>
        <v>225000</v>
      </c>
      <c r="U163" s="26">
        <f t="shared" si="854"/>
        <v>250000</v>
      </c>
      <c r="V163" s="26">
        <v>0</v>
      </c>
      <c r="W163" s="26">
        <f>+V163+50000</f>
        <v>50000</v>
      </c>
      <c r="X163" s="26">
        <f t="shared" ref="X163:AA163" si="855">+W163+50000</f>
        <v>100000</v>
      </c>
      <c r="Y163" s="26">
        <f t="shared" si="855"/>
        <v>150000</v>
      </c>
      <c r="Z163" s="26">
        <f t="shared" si="855"/>
        <v>200000</v>
      </c>
      <c r="AA163" s="26">
        <f t="shared" si="855"/>
        <v>250000</v>
      </c>
      <c r="AB163" s="26">
        <v>300000</v>
      </c>
      <c r="AC163" s="26">
        <v>10000</v>
      </c>
      <c r="AD163" s="26">
        <f>+AC163+10000</f>
        <v>20000</v>
      </c>
      <c r="AE163" s="26">
        <f t="shared" ref="AE163:AM163" si="856">+AD163+10000</f>
        <v>30000</v>
      </c>
      <c r="AF163" s="26">
        <f t="shared" si="856"/>
        <v>40000</v>
      </c>
      <c r="AG163" s="26">
        <f t="shared" si="856"/>
        <v>50000</v>
      </c>
      <c r="AH163" s="26">
        <f t="shared" si="856"/>
        <v>60000</v>
      </c>
      <c r="AI163" s="26">
        <f t="shared" si="856"/>
        <v>70000</v>
      </c>
      <c r="AJ163" s="26">
        <v>30000</v>
      </c>
      <c r="AK163" s="26">
        <f t="shared" si="856"/>
        <v>40000</v>
      </c>
      <c r="AL163" s="26">
        <f t="shared" si="856"/>
        <v>50000</v>
      </c>
      <c r="AM163" s="26">
        <f t="shared" si="856"/>
        <v>60000</v>
      </c>
      <c r="AN163" s="26">
        <v>70000</v>
      </c>
      <c r="AO163" s="26">
        <f t="shared" si="714"/>
        <v>1335000</v>
      </c>
      <c r="AP163" s="27">
        <f t="shared" si="715"/>
        <v>800</v>
      </c>
      <c r="AQ163" s="27">
        <f t="shared" si="716"/>
        <v>975</v>
      </c>
      <c r="AR163" s="27">
        <f t="shared" si="717"/>
        <v>1150</v>
      </c>
      <c r="AS163" s="27">
        <f t="shared" si="718"/>
        <v>1325</v>
      </c>
      <c r="AT163" s="27">
        <f t="shared" si="719"/>
        <v>1500</v>
      </c>
      <c r="AU163" s="27">
        <f t="shared" si="720"/>
        <v>300</v>
      </c>
      <c r="AV163" s="27">
        <f t="shared" si="721"/>
        <v>600</v>
      </c>
      <c r="AW163" s="27">
        <f t="shared" si="722"/>
        <v>650</v>
      </c>
      <c r="AX163" s="27">
        <f t="shared" si="723"/>
        <v>950</v>
      </c>
      <c r="AY163" s="27">
        <f t="shared" si="724"/>
        <v>1250</v>
      </c>
      <c r="AZ163" s="27">
        <f t="shared" si="725"/>
        <v>1550</v>
      </c>
      <c r="BA163" s="27">
        <f t="shared" si="726"/>
        <v>1850</v>
      </c>
      <c r="BB163" s="27">
        <v>825000</v>
      </c>
      <c r="BC163" s="26">
        <v>2500000</v>
      </c>
      <c r="BD163" s="27">
        <f t="shared" si="731"/>
        <v>12900</v>
      </c>
      <c r="BE163" s="28">
        <f t="shared" si="732"/>
        <v>1630.5947826787142</v>
      </c>
      <c r="BF163" s="28">
        <f t="shared" si="733"/>
        <v>1561.3332899743066</v>
      </c>
      <c r="BG163" s="28">
        <f t="shared" si="734"/>
        <v>5126.29753201938</v>
      </c>
      <c r="BH163" s="28">
        <f t="shared" si="735"/>
        <v>8566.2854805425904</v>
      </c>
      <c r="BI163" s="28">
        <f t="shared" si="736"/>
        <v>6856.350217687178</v>
      </c>
      <c r="BJ163" s="28">
        <f t="shared" si="737"/>
        <v>5653.7241608563882</v>
      </c>
      <c r="BK163" s="28">
        <f t="shared" si="738"/>
        <v>4263.1650331761748</v>
      </c>
      <c r="BL163" s="28">
        <f t="shared" si="739"/>
        <v>7711.3498794330644</v>
      </c>
      <c r="BM163" s="28">
        <f t="shared" si="740"/>
        <v>8450.6014219825429</v>
      </c>
      <c r="BN163" s="28">
        <f t="shared" si="741"/>
        <v>7580.4411273548367</v>
      </c>
      <c r="BO163" s="28">
        <f t="shared" si="742"/>
        <v>5852.5764601983601</v>
      </c>
      <c r="BP163" s="28">
        <f t="shared" si="743"/>
        <v>5445.9459878003272</v>
      </c>
      <c r="BQ163" s="29">
        <f t="shared" si="727"/>
        <v>68698.665373703872</v>
      </c>
      <c r="BR163" s="26">
        <f t="shared" si="702"/>
        <v>180170.078515695</v>
      </c>
      <c r="BS163" s="26">
        <f t="shared" si="709"/>
        <v>248868.74388939887</v>
      </c>
      <c r="BT163" s="26">
        <f t="shared" si="703"/>
        <v>261768.74388939887</v>
      </c>
      <c r="BU163" s="111">
        <f t="shared" si="829"/>
        <v>1235000</v>
      </c>
      <c r="BV163" s="110">
        <v>112</v>
      </c>
    </row>
    <row r="164" spans="1:74" s="110" customFormat="1" ht="13.5" customHeight="1" x14ac:dyDescent="0.2">
      <c r="A164" s="24">
        <v>156</v>
      </c>
      <c r="B164" s="24">
        <v>246</v>
      </c>
      <c r="C164" s="25" t="s">
        <v>157</v>
      </c>
      <c r="D164" s="26">
        <v>100000</v>
      </c>
      <c r="E164" s="26">
        <f t="shared" ref="E164:G164" si="857">+F164-15000</f>
        <v>650000</v>
      </c>
      <c r="F164" s="26">
        <f t="shared" si="857"/>
        <v>665000</v>
      </c>
      <c r="G164" s="26">
        <f t="shared" si="857"/>
        <v>680000</v>
      </c>
      <c r="H164" s="26">
        <f t="shared" ref="H164:O164" si="858">+I164-20000</f>
        <v>695000</v>
      </c>
      <c r="I164" s="26">
        <f t="shared" si="858"/>
        <v>715000</v>
      </c>
      <c r="J164" s="26">
        <f t="shared" si="858"/>
        <v>735000</v>
      </c>
      <c r="K164" s="26">
        <f t="shared" si="858"/>
        <v>755000</v>
      </c>
      <c r="L164" s="26">
        <f t="shared" si="858"/>
        <v>775000</v>
      </c>
      <c r="M164" s="26">
        <f t="shared" si="858"/>
        <v>795000</v>
      </c>
      <c r="N164" s="26">
        <f t="shared" si="858"/>
        <v>815000</v>
      </c>
      <c r="O164" s="26">
        <f t="shared" si="858"/>
        <v>835000</v>
      </c>
      <c r="P164" s="26">
        <v>855000</v>
      </c>
      <c r="Q164" s="26">
        <v>180000</v>
      </c>
      <c r="R164" s="26">
        <f>+Q164+30000</f>
        <v>210000</v>
      </c>
      <c r="S164" s="26">
        <f t="shared" ref="S164:U164" si="859">+R164+30000</f>
        <v>240000</v>
      </c>
      <c r="T164" s="26">
        <f t="shared" si="859"/>
        <v>270000</v>
      </c>
      <c r="U164" s="26">
        <f t="shared" si="859"/>
        <v>300000</v>
      </c>
      <c r="V164" s="26">
        <v>0</v>
      </c>
      <c r="W164" s="26">
        <f>+V164+100000</f>
        <v>100000</v>
      </c>
      <c r="X164" s="26">
        <f t="shared" ref="X164:AA164" si="860">+W164+100000</f>
        <v>200000</v>
      </c>
      <c r="Y164" s="26">
        <f t="shared" si="860"/>
        <v>300000</v>
      </c>
      <c r="Z164" s="26">
        <f t="shared" si="860"/>
        <v>400000</v>
      </c>
      <c r="AA164" s="26">
        <f t="shared" si="860"/>
        <v>500000</v>
      </c>
      <c r="AB164" s="26">
        <v>600000</v>
      </c>
      <c r="AC164" s="26">
        <v>30000</v>
      </c>
      <c r="AD164" s="26">
        <f>+AC164+10000</f>
        <v>40000</v>
      </c>
      <c r="AE164" s="26">
        <f t="shared" ref="AE164:AM164" si="861">+AD164+10000</f>
        <v>50000</v>
      </c>
      <c r="AF164" s="26">
        <f t="shared" si="861"/>
        <v>60000</v>
      </c>
      <c r="AG164" s="26">
        <v>20000</v>
      </c>
      <c r="AH164" s="26">
        <f t="shared" si="861"/>
        <v>30000</v>
      </c>
      <c r="AI164" s="26">
        <f t="shared" si="861"/>
        <v>40000</v>
      </c>
      <c r="AJ164" s="26">
        <f t="shared" si="861"/>
        <v>50000</v>
      </c>
      <c r="AK164" s="26">
        <f t="shared" si="861"/>
        <v>60000</v>
      </c>
      <c r="AL164" s="26">
        <v>0</v>
      </c>
      <c r="AM164" s="26">
        <f t="shared" si="861"/>
        <v>10000</v>
      </c>
      <c r="AN164" s="26">
        <v>20000</v>
      </c>
      <c r="AO164" s="26">
        <f t="shared" si="714"/>
        <v>1575000</v>
      </c>
      <c r="AP164" s="27">
        <f t="shared" si="715"/>
        <v>1050</v>
      </c>
      <c r="AQ164" s="27">
        <f t="shared" si="716"/>
        <v>1250</v>
      </c>
      <c r="AR164" s="27">
        <f t="shared" si="717"/>
        <v>1450</v>
      </c>
      <c r="AS164" s="27">
        <f t="shared" si="718"/>
        <v>1650</v>
      </c>
      <c r="AT164" s="27">
        <f t="shared" si="719"/>
        <v>1600</v>
      </c>
      <c r="AU164" s="27">
        <f t="shared" si="720"/>
        <v>150</v>
      </c>
      <c r="AV164" s="27">
        <f t="shared" si="721"/>
        <v>700</v>
      </c>
      <c r="AW164" s="27">
        <f t="shared" si="722"/>
        <v>1250</v>
      </c>
      <c r="AX164" s="27">
        <f t="shared" si="723"/>
        <v>1800</v>
      </c>
      <c r="AY164" s="27">
        <f t="shared" si="724"/>
        <v>2000</v>
      </c>
      <c r="AZ164" s="27">
        <f t="shared" si="725"/>
        <v>2550</v>
      </c>
      <c r="BA164" s="27">
        <f t="shared" si="726"/>
        <v>3100</v>
      </c>
      <c r="BB164" s="27">
        <v>900000</v>
      </c>
      <c r="BC164" s="26">
        <v>1500000</v>
      </c>
      <c r="BD164" s="27">
        <f t="shared" si="731"/>
        <v>18550</v>
      </c>
      <c r="BE164" s="28">
        <f t="shared" si="732"/>
        <v>1701.4902080125714</v>
      </c>
      <c r="BF164" s="28">
        <f t="shared" si="733"/>
        <v>1633.7662776535269</v>
      </c>
      <c r="BG164" s="28">
        <f t="shared" si="734"/>
        <v>5377.5866267262118</v>
      </c>
      <c r="BH164" s="28">
        <f t="shared" si="735"/>
        <v>9006.6085659910423</v>
      </c>
      <c r="BI164" s="28">
        <f t="shared" si="736"/>
        <v>6917.2955529555084</v>
      </c>
      <c r="BJ164" s="28">
        <f t="shared" si="737"/>
        <v>5403.8358001555534</v>
      </c>
      <c r="BK164" s="28">
        <f t="shared" si="738"/>
        <v>4306.4458964571513</v>
      </c>
      <c r="BL164" s="28">
        <f t="shared" si="739"/>
        <v>8547.0626742484692</v>
      </c>
      <c r="BM164" s="28">
        <f t="shared" si="740"/>
        <v>9685.3924973407229</v>
      </c>
      <c r="BN164" s="28">
        <f t="shared" si="741"/>
        <v>8483.6426233800939</v>
      </c>
      <c r="BO164" s="28">
        <f t="shared" si="742"/>
        <v>6738.6238924196259</v>
      </c>
      <c r="BP164" s="28">
        <f t="shared" si="743"/>
        <v>6424.9924575172399</v>
      </c>
      <c r="BQ164" s="29">
        <f t="shared" si="727"/>
        <v>74226.743072857716</v>
      </c>
      <c r="BR164" s="26">
        <f t="shared" si="702"/>
        <v>196549.17656257635</v>
      </c>
      <c r="BS164" s="26">
        <f t="shared" si="709"/>
        <v>270775.91963543405</v>
      </c>
      <c r="BT164" s="26">
        <f t="shared" si="703"/>
        <v>289325.91963543405</v>
      </c>
      <c r="BU164" s="111">
        <f t="shared" si="829"/>
        <v>1475000</v>
      </c>
      <c r="BV164" s="110">
        <v>113</v>
      </c>
    </row>
    <row r="165" spans="1:74" s="110" customFormat="1" ht="13.5" customHeight="1" x14ac:dyDescent="0.2">
      <c r="A165" s="24">
        <v>157</v>
      </c>
      <c r="B165" s="24">
        <v>247</v>
      </c>
      <c r="C165" s="25" t="s">
        <v>158</v>
      </c>
      <c r="D165" s="26">
        <v>100000</v>
      </c>
      <c r="E165" s="26">
        <f t="shared" ref="E165:G165" si="862">+F165-15000</f>
        <v>650000</v>
      </c>
      <c r="F165" s="26">
        <f t="shared" si="862"/>
        <v>665000</v>
      </c>
      <c r="G165" s="26">
        <f t="shared" si="862"/>
        <v>680000</v>
      </c>
      <c r="H165" s="26">
        <f t="shared" ref="H165:O165" si="863">+I165-20000</f>
        <v>695000</v>
      </c>
      <c r="I165" s="26">
        <f t="shared" si="863"/>
        <v>715000</v>
      </c>
      <c r="J165" s="26">
        <f t="shared" si="863"/>
        <v>735000</v>
      </c>
      <c r="K165" s="26">
        <f t="shared" si="863"/>
        <v>755000</v>
      </c>
      <c r="L165" s="26">
        <f t="shared" si="863"/>
        <v>775000</v>
      </c>
      <c r="M165" s="26">
        <f t="shared" si="863"/>
        <v>795000</v>
      </c>
      <c r="N165" s="26">
        <f t="shared" si="863"/>
        <v>815000</v>
      </c>
      <c r="O165" s="26">
        <f t="shared" si="863"/>
        <v>835000</v>
      </c>
      <c r="P165" s="26">
        <v>855000</v>
      </c>
      <c r="Q165" s="26">
        <v>300000</v>
      </c>
      <c r="R165" s="26">
        <f>+Q165+50000</f>
        <v>350000</v>
      </c>
      <c r="S165" s="26">
        <f t="shared" ref="S165:U165" si="864">+R165+50000</f>
        <v>400000</v>
      </c>
      <c r="T165" s="26">
        <f t="shared" si="864"/>
        <v>450000</v>
      </c>
      <c r="U165" s="26">
        <f t="shared" si="864"/>
        <v>500000</v>
      </c>
      <c r="V165" s="26">
        <v>0</v>
      </c>
      <c r="W165" s="26">
        <f>+V165+100000</f>
        <v>100000</v>
      </c>
      <c r="X165" s="26">
        <f t="shared" ref="X165:AA166" si="865">+W165+100000</f>
        <v>200000</v>
      </c>
      <c r="Y165" s="26">
        <f t="shared" si="865"/>
        <v>300000</v>
      </c>
      <c r="Z165" s="26">
        <f t="shared" si="865"/>
        <v>400000</v>
      </c>
      <c r="AA165" s="26">
        <f t="shared" si="865"/>
        <v>500000</v>
      </c>
      <c r="AB165" s="26">
        <v>600000</v>
      </c>
      <c r="AC165" s="26">
        <v>65000</v>
      </c>
      <c r="AD165" s="26">
        <f>+AC165+50000</f>
        <v>115000</v>
      </c>
      <c r="AE165" s="26">
        <f t="shared" ref="AE165:AH165" si="866">+AD165+50000</f>
        <v>165000</v>
      </c>
      <c r="AF165" s="26">
        <f t="shared" si="866"/>
        <v>215000</v>
      </c>
      <c r="AG165" s="26">
        <v>15000</v>
      </c>
      <c r="AH165" s="26">
        <f t="shared" si="866"/>
        <v>65000</v>
      </c>
      <c r="AI165" s="26">
        <f>+AH165+100000</f>
        <v>165000</v>
      </c>
      <c r="AJ165" s="26">
        <v>115000</v>
      </c>
      <c r="AK165" s="26">
        <f t="shared" ref="AK165:AM165" si="867">+AJ165+100000</f>
        <v>215000</v>
      </c>
      <c r="AL165" s="26">
        <v>115000</v>
      </c>
      <c r="AM165" s="26">
        <f t="shared" si="867"/>
        <v>215000</v>
      </c>
      <c r="AN165" s="26">
        <v>15000</v>
      </c>
      <c r="AO165" s="26">
        <f t="shared" si="714"/>
        <v>1570000</v>
      </c>
      <c r="AP165" s="27">
        <f t="shared" si="715"/>
        <v>1825</v>
      </c>
      <c r="AQ165" s="27">
        <f t="shared" si="716"/>
        <v>2325</v>
      </c>
      <c r="AR165" s="27">
        <f t="shared" si="717"/>
        <v>2825</v>
      </c>
      <c r="AS165" s="27">
        <f t="shared" si="718"/>
        <v>3325</v>
      </c>
      <c r="AT165" s="27">
        <f t="shared" si="719"/>
        <v>2575</v>
      </c>
      <c r="AU165" s="27">
        <f t="shared" si="720"/>
        <v>325</v>
      </c>
      <c r="AV165" s="27">
        <f t="shared" si="721"/>
        <v>1325</v>
      </c>
      <c r="AW165" s="27">
        <f t="shared" si="722"/>
        <v>1575</v>
      </c>
      <c r="AX165" s="27">
        <f t="shared" si="723"/>
        <v>2575</v>
      </c>
      <c r="AY165" s="27">
        <f t="shared" si="724"/>
        <v>2575</v>
      </c>
      <c r="AZ165" s="27">
        <f t="shared" si="725"/>
        <v>3575</v>
      </c>
      <c r="BA165" s="27">
        <f t="shared" si="726"/>
        <v>3075</v>
      </c>
      <c r="BB165" s="27">
        <v>900000</v>
      </c>
      <c r="BC165" s="26">
        <v>750000</v>
      </c>
      <c r="BD165" s="27">
        <f t="shared" si="731"/>
        <v>27900</v>
      </c>
      <c r="BE165" s="28">
        <f t="shared" si="732"/>
        <v>1976.2099811812677</v>
      </c>
      <c r="BF165" s="28">
        <f t="shared" si="733"/>
        <v>1979.8349965653579</v>
      </c>
      <c r="BG165" s="28">
        <f t="shared" si="734"/>
        <v>6759.67664761379</v>
      </c>
      <c r="BH165" s="28">
        <f t="shared" si="735"/>
        <v>11688.576450086151</v>
      </c>
      <c r="BI165" s="28">
        <f t="shared" si="736"/>
        <v>8105.7295906879526</v>
      </c>
      <c r="BJ165" s="28">
        <f t="shared" si="737"/>
        <v>5622.4881157687842</v>
      </c>
      <c r="BK165" s="28">
        <f t="shared" si="738"/>
        <v>4847.4566874693564</v>
      </c>
      <c r="BL165" s="28">
        <f t="shared" si="739"/>
        <v>9040.892962093938</v>
      </c>
      <c r="BM165" s="28">
        <f t="shared" si="740"/>
        <v>10881.59635159396</v>
      </c>
      <c r="BN165" s="28">
        <f t="shared" si="741"/>
        <v>9225.558137972268</v>
      </c>
      <c r="BO165" s="28">
        <f t="shared" si="742"/>
        <v>7694.6224377109911</v>
      </c>
      <c r="BP165" s="28">
        <f t="shared" si="743"/>
        <v>6404.5956560648046</v>
      </c>
      <c r="BQ165" s="29">
        <f t="shared" si="727"/>
        <v>84227.238014808623</v>
      </c>
      <c r="BR165" s="26">
        <f t="shared" si="702"/>
        <v>196549.17656257635</v>
      </c>
      <c r="BS165" s="26">
        <f t="shared" si="709"/>
        <v>280776.41457738495</v>
      </c>
      <c r="BT165" s="26">
        <f t="shared" si="703"/>
        <v>308676.41457738495</v>
      </c>
      <c r="BU165" s="111">
        <f t="shared" si="829"/>
        <v>1470000</v>
      </c>
      <c r="BV165" s="110">
        <v>114</v>
      </c>
    </row>
    <row r="166" spans="1:74" ht="13.5" customHeight="1" x14ac:dyDescent="0.2">
      <c r="A166" s="15">
        <v>158</v>
      </c>
      <c r="B166" s="15">
        <v>248</v>
      </c>
      <c r="C166" s="14" t="s">
        <v>172</v>
      </c>
      <c r="D166" s="8">
        <v>100000</v>
      </c>
      <c r="E166" s="8">
        <f t="shared" ref="E166:G166" si="868">+F166-15000</f>
        <v>650000</v>
      </c>
      <c r="F166" s="8">
        <f t="shared" si="868"/>
        <v>665000</v>
      </c>
      <c r="G166" s="8">
        <f t="shared" si="868"/>
        <v>680000</v>
      </c>
      <c r="H166" s="8">
        <f t="shared" ref="H166:O166" si="869">+I166-20000</f>
        <v>695000</v>
      </c>
      <c r="I166" s="8">
        <f t="shared" si="869"/>
        <v>715000</v>
      </c>
      <c r="J166" s="8">
        <f t="shared" si="869"/>
        <v>735000</v>
      </c>
      <c r="K166" s="8">
        <f t="shared" si="869"/>
        <v>755000</v>
      </c>
      <c r="L166" s="8">
        <f t="shared" si="869"/>
        <v>775000</v>
      </c>
      <c r="M166" s="8">
        <f t="shared" si="869"/>
        <v>795000</v>
      </c>
      <c r="N166" s="8">
        <f t="shared" si="869"/>
        <v>815000</v>
      </c>
      <c r="O166" s="8">
        <f t="shared" si="869"/>
        <v>835000</v>
      </c>
      <c r="P166" s="8">
        <v>855000</v>
      </c>
      <c r="Q166" s="8">
        <v>400000</v>
      </c>
      <c r="R166" s="8">
        <f t="shared" ref="R166:T166" si="870">70000+Q166</f>
        <v>470000</v>
      </c>
      <c r="S166" s="8">
        <f t="shared" si="870"/>
        <v>540000</v>
      </c>
      <c r="T166" s="8">
        <f t="shared" si="870"/>
        <v>610000</v>
      </c>
      <c r="U166" s="8">
        <f>70000+T166</f>
        <v>680000</v>
      </c>
      <c r="V166" s="8">
        <v>0</v>
      </c>
      <c r="W166" s="8">
        <f>+V166+100000</f>
        <v>100000</v>
      </c>
      <c r="X166" s="8">
        <f t="shared" si="865"/>
        <v>200000</v>
      </c>
      <c r="Y166" s="8">
        <f t="shared" si="865"/>
        <v>300000</v>
      </c>
      <c r="Z166" s="8">
        <f t="shared" si="865"/>
        <v>400000</v>
      </c>
      <c r="AA166" s="8">
        <f t="shared" si="865"/>
        <v>500000</v>
      </c>
      <c r="AB166" s="8">
        <v>600000</v>
      </c>
      <c r="AC166" s="8">
        <v>5000</v>
      </c>
      <c r="AD166" s="8">
        <v>5000</v>
      </c>
      <c r="AE166" s="8">
        <v>5000</v>
      </c>
      <c r="AF166" s="8">
        <v>5000</v>
      </c>
      <c r="AG166" s="8">
        <v>5000</v>
      </c>
      <c r="AH166" s="8">
        <v>5000</v>
      </c>
      <c r="AI166" s="8">
        <v>5000</v>
      </c>
      <c r="AJ166" s="8">
        <v>5000</v>
      </c>
      <c r="AK166" s="8">
        <v>5000</v>
      </c>
      <c r="AL166" s="8">
        <v>5000</v>
      </c>
      <c r="AM166" s="8">
        <v>5000</v>
      </c>
      <c r="AN166" s="8">
        <v>5000</v>
      </c>
      <c r="AO166" s="8">
        <f t="shared" si="714"/>
        <v>1560000</v>
      </c>
      <c r="AP166" s="16">
        <f t="shared" si="715"/>
        <v>2025</v>
      </c>
      <c r="AQ166" s="16">
        <f t="shared" si="716"/>
        <v>2375</v>
      </c>
      <c r="AR166" s="16">
        <f t="shared" si="717"/>
        <v>2725</v>
      </c>
      <c r="AS166" s="16">
        <f t="shared" si="718"/>
        <v>3075</v>
      </c>
      <c r="AT166" s="16">
        <f t="shared" si="719"/>
        <v>3425</v>
      </c>
      <c r="AU166" s="16">
        <f t="shared" si="720"/>
        <v>25</v>
      </c>
      <c r="AV166" s="16">
        <f t="shared" si="721"/>
        <v>525</v>
      </c>
      <c r="AW166" s="16">
        <f t="shared" si="722"/>
        <v>1025</v>
      </c>
      <c r="AX166" s="16">
        <f t="shared" si="723"/>
        <v>1525</v>
      </c>
      <c r="AY166" s="16">
        <f t="shared" si="724"/>
        <v>2025</v>
      </c>
      <c r="AZ166" s="16">
        <f t="shared" si="725"/>
        <v>2525</v>
      </c>
      <c r="BA166" s="16">
        <f t="shared" si="726"/>
        <v>3025</v>
      </c>
      <c r="BB166" s="16">
        <v>720000</v>
      </c>
      <c r="BC166" s="8">
        <v>1000000</v>
      </c>
      <c r="BD166" s="16">
        <f t="shared" si="731"/>
        <v>24300</v>
      </c>
      <c r="BE166" s="23">
        <f t="shared" si="732"/>
        <v>2047.105406515125</v>
      </c>
      <c r="BF166" s="23">
        <f t="shared" si="733"/>
        <v>1995.931216049629</v>
      </c>
      <c r="BG166" s="23">
        <f t="shared" si="734"/>
        <v>6659.1610097310568</v>
      </c>
      <c r="BH166" s="23">
        <f t="shared" si="735"/>
        <v>11288.282736042105</v>
      </c>
      <c r="BI166" s="23">
        <f t="shared" si="736"/>
        <v>9141.80029024957</v>
      </c>
      <c r="BJ166" s="23">
        <f t="shared" si="737"/>
        <v>5247.6555747175316</v>
      </c>
      <c r="BK166" s="23">
        <f t="shared" si="738"/>
        <v>4154.962874973734</v>
      </c>
      <c r="BL166" s="23">
        <f t="shared" si="739"/>
        <v>8205.1801672785314</v>
      </c>
      <c r="BM166" s="23">
        <f t="shared" si="740"/>
        <v>9260.9330651863474</v>
      </c>
      <c r="BN166" s="23">
        <f t="shared" si="741"/>
        <v>8515.8998196667089</v>
      </c>
      <c r="BO166" s="23">
        <f t="shared" si="742"/>
        <v>6715.3068547295925</v>
      </c>
      <c r="BP166" s="23">
        <f t="shared" si="743"/>
        <v>6363.8020531599332</v>
      </c>
      <c r="BQ166" s="22">
        <f t="shared" si="727"/>
        <v>79596.021068299873</v>
      </c>
      <c r="BR166" s="8">
        <f t="shared" si="702"/>
        <v>157239.34125006109</v>
      </c>
      <c r="BS166" s="8">
        <f t="shared" si="709"/>
        <v>236835.36231836095</v>
      </c>
      <c r="BT166" s="8">
        <f t="shared" si="703"/>
        <v>261135.36231836095</v>
      </c>
    </row>
    <row r="167" spans="1:74" ht="13.5" customHeight="1" x14ac:dyDescent="0.2">
      <c r="A167" s="15">
        <v>159</v>
      </c>
      <c r="B167" s="15">
        <v>249</v>
      </c>
      <c r="C167" s="14" t="s">
        <v>23</v>
      </c>
      <c r="D167" s="8">
        <v>100000</v>
      </c>
      <c r="E167" s="8">
        <f t="shared" ref="E167:G167" si="871">+F167-15000</f>
        <v>650000</v>
      </c>
      <c r="F167" s="8">
        <f t="shared" si="871"/>
        <v>665000</v>
      </c>
      <c r="G167" s="8">
        <f t="shared" si="871"/>
        <v>680000</v>
      </c>
      <c r="H167" s="8">
        <f t="shared" ref="H167:O167" si="872">+I167-20000</f>
        <v>695000</v>
      </c>
      <c r="I167" s="8">
        <f t="shared" si="872"/>
        <v>715000</v>
      </c>
      <c r="J167" s="8">
        <f t="shared" si="872"/>
        <v>735000</v>
      </c>
      <c r="K167" s="8">
        <f t="shared" si="872"/>
        <v>755000</v>
      </c>
      <c r="L167" s="8">
        <f t="shared" si="872"/>
        <v>775000</v>
      </c>
      <c r="M167" s="8">
        <f t="shared" si="872"/>
        <v>795000</v>
      </c>
      <c r="N167" s="8">
        <f t="shared" si="872"/>
        <v>815000</v>
      </c>
      <c r="O167" s="8">
        <f t="shared" si="872"/>
        <v>835000</v>
      </c>
      <c r="P167" s="8">
        <v>855000</v>
      </c>
      <c r="Q167" s="8">
        <v>120000</v>
      </c>
      <c r="R167" s="8">
        <f>+Q167+20000</f>
        <v>140000</v>
      </c>
      <c r="S167" s="8">
        <f t="shared" ref="S167:U167" si="873">+R167+20000</f>
        <v>160000</v>
      </c>
      <c r="T167" s="8">
        <f t="shared" si="873"/>
        <v>180000</v>
      </c>
      <c r="U167" s="8">
        <f t="shared" si="873"/>
        <v>200000</v>
      </c>
      <c r="V167" s="8">
        <v>0</v>
      </c>
      <c r="W167" s="8">
        <f>+V167+100000</f>
        <v>100000</v>
      </c>
      <c r="X167" s="8">
        <f t="shared" ref="X167:AA167" si="874">+W167+100000</f>
        <v>200000</v>
      </c>
      <c r="Y167" s="8">
        <f t="shared" si="874"/>
        <v>300000</v>
      </c>
      <c r="Z167" s="8">
        <f t="shared" si="874"/>
        <v>400000</v>
      </c>
      <c r="AA167" s="8">
        <f t="shared" si="874"/>
        <v>500000</v>
      </c>
      <c r="AB167" s="8">
        <v>600000</v>
      </c>
      <c r="AC167" s="8">
        <v>5000</v>
      </c>
      <c r="AD167" s="8">
        <v>5000</v>
      </c>
      <c r="AE167" s="8">
        <v>5000</v>
      </c>
      <c r="AF167" s="8">
        <v>5000</v>
      </c>
      <c r="AG167" s="8">
        <v>5000</v>
      </c>
      <c r="AH167" s="8">
        <v>5000</v>
      </c>
      <c r="AI167" s="8">
        <v>5000</v>
      </c>
      <c r="AJ167" s="8">
        <v>5000</v>
      </c>
      <c r="AK167" s="8">
        <v>5000</v>
      </c>
      <c r="AL167" s="8">
        <v>5000</v>
      </c>
      <c r="AM167" s="8">
        <v>5000</v>
      </c>
      <c r="AN167" s="8">
        <v>5000</v>
      </c>
      <c r="AO167" s="8">
        <f t="shared" si="714"/>
        <v>1560000</v>
      </c>
      <c r="AP167" s="16">
        <f t="shared" si="715"/>
        <v>625</v>
      </c>
      <c r="AQ167" s="16">
        <f t="shared" si="716"/>
        <v>725</v>
      </c>
      <c r="AR167" s="16">
        <f t="shared" si="717"/>
        <v>825</v>
      </c>
      <c r="AS167" s="16">
        <f t="shared" si="718"/>
        <v>925</v>
      </c>
      <c r="AT167" s="16">
        <f t="shared" si="719"/>
        <v>1025</v>
      </c>
      <c r="AU167" s="16">
        <f t="shared" si="720"/>
        <v>25</v>
      </c>
      <c r="AV167" s="16">
        <f t="shared" si="721"/>
        <v>525</v>
      </c>
      <c r="AW167" s="16">
        <f t="shared" si="722"/>
        <v>1025</v>
      </c>
      <c r="AX167" s="16">
        <f t="shared" si="723"/>
        <v>1525</v>
      </c>
      <c r="AY167" s="16">
        <f t="shared" si="724"/>
        <v>2025</v>
      </c>
      <c r="AZ167" s="16">
        <f t="shared" si="725"/>
        <v>2525</v>
      </c>
      <c r="BA167" s="16">
        <f t="shared" si="726"/>
        <v>3025</v>
      </c>
      <c r="BB167" s="16">
        <v>900000</v>
      </c>
      <c r="BC167" s="8">
        <v>1250000</v>
      </c>
      <c r="BD167" s="16">
        <f t="shared" si="731"/>
        <v>14800</v>
      </c>
      <c r="BE167" s="23">
        <f t="shared" si="732"/>
        <v>1550.8374291781249</v>
      </c>
      <c r="BF167" s="23">
        <f t="shared" si="733"/>
        <v>1464.7559730686794</v>
      </c>
      <c r="BG167" s="23">
        <f t="shared" si="734"/>
        <v>4749.3638899591315</v>
      </c>
      <c r="BH167" s="23">
        <f t="shared" si="735"/>
        <v>7845.7567952633071</v>
      </c>
      <c r="BI167" s="23">
        <f t="shared" si="736"/>
        <v>6216.4241973697081</v>
      </c>
      <c r="BJ167" s="23">
        <f t="shared" si="737"/>
        <v>5247.6555747175316</v>
      </c>
      <c r="BK167" s="23">
        <f t="shared" si="738"/>
        <v>4154.962874973734</v>
      </c>
      <c r="BL167" s="23">
        <f t="shared" si="739"/>
        <v>8205.1801672785314</v>
      </c>
      <c r="BM167" s="23">
        <f t="shared" si="740"/>
        <v>9260.9330651863474</v>
      </c>
      <c r="BN167" s="23">
        <f t="shared" si="741"/>
        <v>8515.8998196667089</v>
      </c>
      <c r="BO167" s="23">
        <f t="shared" si="742"/>
        <v>6715.3068547295925</v>
      </c>
      <c r="BP167" s="23">
        <f t="shared" si="743"/>
        <v>6363.8020531599332</v>
      </c>
      <c r="BQ167" s="22">
        <f t="shared" si="727"/>
        <v>70290.878694551342</v>
      </c>
      <c r="BR167" s="8">
        <f t="shared" si="702"/>
        <v>196549.17656257635</v>
      </c>
      <c r="BS167" s="8">
        <f t="shared" si="709"/>
        <v>266840.05525712768</v>
      </c>
      <c r="BT167" s="8">
        <f t="shared" si="703"/>
        <v>281640.05525712768</v>
      </c>
    </row>
    <row r="168" spans="1:74" ht="13.5" customHeight="1" x14ac:dyDescent="0.2">
      <c r="A168" s="15">
        <v>160</v>
      </c>
      <c r="B168" s="15">
        <v>250</v>
      </c>
      <c r="C168" s="14" t="s">
        <v>234</v>
      </c>
      <c r="D168" s="8">
        <v>100000</v>
      </c>
      <c r="E168" s="8">
        <f t="shared" ref="E168:G168" si="875">+F168-25000</f>
        <v>1010000</v>
      </c>
      <c r="F168" s="8">
        <f t="shared" si="875"/>
        <v>1035000</v>
      </c>
      <c r="G168" s="8">
        <f t="shared" si="875"/>
        <v>1060000</v>
      </c>
      <c r="H168" s="8">
        <f t="shared" ref="H168:O168" si="876">+I168-50000</f>
        <v>1085000</v>
      </c>
      <c r="I168" s="8">
        <f t="shared" si="876"/>
        <v>1135000</v>
      </c>
      <c r="J168" s="8">
        <f t="shared" si="876"/>
        <v>1185000</v>
      </c>
      <c r="K168" s="8">
        <f t="shared" si="876"/>
        <v>1235000</v>
      </c>
      <c r="L168" s="8">
        <f t="shared" si="876"/>
        <v>1285000</v>
      </c>
      <c r="M168" s="8">
        <f t="shared" si="876"/>
        <v>1335000</v>
      </c>
      <c r="N168" s="8">
        <f t="shared" si="876"/>
        <v>1385000</v>
      </c>
      <c r="O168" s="8">
        <f t="shared" si="876"/>
        <v>1435000</v>
      </c>
      <c r="P168" s="8">
        <v>1485000</v>
      </c>
      <c r="Q168" s="8">
        <v>600000</v>
      </c>
      <c r="R168" s="8">
        <f>+Q168+100000</f>
        <v>700000</v>
      </c>
      <c r="S168" s="8">
        <f t="shared" ref="S168:Z168" si="877">+R168+100000</f>
        <v>800000</v>
      </c>
      <c r="T168" s="8">
        <f t="shared" si="877"/>
        <v>900000</v>
      </c>
      <c r="U168" s="8">
        <f t="shared" si="877"/>
        <v>1000000</v>
      </c>
      <c r="V168" s="8">
        <v>0</v>
      </c>
      <c r="W168" s="8">
        <f t="shared" si="877"/>
        <v>100000</v>
      </c>
      <c r="X168" s="8">
        <f t="shared" si="877"/>
        <v>200000</v>
      </c>
      <c r="Y168" s="8">
        <f t="shared" si="877"/>
        <v>300000</v>
      </c>
      <c r="Z168" s="8">
        <f t="shared" si="877"/>
        <v>400000</v>
      </c>
      <c r="AA168" s="8">
        <v>400000</v>
      </c>
      <c r="AB168" s="8">
        <v>400000</v>
      </c>
      <c r="AC168" s="8">
        <v>2300000</v>
      </c>
      <c r="AD168" s="8">
        <f>+AC168+50000</f>
        <v>2350000</v>
      </c>
      <c r="AE168" s="8">
        <f t="shared" ref="AE168:AL168" si="878">+AD168+50000</f>
        <v>2400000</v>
      </c>
      <c r="AF168" s="8">
        <f t="shared" si="878"/>
        <v>2450000</v>
      </c>
      <c r="AG168" s="8">
        <f t="shared" si="878"/>
        <v>2500000</v>
      </c>
      <c r="AH168" s="8">
        <f t="shared" si="878"/>
        <v>2550000</v>
      </c>
      <c r="AI168" s="8">
        <f t="shared" si="878"/>
        <v>2600000</v>
      </c>
      <c r="AJ168" s="8">
        <f t="shared" si="878"/>
        <v>2650000</v>
      </c>
      <c r="AK168" s="8">
        <f>+AJ168+50000</f>
        <v>2700000</v>
      </c>
      <c r="AL168" s="8">
        <f t="shared" si="878"/>
        <v>2750000</v>
      </c>
      <c r="AM168" s="8">
        <f>+AL168+1950000</f>
        <v>4700000</v>
      </c>
      <c r="AN168" s="8">
        <f>+AM168+1950000</f>
        <v>6650000</v>
      </c>
      <c r="AO168" s="8">
        <f t="shared" si="714"/>
        <v>8635000</v>
      </c>
      <c r="AP168" s="16">
        <f t="shared" si="715"/>
        <v>14500</v>
      </c>
      <c r="AQ168" s="16">
        <f t="shared" si="716"/>
        <v>15250</v>
      </c>
      <c r="AR168" s="16">
        <f t="shared" si="717"/>
        <v>16000</v>
      </c>
      <c r="AS168" s="16">
        <f t="shared" si="718"/>
        <v>16750</v>
      </c>
      <c r="AT168" s="16">
        <f t="shared" si="719"/>
        <v>17500</v>
      </c>
      <c r="AU168" s="16">
        <f t="shared" si="720"/>
        <v>12750</v>
      </c>
      <c r="AV168" s="16">
        <f t="shared" si="721"/>
        <v>13500</v>
      </c>
      <c r="AW168" s="16">
        <f t="shared" si="722"/>
        <v>14250</v>
      </c>
      <c r="AX168" s="16">
        <f t="shared" si="723"/>
        <v>15000</v>
      </c>
      <c r="AY168" s="16">
        <f t="shared" si="724"/>
        <v>15750</v>
      </c>
      <c r="AZ168" s="16">
        <f t="shared" si="725"/>
        <v>25500</v>
      </c>
      <c r="BA168" s="16">
        <f t="shared" si="726"/>
        <v>35250</v>
      </c>
      <c r="BB168" s="16">
        <v>0</v>
      </c>
      <c r="BC168" s="8">
        <v>0</v>
      </c>
      <c r="BD168" s="16">
        <f t="shared" si="731"/>
        <v>212000</v>
      </c>
      <c r="BE168" s="23">
        <f t="shared" si="732"/>
        <v>7107.2663897191778</v>
      </c>
      <c r="BF168" s="23">
        <f t="shared" si="733"/>
        <v>6736.2678541674977</v>
      </c>
      <c r="BG168" s="23">
        <f t="shared" si="734"/>
        <v>21912.40905843578</v>
      </c>
      <c r="BH168" s="23">
        <f t="shared" si="735"/>
        <v>36306.639863794997</v>
      </c>
      <c r="BI168" s="23">
        <f t="shared" si="736"/>
        <v>28857.616249554478</v>
      </c>
      <c r="BJ168" s="23">
        <f t="shared" si="737"/>
        <v>23958.046582192539</v>
      </c>
      <c r="BK168" s="23">
        <f t="shared" si="738"/>
        <v>17463.828333873975</v>
      </c>
      <c r="BL168" s="23">
        <f t="shared" si="739"/>
        <v>32174.942600393129</v>
      </c>
      <c r="BM168" s="23">
        <f t="shared" si="740"/>
        <v>34226.865120084549</v>
      </c>
      <c r="BN168" s="23">
        <f t="shared" si="741"/>
        <v>29902.420957693332</v>
      </c>
      <c r="BO168" s="23">
        <f t="shared" si="742"/>
        <v>30941.709014674198</v>
      </c>
      <c r="BP168" s="23">
        <f t="shared" si="743"/>
        <v>35225.276108356426</v>
      </c>
      <c r="BQ168" s="22">
        <f t="shared" si="727"/>
        <v>304813.28813294007</v>
      </c>
      <c r="BR168" s="8">
        <f t="shared" ref="BR168:BR204" si="879">+BB168/$BB$205*40219858</f>
        <v>0</v>
      </c>
      <c r="BS168" s="8">
        <f t="shared" si="709"/>
        <v>304813.28813294007</v>
      </c>
      <c r="BT168" s="8">
        <f t="shared" ref="BT168:BT199" si="880">+BS168+BD168</f>
        <v>516813.28813294007</v>
      </c>
    </row>
    <row r="169" spans="1:74" ht="13.5" customHeight="1" x14ac:dyDescent="0.2">
      <c r="A169" s="15">
        <v>161</v>
      </c>
      <c r="B169" s="15">
        <v>251</v>
      </c>
      <c r="C169" s="14" t="s">
        <v>159</v>
      </c>
      <c r="D169" s="8">
        <v>100000</v>
      </c>
      <c r="E169" s="8">
        <f t="shared" ref="E169:G169" si="881">+F169-15000</f>
        <v>640000</v>
      </c>
      <c r="F169" s="8">
        <f t="shared" si="881"/>
        <v>655000</v>
      </c>
      <c r="G169" s="8">
        <f t="shared" si="881"/>
        <v>670000</v>
      </c>
      <c r="H169" s="8">
        <f t="shared" ref="H169:O169" si="882">+I169-20000</f>
        <v>685000</v>
      </c>
      <c r="I169" s="8">
        <f t="shared" si="882"/>
        <v>705000</v>
      </c>
      <c r="J169" s="8">
        <f t="shared" si="882"/>
        <v>725000</v>
      </c>
      <c r="K169" s="8">
        <f t="shared" si="882"/>
        <v>745000</v>
      </c>
      <c r="L169" s="8">
        <f t="shared" si="882"/>
        <v>765000</v>
      </c>
      <c r="M169" s="8">
        <f t="shared" si="882"/>
        <v>785000</v>
      </c>
      <c r="N169" s="8">
        <f t="shared" si="882"/>
        <v>805000</v>
      </c>
      <c r="O169" s="8">
        <f t="shared" si="882"/>
        <v>825000</v>
      </c>
      <c r="P169" s="8">
        <v>845000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f t="shared" si="714"/>
        <v>945000</v>
      </c>
      <c r="AP169" s="16">
        <f t="shared" si="715"/>
        <v>0</v>
      </c>
      <c r="AQ169" s="16">
        <f t="shared" si="716"/>
        <v>0</v>
      </c>
      <c r="AR169" s="16">
        <f t="shared" si="717"/>
        <v>0</v>
      </c>
      <c r="AS169" s="16">
        <f t="shared" si="718"/>
        <v>0</v>
      </c>
      <c r="AT169" s="16">
        <f t="shared" si="719"/>
        <v>0</v>
      </c>
      <c r="AU169" s="16">
        <f t="shared" si="720"/>
        <v>0</v>
      </c>
      <c r="AV169" s="16">
        <f t="shared" si="721"/>
        <v>0</v>
      </c>
      <c r="AW169" s="16">
        <f t="shared" si="722"/>
        <v>0</v>
      </c>
      <c r="AX169" s="16">
        <f t="shared" si="723"/>
        <v>0</v>
      </c>
      <c r="AY169" s="16">
        <f t="shared" si="724"/>
        <v>0</v>
      </c>
      <c r="AZ169" s="16">
        <f t="shared" si="725"/>
        <v>0</v>
      </c>
      <c r="BA169" s="16">
        <f t="shared" si="726"/>
        <v>0</v>
      </c>
      <c r="BB169" s="16">
        <v>900000</v>
      </c>
      <c r="BC169" s="8">
        <v>500000</v>
      </c>
      <c r="BD169" s="16">
        <f t="shared" si="731"/>
        <v>0</v>
      </c>
      <c r="BE169" s="23">
        <f t="shared" si="732"/>
        <v>1311.5653686763571</v>
      </c>
      <c r="BF169" s="23">
        <f t="shared" si="733"/>
        <v>1215.2645710624756</v>
      </c>
      <c r="BG169" s="23">
        <f t="shared" si="734"/>
        <v>3869.8520584852181</v>
      </c>
      <c r="BH169" s="23">
        <f t="shared" si="735"/>
        <v>6284.6113104915266</v>
      </c>
      <c r="BI169" s="23">
        <f t="shared" si="736"/>
        <v>4906.099489100603</v>
      </c>
      <c r="BJ169" s="23">
        <f t="shared" si="737"/>
        <v>5153.9474394547187</v>
      </c>
      <c r="BK169" s="23">
        <f t="shared" si="738"/>
        <v>3657.2329472425054</v>
      </c>
      <c r="BL169" s="23">
        <f t="shared" si="739"/>
        <v>6571.7415228666014</v>
      </c>
      <c r="BM169" s="23">
        <f t="shared" si="740"/>
        <v>6829.9381355749319</v>
      </c>
      <c r="BN169" s="23">
        <f t="shared" si="741"/>
        <v>5838.5525278775549</v>
      </c>
      <c r="BO169" s="23">
        <f t="shared" si="742"/>
        <v>4313.6519726561619</v>
      </c>
      <c r="BP169" s="23">
        <f t="shared" si="743"/>
        <v>3854.9954745103441</v>
      </c>
      <c r="BQ169" s="22">
        <f t="shared" si="727"/>
        <v>53807.452817999001</v>
      </c>
      <c r="BR169" s="8">
        <f t="shared" si="879"/>
        <v>196549.17656257635</v>
      </c>
      <c r="BS169" s="8">
        <f t="shared" si="709"/>
        <v>250356.62938057535</v>
      </c>
      <c r="BT169" s="8">
        <f t="shared" si="880"/>
        <v>250356.62938057535</v>
      </c>
    </row>
    <row r="170" spans="1:74" s="110" customFormat="1" ht="13.5" customHeight="1" x14ac:dyDescent="0.2">
      <c r="A170" s="24">
        <v>162</v>
      </c>
      <c r="B170" s="24">
        <v>253</v>
      </c>
      <c r="C170" s="25" t="s">
        <v>160</v>
      </c>
      <c r="D170" s="26">
        <v>100000</v>
      </c>
      <c r="E170" s="26">
        <f t="shared" ref="E170:G170" si="883">+F170-15000</f>
        <v>640000</v>
      </c>
      <c r="F170" s="26">
        <f t="shared" si="883"/>
        <v>655000</v>
      </c>
      <c r="G170" s="26">
        <f t="shared" si="883"/>
        <v>670000</v>
      </c>
      <c r="H170" s="26">
        <f t="shared" ref="H170:O170" si="884">+I170-20000</f>
        <v>685000</v>
      </c>
      <c r="I170" s="26">
        <f t="shared" si="884"/>
        <v>705000</v>
      </c>
      <c r="J170" s="26">
        <f t="shared" si="884"/>
        <v>725000</v>
      </c>
      <c r="K170" s="26">
        <f t="shared" si="884"/>
        <v>745000</v>
      </c>
      <c r="L170" s="26">
        <f t="shared" si="884"/>
        <v>765000</v>
      </c>
      <c r="M170" s="26">
        <f t="shared" si="884"/>
        <v>785000</v>
      </c>
      <c r="N170" s="26">
        <f t="shared" si="884"/>
        <v>805000</v>
      </c>
      <c r="O170" s="26">
        <f t="shared" si="884"/>
        <v>825000</v>
      </c>
      <c r="P170" s="26">
        <v>845000</v>
      </c>
      <c r="Q170" s="26">
        <v>900000</v>
      </c>
      <c r="R170" s="26">
        <f>+Q170+150000</f>
        <v>1050000</v>
      </c>
      <c r="S170" s="26">
        <f t="shared" ref="S170:U170" si="885">+R170+150000</f>
        <v>1200000</v>
      </c>
      <c r="T170" s="26">
        <f t="shared" si="885"/>
        <v>1350000</v>
      </c>
      <c r="U170" s="26">
        <f t="shared" si="885"/>
        <v>1500000</v>
      </c>
      <c r="V170" s="26">
        <v>0</v>
      </c>
      <c r="W170" s="26">
        <f>+V170+250000</f>
        <v>250000</v>
      </c>
      <c r="X170" s="26">
        <f t="shared" ref="X170:AA170" si="886">+W170+250000</f>
        <v>500000</v>
      </c>
      <c r="Y170" s="26">
        <f t="shared" si="886"/>
        <v>750000</v>
      </c>
      <c r="Z170" s="26">
        <f t="shared" si="886"/>
        <v>1000000</v>
      </c>
      <c r="AA170" s="26">
        <f t="shared" si="886"/>
        <v>1250000</v>
      </c>
      <c r="AB170" s="26">
        <v>1500000</v>
      </c>
      <c r="AC170" s="26">
        <v>0</v>
      </c>
      <c r="AD170" s="26">
        <f>+AC170+100000</f>
        <v>100000</v>
      </c>
      <c r="AE170" s="26">
        <v>100000</v>
      </c>
      <c r="AF170" s="26">
        <f t="shared" ref="AF170:AH170" si="887">+AE170+100000</f>
        <v>200000</v>
      </c>
      <c r="AG170" s="26">
        <v>0</v>
      </c>
      <c r="AH170" s="26">
        <f t="shared" si="887"/>
        <v>100000</v>
      </c>
      <c r="AI170" s="26">
        <v>0</v>
      </c>
      <c r="AJ170" s="26">
        <v>0</v>
      </c>
      <c r="AK170" s="26">
        <v>0</v>
      </c>
      <c r="AL170" s="26">
        <v>0</v>
      </c>
      <c r="AM170" s="26">
        <v>33530000</v>
      </c>
      <c r="AN170" s="26">
        <v>30030000</v>
      </c>
      <c r="AO170" s="26">
        <f t="shared" si="714"/>
        <v>32475000</v>
      </c>
      <c r="AP170" s="27">
        <f t="shared" si="715"/>
        <v>4500</v>
      </c>
      <c r="AQ170" s="27">
        <f t="shared" si="716"/>
        <v>5750</v>
      </c>
      <c r="AR170" s="27">
        <f t="shared" si="717"/>
        <v>6500</v>
      </c>
      <c r="AS170" s="27">
        <f t="shared" si="718"/>
        <v>7750</v>
      </c>
      <c r="AT170" s="27">
        <f t="shared" si="719"/>
        <v>7500</v>
      </c>
      <c r="AU170" s="27">
        <f t="shared" si="720"/>
        <v>500</v>
      </c>
      <c r="AV170" s="27">
        <f t="shared" si="721"/>
        <v>1250</v>
      </c>
      <c r="AW170" s="27">
        <f t="shared" si="722"/>
        <v>2500</v>
      </c>
      <c r="AX170" s="27">
        <f t="shared" si="723"/>
        <v>3750</v>
      </c>
      <c r="AY170" s="27">
        <f t="shared" si="724"/>
        <v>5000</v>
      </c>
      <c r="AZ170" s="27">
        <f t="shared" si="725"/>
        <v>173900</v>
      </c>
      <c r="BA170" s="27">
        <f t="shared" si="726"/>
        <v>157650</v>
      </c>
      <c r="BB170" s="27">
        <v>900000</v>
      </c>
      <c r="BC170" s="26">
        <v>750000</v>
      </c>
      <c r="BD170" s="27">
        <f t="shared" si="731"/>
        <v>376550</v>
      </c>
      <c r="BE170" s="28">
        <f t="shared" si="732"/>
        <v>2906.7124386881428</v>
      </c>
      <c r="BF170" s="28">
        <f t="shared" si="733"/>
        <v>3066.3298117536638</v>
      </c>
      <c r="BG170" s="28">
        <f t="shared" si="734"/>
        <v>10403.368520862859</v>
      </c>
      <c r="BH170" s="28">
        <f t="shared" si="735"/>
        <v>18693.71644585696</v>
      </c>
      <c r="BI170" s="28">
        <f t="shared" si="736"/>
        <v>14047.899779350173</v>
      </c>
      <c r="BJ170" s="28">
        <f t="shared" si="737"/>
        <v>5778.668341206806</v>
      </c>
      <c r="BK170" s="28">
        <f t="shared" si="738"/>
        <v>4739.2545292669156</v>
      </c>
      <c r="BL170" s="28">
        <f t="shared" si="739"/>
        <v>10370.43604475481</v>
      </c>
      <c r="BM170" s="28">
        <f t="shared" si="740"/>
        <v>12618.021301316399</v>
      </c>
      <c r="BN170" s="28">
        <f t="shared" si="741"/>
        <v>12289.99178520082</v>
      </c>
      <c r="BO170" s="28">
        <f t="shared" si="742"/>
        <v>166506.96614452783</v>
      </c>
      <c r="BP170" s="28">
        <f t="shared" si="743"/>
        <v>132477.22543356975</v>
      </c>
      <c r="BQ170" s="29">
        <f t="shared" si="727"/>
        <v>393898.59057635511</v>
      </c>
      <c r="BR170" s="26">
        <f t="shared" si="879"/>
        <v>196549.17656257635</v>
      </c>
      <c r="BS170" s="26">
        <f t="shared" si="709"/>
        <v>590447.76713893143</v>
      </c>
      <c r="BT170" s="26">
        <f t="shared" si="880"/>
        <v>966997.76713893143</v>
      </c>
      <c r="BU170" s="111">
        <f t="shared" ref="BU170:BU172" si="888">AO170-100000</f>
        <v>32375000</v>
      </c>
      <c r="BV170" s="110">
        <v>115</v>
      </c>
    </row>
    <row r="171" spans="1:74" s="135" customFormat="1" ht="13.5" customHeight="1" x14ac:dyDescent="0.2">
      <c r="A171" s="128">
        <v>163</v>
      </c>
      <c r="B171" s="128">
        <v>254</v>
      </c>
      <c r="C171" s="129" t="s">
        <v>161</v>
      </c>
      <c r="D171" s="130">
        <v>100000</v>
      </c>
      <c r="E171" s="130">
        <f t="shared" ref="E171:G171" si="889">+F171-15000</f>
        <v>640000</v>
      </c>
      <c r="F171" s="130">
        <f t="shared" si="889"/>
        <v>655000</v>
      </c>
      <c r="G171" s="130">
        <f t="shared" si="889"/>
        <v>670000</v>
      </c>
      <c r="H171" s="130">
        <f t="shared" ref="H171:O171" si="890">+I171-20000</f>
        <v>685000</v>
      </c>
      <c r="I171" s="130">
        <f t="shared" si="890"/>
        <v>705000</v>
      </c>
      <c r="J171" s="130">
        <f t="shared" si="890"/>
        <v>725000</v>
      </c>
      <c r="K171" s="130">
        <f t="shared" si="890"/>
        <v>745000</v>
      </c>
      <c r="L171" s="130">
        <f t="shared" si="890"/>
        <v>765000</v>
      </c>
      <c r="M171" s="130">
        <f t="shared" si="890"/>
        <v>785000</v>
      </c>
      <c r="N171" s="130">
        <f t="shared" si="890"/>
        <v>805000</v>
      </c>
      <c r="O171" s="130">
        <f t="shared" si="890"/>
        <v>825000</v>
      </c>
      <c r="P171" s="130">
        <v>845000</v>
      </c>
      <c r="Q171" s="130">
        <v>1200000</v>
      </c>
      <c r="R171" s="130">
        <f>+Q171+200000</f>
        <v>1400000</v>
      </c>
      <c r="S171" s="130">
        <f t="shared" ref="S171:AA171" si="891">+R171+200000</f>
        <v>1600000</v>
      </c>
      <c r="T171" s="130">
        <f t="shared" si="891"/>
        <v>1800000</v>
      </c>
      <c r="U171" s="130">
        <f t="shared" si="891"/>
        <v>2000000</v>
      </c>
      <c r="V171" s="130">
        <v>0</v>
      </c>
      <c r="W171" s="130">
        <f t="shared" si="891"/>
        <v>200000</v>
      </c>
      <c r="X171" s="130">
        <f t="shared" si="891"/>
        <v>400000</v>
      </c>
      <c r="Y171" s="130">
        <f t="shared" si="891"/>
        <v>600000</v>
      </c>
      <c r="Z171" s="130">
        <f t="shared" si="891"/>
        <v>800000</v>
      </c>
      <c r="AA171" s="130">
        <f t="shared" si="891"/>
        <v>1000000</v>
      </c>
      <c r="AB171" s="130">
        <v>1200000</v>
      </c>
      <c r="AC171" s="130">
        <v>530000</v>
      </c>
      <c r="AD171" s="130">
        <f>+AC171+200000</f>
        <v>730000</v>
      </c>
      <c r="AE171" s="130">
        <f t="shared" ref="AE171:AM171" si="892">+AD171+200000</f>
        <v>930000</v>
      </c>
      <c r="AF171" s="130">
        <v>830000</v>
      </c>
      <c r="AG171" s="130">
        <f t="shared" si="892"/>
        <v>1030000</v>
      </c>
      <c r="AH171" s="130">
        <v>1030000</v>
      </c>
      <c r="AI171" s="130">
        <f t="shared" si="892"/>
        <v>1230000</v>
      </c>
      <c r="AJ171" s="130">
        <f t="shared" si="892"/>
        <v>1430000</v>
      </c>
      <c r="AK171" s="130">
        <v>1130000</v>
      </c>
      <c r="AL171" s="130">
        <f t="shared" si="892"/>
        <v>1330000</v>
      </c>
      <c r="AM171" s="130">
        <f t="shared" si="892"/>
        <v>1530000</v>
      </c>
      <c r="AN171" s="130">
        <v>1730000</v>
      </c>
      <c r="AO171" s="130">
        <f t="shared" si="714"/>
        <v>3875000</v>
      </c>
      <c r="AP171" s="131">
        <f t="shared" si="715"/>
        <v>8650</v>
      </c>
      <c r="AQ171" s="131">
        <f t="shared" si="716"/>
        <v>10650</v>
      </c>
      <c r="AR171" s="131">
        <f t="shared" si="717"/>
        <v>12650</v>
      </c>
      <c r="AS171" s="131">
        <f t="shared" si="718"/>
        <v>13150</v>
      </c>
      <c r="AT171" s="131">
        <f t="shared" si="719"/>
        <v>15150</v>
      </c>
      <c r="AU171" s="131">
        <f t="shared" si="720"/>
        <v>5150</v>
      </c>
      <c r="AV171" s="131">
        <f t="shared" si="721"/>
        <v>7150</v>
      </c>
      <c r="AW171" s="131">
        <f t="shared" si="722"/>
        <v>9150</v>
      </c>
      <c r="AX171" s="131">
        <f t="shared" si="723"/>
        <v>8650</v>
      </c>
      <c r="AY171" s="131">
        <f t="shared" si="724"/>
        <v>10650</v>
      </c>
      <c r="AZ171" s="131">
        <f t="shared" si="725"/>
        <v>12650</v>
      </c>
      <c r="BA171" s="131">
        <f t="shared" si="726"/>
        <v>14650</v>
      </c>
      <c r="BB171" s="131">
        <v>0</v>
      </c>
      <c r="BC171" s="130">
        <v>0</v>
      </c>
      <c r="BD171" s="131">
        <f t="shared" ref="BD171:BD204" si="893">SUM(AP171:BA171)</f>
        <v>128300</v>
      </c>
      <c r="BE171" s="132">
        <f t="shared" ref="BE171:BE204" si="894">(BE$6/($D$205+E$205+Q$205+AC$205))*($D171+E171+Q171+AC171)</f>
        <v>4377.7925143656785</v>
      </c>
      <c r="BF171" s="132">
        <f t="shared" ref="BF171:BF204" si="895">(BF$6/($D$205+F$205+R$205+AD$205))*($D171+F171+R171+AD171)</f>
        <v>4643.759321212242</v>
      </c>
      <c r="BG171" s="132">
        <f t="shared" ref="BG171:BG204" si="896">(BG$6/($D$205+G$205+S$205+AE$205))*($D171+G171+S171+AE171)</f>
        <v>16585.080250650935</v>
      </c>
      <c r="BH171" s="132">
        <f t="shared" ref="BH171:BH204" si="897">(BH$6/($D$205+H$205+T$205+AF$205))*($D171+H171+T171+AF171)</f>
        <v>27340.06066920836</v>
      </c>
      <c r="BI171" s="132">
        <f t="shared" ref="BI171:BI204" si="898">(BI$6/($D$205+I$205+U$205+AG$205))*($D171+I171+U171+AG171)</f>
        <v>23372.536075404736</v>
      </c>
      <c r="BJ171" s="132">
        <f t="shared" ref="BJ171:BJ204" si="899">(BJ$6/($D$205+J$205+V$205+AH$205))*($D171+J171+V171+AH171)</f>
        <v>11588.572727501216</v>
      </c>
      <c r="BK171" s="132">
        <f t="shared" ref="BK171:BK204" si="900">(BK$6/($D$205+K$205+W$205+AI$205))*($D171+K171+W171+AI171)</f>
        <v>9846.3963964221293</v>
      </c>
      <c r="BL171" s="132">
        <f t="shared" ref="BL171:BL204" si="901">(BL$6/($D$205+L$205+X$205+AJ$205))*($D171+L171+X171+AJ171)</f>
        <v>20474.963472977444</v>
      </c>
      <c r="BM171" s="132">
        <f t="shared" ref="BM171:BM204" si="902">(BM$6/($D$205+M$205+Y$205+AK$205))*($D171+M171+Y171+AK171)</f>
        <v>20181.11663788525</v>
      </c>
      <c r="BN171" s="132">
        <f t="shared" ref="BN171:BN204" si="903">(BN$6/($D$205+N$205+Z$205+AL$205))*($D171+N171+Z171+AL171)</f>
        <v>19580.11814597611</v>
      </c>
      <c r="BO171" s="132">
        <f t="shared" ref="BO171:BO204" si="904">(BO$6/($D$205+O$205+AA$205+AM$205))*($D171+O171+AA171+AM171)</f>
        <v>16112.073043813016</v>
      </c>
      <c r="BP171" s="132">
        <f t="shared" ref="BP171:BP204" si="905">(BP$6/($D$205+P$205+AB$205+AN$205))*($D171+P171+AB171+AN171)</f>
        <v>15807.521125637655</v>
      </c>
      <c r="BQ171" s="133">
        <f t="shared" si="727"/>
        <v>189909.99038105478</v>
      </c>
      <c r="BR171" s="130">
        <f t="shared" si="879"/>
        <v>0</v>
      </c>
      <c r="BS171" s="130">
        <f t="shared" si="709"/>
        <v>189909.99038105478</v>
      </c>
      <c r="BT171" s="130">
        <f t="shared" si="880"/>
        <v>318209.99038105481</v>
      </c>
      <c r="BU171" s="134">
        <f t="shared" si="888"/>
        <v>3775000</v>
      </c>
      <c r="BV171" s="135">
        <v>116</v>
      </c>
    </row>
    <row r="172" spans="1:74" s="110" customFormat="1" ht="13.5" customHeight="1" x14ac:dyDescent="0.2">
      <c r="A172" s="24">
        <v>164</v>
      </c>
      <c r="B172" s="24">
        <v>255</v>
      </c>
      <c r="C172" s="25" t="s">
        <v>162</v>
      </c>
      <c r="D172" s="26">
        <v>100000</v>
      </c>
      <c r="E172" s="26">
        <f t="shared" ref="E172:G172" si="906">+F172-15000</f>
        <v>630000</v>
      </c>
      <c r="F172" s="26">
        <f t="shared" si="906"/>
        <v>645000</v>
      </c>
      <c r="G172" s="26">
        <f t="shared" si="906"/>
        <v>660000</v>
      </c>
      <c r="H172" s="26">
        <f t="shared" ref="H172:O172" si="907">+I172-20000</f>
        <v>675000</v>
      </c>
      <c r="I172" s="26">
        <f t="shared" si="907"/>
        <v>695000</v>
      </c>
      <c r="J172" s="26">
        <f t="shared" si="907"/>
        <v>715000</v>
      </c>
      <c r="K172" s="26">
        <f t="shared" si="907"/>
        <v>735000</v>
      </c>
      <c r="L172" s="26">
        <f t="shared" si="907"/>
        <v>755000</v>
      </c>
      <c r="M172" s="26">
        <f t="shared" si="907"/>
        <v>775000</v>
      </c>
      <c r="N172" s="26">
        <f t="shared" si="907"/>
        <v>795000</v>
      </c>
      <c r="O172" s="26">
        <f t="shared" si="907"/>
        <v>815000</v>
      </c>
      <c r="P172" s="26">
        <v>835000</v>
      </c>
      <c r="Q172" s="26">
        <v>350000</v>
      </c>
      <c r="R172" s="26">
        <f>+Q172+50000</f>
        <v>400000</v>
      </c>
      <c r="S172" s="26">
        <f t="shared" ref="S172:AA173" si="908">+R172+50000</f>
        <v>450000</v>
      </c>
      <c r="T172" s="26">
        <f t="shared" si="908"/>
        <v>500000</v>
      </c>
      <c r="U172" s="26">
        <f t="shared" si="908"/>
        <v>550000</v>
      </c>
      <c r="V172" s="26">
        <v>0</v>
      </c>
      <c r="W172" s="26">
        <f t="shared" si="908"/>
        <v>50000</v>
      </c>
      <c r="X172" s="26">
        <f t="shared" si="908"/>
        <v>100000</v>
      </c>
      <c r="Y172" s="26">
        <f t="shared" si="908"/>
        <v>150000</v>
      </c>
      <c r="Z172" s="26">
        <f t="shared" si="908"/>
        <v>200000</v>
      </c>
      <c r="AA172" s="26">
        <f t="shared" si="908"/>
        <v>250000</v>
      </c>
      <c r="AB172" s="26">
        <v>300000</v>
      </c>
      <c r="AC172" s="26">
        <v>102000</v>
      </c>
      <c r="AD172" s="26">
        <v>22000</v>
      </c>
      <c r="AE172" s="26">
        <f>+AD172+20000</f>
        <v>42000</v>
      </c>
      <c r="AF172" s="26">
        <f>+AE172+15000</f>
        <v>57000</v>
      </c>
      <c r="AG172" s="26">
        <f t="shared" ref="AG172:AM172" si="909">+AF172+17500</f>
        <v>74500</v>
      </c>
      <c r="AH172" s="26">
        <f t="shared" si="909"/>
        <v>92000</v>
      </c>
      <c r="AI172" s="26">
        <f t="shared" si="909"/>
        <v>109500</v>
      </c>
      <c r="AJ172" s="26">
        <f t="shared" si="909"/>
        <v>127000</v>
      </c>
      <c r="AK172" s="26">
        <f t="shared" si="909"/>
        <v>144500</v>
      </c>
      <c r="AL172" s="26">
        <f t="shared" si="909"/>
        <v>162000</v>
      </c>
      <c r="AM172" s="26">
        <f t="shared" si="909"/>
        <v>179500</v>
      </c>
      <c r="AN172" s="26">
        <v>197000</v>
      </c>
      <c r="AO172" s="26">
        <f t="shared" si="714"/>
        <v>1432000</v>
      </c>
      <c r="AP172" s="27">
        <f t="shared" si="715"/>
        <v>2260</v>
      </c>
      <c r="AQ172" s="27">
        <f t="shared" si="716"/>
        <v>2110</v>
      </c>
      <c r="AR172" s="27">
        <f t="shared" si="717"/>
        <v>2460</v>
      </c>
      <c r="AS172" s="27">
        <f t="shared" si="718"/>
        <v>2785</v>
      </c>
      <c r="AT172" s="27">
        <f t="shared" si="719"/>
        <v>3122.5</v>
      </c>
      <c r="AU172" s="27">
        <f t="shared" si="720"/>
        <v>460</v>
      </c>
      <c r="AV172" s="27">
        <f t="shared" si="721"/>
        <v>797.5</v>
      </c>
      <c r="AW172" s="27">
        <f t="shared" si="722"/>
        <v>1135</v>
      </c>
      <c r="AX172" s="27">
        <f t="shared" si="723"/>
        <v>1472.5</v>
      </c>
      <c r="AY172" s="27">
        <f t="shared" si="724"/>
        <v>1810</v>
      </c>
      <c r="AZ172" s="27">
        <f t="shared" si="725"/>
        <v>2147.5</v>
      </c>
      <c r="BA172" s="27">
        <f t="shared" si="726"/>
        <v>2485</v>
      </c>
      <c r="BB172" s="27">
        <v>300000</v>
      </c>
      <c r="BC172" s="26">
        <v>500000</v>
      </c>
      <c r="BD172" s="27">
        <f t="shared" si="893"/>
        <v>23045</v>
      </c>
      <c r="BE172" s="28">
        <f t="shared" si="894"/>
        <v>2094.9598186154785</v>
      </c>
      <c r="BF172" s="28">
        <f t="shared" si="895"/>
        <v>1878.4288138144493</v>
      </c>
      <c r="BG172" s="28">
        <f t="shared" si="896"/>
        <v>6292.2789314590818</v>
      </c>
      <c r="BH172" s="28">
        <f t="shared" si="897"/>
        <v>10663.824542133392</v>
      </c>
      <c r="BI172" s="28">
        <f t="shared" si="898"/>
        <v>8651.1903413395103</v>
      </c>
      <c r="BJ172" s="28">
        <f t="shared" si="899"/>
        <v>5666.2185788914303</v>
      </c>
      <c r="BK172" s="28">
        <f t="shared" si="900"/>
        <v>4304.2818532931024</v>
      </c>
      <c r="BL172" s="28">
        <f t="shared" si="901"/>
        <v>8220.3749453660839</v>
      </c>
      <c r="BM172" s="28">
        <f t="shared" si="902"/>
        <v>9025.5510164461957</v>
      </c>
      <c r="BN172" s="28">
        <f t="shared" si="903"/>
        <v>8109.4591464553441</v>
      </c>
      <c r="BO172" s="28">
        <f t="shared" si="904"/>
        <v>6269.9514348499561</v>
      </c>
      <c r="BP172" s="28">
        <f t="shared" si="905"/>
        <v>5841.6439359775795</v>
      </c>
      <c r="BQ172" s="29">
        <f t="shared" si="727"/>
        <v>77018.163358641614</v>
      </c>
      <c r="BR172" s="26">
        <f t="shared" si="879"/>
        <v>65516.392187525453</v>
      </c>
      <c r="BS172" s="26">
        <f t="shared" si="709"/>
        <v>142534.55554616707</v>
      </c>
      <c r="BT172" s="26">
        <f t="shared" si="880"/>
        <v>165579.55554616707</v>
      </c>
      <c r="BU172" s="111">
        <f t="shared" si="888"/>
        <v>1332000</v>
      </c>
      <c r="BV172" s="110">
        <v>117</v>
      </c>
    </row>
    <row r="173" spans="1:74" ht="13.5" customHeight="1" x14ac:dyDescent="0.2">
      <c r="A173" s="15">
        <v>165</v>
      </c>
      <c r="B173" s="15">
        <v>256</v>
      </c>
      <c r="C173" s="14" t="s">
        <v>163</v>
      </c>
      <c r="D173" s="8">
        <v>100000</v>
      </c>
      <c r="E173" s="8">
        <f t="shared" ref="E173:G173" si="910">+F173-15000</f>
        <v>630000</v>
      </c>
      <c r="F173" s="8">
        <f t="shared" si="910"/>
        <v>645000</v>
      </c>
      <c r="G173" s="8">
        <f t="shared" si="910"/>
        <v>660000</v>
      </c>
      <c r="H173" s="8">
        <f t="shared" ref="H173:O173" si="911">+I173-20000</f>
        <v>675000</v>
      </c>
      <c r="I173" s="8">
        <f t="shared" si="911"/>
        <v>695000</v>
      </c>
      <c r="J173" s="8">
        <f t="shared" si="911"/>
        <v>715000</v>
      </c>
      <c r="K173" s="8">
        <f t="shared" si="911"/>
        <v>735000</v>
      </c>
      <c r="L173" s="8">
        <f t="shared" si="911"/>
        <v>755000</v>
      </c>
      <c r="M173" s="8">
        <f t="shared" si="911"/>
        <v>775000</v>
      </c>
      <c r="N173" s="8">
        <f t="shared" si="911"/>
        <v>795000</v>
      </c>
      <c r="O173" s="8">
        <f t="shared" si="911"/>
        <v>815000</v>
      </c>
      <c r="P173" s="8">
        <v>835000</v>
      </c>
      <c r="Q173" s="8">
        <v>350000</v>
      </c>
      <c r="R173" s="8">
        <f>+Q173+50000</f>
        <v>400000</v>
      </c>
      <c r="S173" s="8">
        <f t="shared" si="908"/>
        <v>450000</v>
      </c>
      <c r="T173" s="8">
        <f t="shared" si="908"/>
        <v>500000</v>
      </c>
      <c r="U173" s="8">
        <f t="shared" si="908"/>
        <v>550000</v>
      </c>
      <c r="V173" s="8">
        <v>0</v>
      </c>
      <c r="W173" s="8">
        <f t="shared" si="908"/>
        <v>50000</v>
      </c>
      <c r="X173" s="8">
        <f t="shared" si="908"/>
        <v>100000</v>
      </c>
      <c r="Y173" s="8">
        <f t="shared" si="908"/>
        <v>150000</v>
      </c>
      <c r="Z173" s="8">
        <f t="shared" si="908"/>
        <v>200000</v>
      </c>
      <c r="AA173" s="8">
        <f t="shared" si="908"/>
        <v>250000</v>
      </c>
      <c r="AB173" s="8">
        <v>300000</v>
      </c>
      <c r="AC173" s="8">
        <v>2969000</v>
      </c>
      <c r="AD173" s="8">
        <f>+AC173+20000</f>
        <v>2989000</v>
      </c>
      <c r="AE173" s="8">
        <f>+AD173+20000</f>
        <v>3009000</v>
      </c>
      <c r="AF173" s="8">
        <f>+AE173+15000</f>
        <v>3024000</v>
      </c>
      <c r="AG173" s="8">
        <f t="shared" ref="AG173:AM173" si="912">+AF173+15000</f>
        <v>3039000</v>
      </c>
      <c r="AH173" s="8">
        <f t="shared" si="912"/>
        <v>3054000</v>
      </c>
      <c r="AI173" s="8">
        <f>+AH173+15000-2000000</f>
        <v>1069000</v>
      </c>
      <c r="AJ173" s="8">
        <f t="shared" si="912"/>
        <v>1084000</v>
      </c>
      <c r="AK173" s="8">
        <f>+AJ173+1995000</f>
        <v>3079000</v>
      </c>
      <c r="AL173" s="8">
        <f t="shared" si="912"/>
        <v>3094000</v>
      </c>
      <c r="AM173" s="8">
        <f t="shared" si="912"/>
        <v>3109000</v>
      </c>
      <c r="AN173" s="8">
        <v>3124000</v>
      </c>
      <c r="AO173" s="8">
        <f t="shared" si="714"/>
        <v>4359000</v>
      </c>
      <c r="AP173" s="16">
        <f t="shared" si="715"/>
        <v>16595</v>
      </c>
      <c r="AQ173" s="16">
        <f t="shared" si="716"/>
        <v>16945</v>
      </c>
      <c r="AR173" s="16">
        <f t="shared" si="717"/>
        <v>17295</v>
      </c>
      <c r="AS173" s="16">
        <f t="shared" si="718"/>
        <v>17620</v>
      </c>
      <c r="AT173" s="16">
        <f t="shared" si="719"/>
        <v>17945</v>
      </c>
      <c r="AU173" s="16">
        <f t="shared" si="720"/>
        <v>15270</v>
      </c>
      <c r="AV173" s="16">
        <f t="shared" si="721"/>
        <v>5595</v>
      </c>
      <c r="AW173" s="16">
        <f t="shared" si="722"/>
        <v>5920</v>
      </c>
      <c r="AX173" s="16">
        <f t="shared" si="723"/>
        <v>16145</v>
      </c>
      <c r="AY173" s="16">
        <f t="shared" si="724"/>
        <v>16470</v>
      </c>
      <c r="AZ173" s="16">
        <f t="shared" si="725"/>
        <v>16795</v>
      </c>
      <c r="BA173" s="16">
        <f t="shared" si="726"/>
        <v>17120</v>
      </c>
      <c r="BB173" s="16">
        <v>150000</v>
      </c>
      <c r="BC173" s="8">
        <v>1400000</v>
      </c>
      <c r="BD173" s="16">
        <f t="shared" si="893"/>
        <v>179715</v>
      </c>
      <c r="BE173" s="23">
        <f t="shared" si="894"/>
        <v>7176.3894294196889</v>
      </c>
      <c r="BF173" s="23">
        <f t="shared" si="895"/>
        <v>6654.1771347977146</v>
      </c>
      <c r="BG173" s="23">
        <f t="shared" si="896"/>
        <v>21203.773811362513</v>
      </c>
      <c r="BH173" s="23">
        <f t="shared" si="897"/>
        <v>34417.253533507101</v>
      </c>
      <c r="BI173" s="23">
        <f t="shared" si="898"/>
        <v>26718.434981636077</v>
      </c>
      <c r="BJ173" s="23">
        <f t="shared" si="899"/>
        <v>24170.451688788249</v>
      </c>
      <c r="BK173" s="23">
        <f t="shared" si="900"/>
        <v>8457.0806851027883</v>
      </c>
      <c r="BL173" s="23">
        <f t="shared" si="901"/>
        <v>15491.076260260115</v>
      </c>
      <c r="BM173" s="23">
        <f t="shared" si="902"/>
        <v>31672.391082937313</v>
      </c>
      <c r="BN173" s="23">
        <f t="shared" si="903"/>
        <v>27025.079048927157</v>
      </c>
      <c r="BO173" s="23">
        <f t="shared" si="904"/>
        <v>19931.40381744047</v>
      </c>
      <c r="BP173" s="23">
        <f t="shared" si="905"/>
        <v>17781.931506233428</v>
      </c>
      <c r="BQ173" s="22">
        <f t="shared" si="727"/>
        <v>240699.4429804126</v>
      </c>
      <c r="BR173" s="8">
        <f t="shared" si="879"/>
        <v>32758.196093762726</v>
      </c>
      <c r="BS173" s="8">
        <f t="shared" si="709"/>
        <v>273457.63907417533</v>
      </c>
      <c r="BT173" s="8">
        <f t="shared" si="880"/>
        <v>453172.63907417533</v>
      </c>
    </row>
    <row r="174" spans="1:74" s="110" customFormat="1" ht="13.5" customHeight="1" x14ac:dyDescent="0.2">
      <c r="A174" s="24">
        <v>166</v>
      </c>
      <c r="B174" s="24">
        <v>257</v>
      </c>
      <c r="C174" s="25" t="s">
        <v>164</v>
      </c>
      <c r="D174" s="26">
        <v>100000</v>
      </c>
      <c r="E174" s="26">
        <f t="shared" ref="E174:G174" si="913">+F174-25000</f>
        <v>990000</v>
      </c>
      <c r="F174" s="26">
        <f t="shared" si="913"/>
        <v>1015000</v>
      </c>
      <c r="G174" s="26">
        <f t="shared" si="913"/>
        <v>1040000</v>
      </c>
      <c r="H174" s="26">
        <f t="shared" ref="H174:O174" si="914">+I174-50000</f>
        <v>1065000</v>
      </c>
      <c r="I174" s="26">
        <f t="shared" si="914"/>
        <v>1115000</v>
      </c>
      <c r="J174" s="26">
        <f t="shared" si="914"/>
        <v>1165000</v>
      </c>
      <c r="K174" s="26">
        <f t="shared" si="914"/>
        <v>1215000</v>
      </c>
      <c r="L174" s="26">
        <f t="shared" si="914"/>
        <v>1265000</v>
      </c>
      <c r="M174" s="26">
        <f t="shared" si="914"/>
        <v>1315000</v>
      </c>
      <c r="N174" s="26">
        <f t="shared" si="914"/>
        <v>1365000</v>
      </c>
      <c r="O174" s="26">
        <f t="shared" si="914"/>
        <v>1415000</v>
      </c>
      <c r="P174" s="26">
        <v>1465000</v>
      </c>
      <c r="Q174" s="26">
        <v>600000</v>
      </c>
      <c r="R174" s="26">
        <f>+Q174+100000</f>
        <v>700000</v>
      </c>
      <c r="S174" s="26">
        <f t="shared" ref="S174:AA174" si="915">+R174+100000</f>
        <v>800000</v>
      </c>
      <c r="T174" s="26">
        <f t="shared" si="915"/>
        <v>900000</v>
      </c>
      <c r="U174" s="26">
        <f t="shared" si="915"/>
        <v>1000000</v>
      </c>
      <c r="V174" s="26">
        <v>0</v>
      </c>
      <c r="W174" s="26">
        <f t="shared" si="915"/>
        <v>100000</v>
      </c>
      <c r="X174" s="26">
        <f t="shared" si="915"/>
        <v>200000</v>
      </c>
      <c r="Y174" s="26">
        <f t="shared" si="915"/>
        <v>300000</v>
      </c>
      <c r="Z174" s="26">
        <f t="shared" si="915"/>
        <v>400000</v>
      </c>
      <c r="AA174" s="26">
        <f t="shared" si="915"/>
        <v>500000</v>
      </c>
      <c r="AB174" s="26">
        <v>600000</v>
      </c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>
        <v>0</v>
      </c>
      <c r="AO174" s="26">
        <f t="shared" si="714"/>
        <v>2165000</v>
      </c>
      <c r="AP174" s="27">
        <f t="shared" si="715"/>
        <v>3000</v>
      </c>
      <c r="AQ174" s="27">
        <f t="shared" si="716"/>
        <v>3500</v>
      </c>
      <c r="AR174" s="27">
        <f t="shared" si="717"/>
        <v>4000</v>
      </c>
      <c r="AS174" s="27">
        <f t="shared" si="718"/>
        <v>4500</v>
      </c>
      <c r="AT174" s="27">
        <f t="shared" si="719"/>
        <v>5000</v>
      </c>
      <c r="AU174" s="27">
        <f t="shared" si="720"/>
        <v>0</v>
      </c>
      <c r="AV174" s="27">
        <f t="shared" si="721"/>
        <v>500</v>
      </c>
      <c r="AW174" s="27">
        <f t="shared" si="722"/>
        <v>1000</v>
      </c>
      <c r="AX174" s="27">
        <f t="shared" si="723"/>
        <v>1500</v>
      </c>
      <c r="AY174" s="27">
        <f t="shared" si="724"/>
        <v>2000</v>
      </c>
      <c r="AZ174" s="27">
        <f t="shared" si="725"/>
        <v>2500</v>
      </c>
      <c r="BA174" s="27">
        <f t="shared" si="726"/>
        <v>3000</v>
      </c>
      <c r="BB174" s="27">
        <v>0</v>
      </c>
      <c r="BC174" s="26">
        <v>0</v>
      </c>
      <c r="BD174" s="27">
        <f t="shared" si="893"/>
        <v>30500</v>
      </c>
      <c r="BE174" s="28">
        <f t="shared" si="894"/>
        <v>2995.3317203554643</v>
      </c>
      <c r="BF174" s="28">
        <f t="shared" si="895"/>
        <v>2921.4638363952231</v>
      </c>
      <c r="BG174" s="28">
        <f t="shared" si="896"/>
        <v>9750.0168746250947</v>
      </c>
      <c r="BH174" s="28">
        <f t="shared" si="897"/>
        <v>16532.130390019112</v>
      </c>
      <c r="BI174" s="28">
        <f t="shared" si="898"/>
        <v>13499.3917619352</v>
      </c>
      <c r="BJ174" s="28">
        <f t="shared" si="899"/>
        <v>7902.7194071639024</v>
      </c>
      <c r="BK174" s="28">
        <f t="shared" si="900"/>
        <v>6124.2421542581596</v>
      </c>
      <c r="BL174" s="28">
        <f t="shared" si="901"/>
        <v>11889.913853510094</v>
      </c>
      <c r="BM174" s="28">
        <f t="shared" si="902"/>
        <v>13235.41683899549</v>
      </c>
      <c r="BN174" s="28">
        <f t="shared" si="903"/>
        <v>12031.934214907889</v>
      </c>
      <c r="BO174" s="28">
        <f t="shared" si="904"/>
        <v>9396.7661890834224</v>
      </c>
      <c r="BP174" s="28">
        <f t="shared" si="905"/>
        <v>8831.8150289046516</v>
      </c>
      <c r="BQ174" s="29">
        <f t="shared" si="727"/>
        <v>115111.14227015369</v>
      </c>
      <c r="BR174" s="26">
        <f t="shared" si="879"/>
        <v>0</v>
      </c>
      <c r="BS174" s="26">
        <f t="shared" si="709"/>
        <v>115111.14227015369</v>
      </c>
      <c r="BT174" s="26">
        <f t="shared" si="880"/>
        <v>145611.14227015368</v>
      </c>
      <c r="BU174" s="111">
        <f t="shared" ref="BU174" si="916">AO174-100000</f>
        <v>2065000</v>
      </c>
      <c r="BV174" s="110">
        <v>118</v>
      </c>
    </row>
    <row r="175" spans="1:74" ht="13.5" customHeight="1" x14ac:dyDescent="0.2">
      <c r="A175" s="15">
        <v>167</v>
      </c>
      <c r="B175" s="15">
        <v>258</v>
      </c>
      <c r="C175" s="14" t="s">
        <v>165</v>
      </c>
      <c r="D175" s="8">
        <v>100000</v>
      </c>
      <c r="E175" s="8">
        <f t="shared" ref="E175:G175" si="917">+F175-25000</f>
        <v>990000</v>
      </c>
      <c r="F175" s="8">
        <f t="shared" si="917"/>
        <v>1015000</v>
      </c>
      <c r="G175" s="8">
        <f t="shared" si="917"/>
        <v>1040000</v>
      </c>
      <c r="H175" s="8">
        <f t="shared" ref="H175:O175" si="918">+I175-50000</f>
        <v>1065000</v>
      </c>
      <c r="I175" s="8">
        <f t="shared" si="918"/>
        <v>1115000</v>
      </c>
      <c r="J175" s="8">
        <f t="shared" si="918"/>
        <v>1165000</v>
      </c>
      <c r="K175" s="8">
        <f t="shared" si="918"/>
        <v>1215000</v>
      </c>
      <c r="L175" s="8">
        <f t="shared" si="918"/>
        <v>1265000</v>
      </c>
      <c r="M175" s="8">
        <f t="shared" si="918"/>
        <v>1315000</v>
      </c>
      <c r="N175" s="8">
        <f t="shared" si="918"/>
        <v>1365000</v>
      </c>
      <c r="O175" s="8">
        <f t="shared" si="918"/>
        <v>1415000</v>
      </c>
      <c r="P175" s="8">
        <v>1465000</v>
      </c>
      <c r="Q175" s="8">
        <v>1000000</v>
      </c>
      <c r="R175" s="8">
        <v>1000000</v>
      </c>
      <c r="S175" s="8">
        <v>1000000</v>
      </c>
      <c r="T175" s="8">
        <v>1000000</v>
      </c>
      <c r="U175" s="8">
        <v>1000000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2200000</v>
      </c>
      <c r="AD175" s="8">
        <f>+AC175+1000000</f>
        <v>3200000</v>
      </c>
      <c r="AE175" s="8">
        <f t="shared" ref="AE175:AM175" si="919">+AD175+1000000</f>
        <v>4200000</v>
      </c>
      <c r="AF175" s="8">
        <f t="shared" si="919"/>
        <v>5200000</v>
      </c>
      <c r="AG175" s="8">
        <f t="shared" si="919"/>
        <v>6200000</v>
      </c>
      <c r="AH175" s="8">
        <f>+AG175+1000000-2000000</f>
        <v>5200000</v>
      </c>
      <c r="AI175" s="8">
        <f t="shared" si="919"/>
        <v>6200000</v>
      </c>
      <c r="AJ175" s="8">
        <f t="shared" si="919"/>
        <v>7200000</v>
      </c>
      <c r="AK175" s="8">
        <f>+AJ175+1000000-800000</f>
        <v>7400000</v>
      </c>
      <c r="AL175" s="8">
        <f t="shared" si="919"/>
        <v>8400000</v>
      </c>
      <c r="AM175" s="8">
        <f t="shared" si="919"/>
        <v>9400000</v>
      </c>
      <c r="AN175" s="8">
        <v>9400000</v>
      </c>
      <c r="AO175" s="8">
        <f t="shared" si="714"/>
        <v>10965000</v>
      </c>
      <c r="AP175" s="16">
        <f t="shared" si="715"/>
        <v>16000</v>
      </c>
      <c r="AQ175" s="16">
        <f t="shared" si="716"/>
        <v>21000</v>
      </c>
      <c r="AR175" s="16">
        <f t="shared" si="717"/>
        <v>26000</v>
      </c>
      <c r="AS175" s="16">
        <f t="shared" si="718"/>
        <v>31000</v>
      </c>
      <c r="AT175" s="16">
        <f t="shared" si="719"/>
        <v>36000</v>
      </c>
      <c r="AU175" s="16">
        <f t="shared" si="720"/>
        <v>26000</v>
      </c>
      <c r="AV175" s="16">
        <f t="shared" si="721"/>
        <v>31000</v>
      </c>
      <c r="AW175" s="16">
        <f t="shared" si="722"/>
        <v>36000</v>
      </c>
      <c r="AX175" s="16">
        <f t="shared" si="723"/>
        <v>37000</v>
      </c>
      <c r="AY175" s="16">
        <f t="shared" si="724"/>
        <v>42000</v>
      </c>
      <c r="AZ175" s="16">
        <f t="shared" si="725"/>
        <v>47000</v>
      </c>
      <c r="BA175" s="16">
        <f t="shared" si="726"/>
        <v>47000</v>
      </c>
      <c r="BB175" s="16">
        <v>900000</v>
      </c>
      <c r="BC175" s="8">
        <v>7498000</v>
      </c>
      <c r="BD175" s="16">
        <f t="shared" si="893"/>
        <v>396000</v>
      </c>
      <c r="BE175" s="23">
        <f t="shared" si="894"/>
        <v>7603.5343670561779</v>
      </c>
      <c r="BF175" s="23">
        <f t="shared" si="895"/>
        <v>8555.1406558901435</v>
      </c>
      <c r="BG175" s="23">
        <f t="shared" si="896"/>
        <v>31863.457208826341</v>
      </c>
      <c r="BH175" s="23">
        <f t="shared" si="897"/>
        <v>58963.264078688022</v>
      </c>
      <c r="BI175" s="23">
        <f t="shared" si="898"/>
        <v>51285.499628300087</v>
      </c>
      <c r="BJ175" s="23">
        <f t="shared" si="899"/>
        <v>40388.206298272431</v>
      </c>
      <c r="BK175" s="23">
        <f t="shared" si="900"/>
        <v>32525.56875565376</v>
      </c>
      <c r="BL175" s="23">
        <f t="shared" si="901"/>
        <v>65071.637159945021</v>
      </c>
      <c r="BM175" s="23">
        <f t="shared" si="902"/>
        <v>68029.270808014713</v>
      </c>
      <c r="BN175" s="23">
        <f t="shared" si="903"/>
        <v>63643.44827349401</v>
      </c>
      <c r="BO175" s="23">
        <f t="shared" si="904"/>
        <v>50901.093277342712</v>
      </c>
      <c r="BP175" s="23">
        <f t="shared" si="905"/>
        <v>44730.185585191452</v>
      </c>
      <c r="BQ175" s="22">
        <f t="shared" si="727"/>
        <v>523560.30609667493</v>
      </c>
      <c r="BR175" s="8">
        <f t="shared" si="879"/>
        <v>196549.17656257635</v>
      </c>
      <c r="BS175" s="8">
        <f t="shared" si="709"/>
        <v>720109.48265925131</v>
      </c>
      <c r="BT175" s="8">
        <f t="shared" si="880"/>
        <v>1116109.4826592514</v>
      </c>
    </row>
    <row r="176" spans="1:74" s="135" customFormat="1" ht="13.5" customHeight="1" x14ac:dyDescent="0.2">
      <c r="A176" s="128">
        <v>168</v>
      </c>
      <c r="B176" s="128">
        <v>260</v>
      </c>
      <c r="C176" s="129" t="s">
        <v>166</v>
      </c>
      <c r="D176" s="130">
        <v>100000</v>
      </c>
      <c r="E176" s="130">
        <f t="shared" ref="E176:G176" si="920">+F176-25000</f>
        <v>960000</v>
      </c>
      <c r="F176" s="130">
        <f t="shared" si="920"/>
        <v>985000</v>
      </c>
      <c r="G176" s="130">
        <f t="shared" si="920"/>
        <v>1010000</v>
      </c>
      <c r="H176" s="130">
        <f t="shared" ref="H176:O176" si="921">+I176-50000</f>
        <v>1035000</v>
      </c>
      <c r="I176" s="130">
        <f t="shared" si="921"/>
        <v>1085000</v>
      </c>
      <c r="J176" s="130">
        <f t="shared" si="921"/>
        <v>1135000</v>
      </c>
      <c r="K176" s="130">
        <f t="shared" si="921"/>
        <v>1185000</v>
      </c>
      <c r="L176" s="130">
        <f t="shared" si="921"/>
        <v>1235000</v>
      </c>
      <c r="M176" s="130">
        <f t="shared" si="921"/>
        <v>1285000</v>
      </c>
      <c r="N176" s="130">
        <f t="shared" si="921"/>
        <v>1335000</v>
      </c>
      <c r="O176" s="130">
        <f t="shared" si="921"/>
        <v>1385000</v>
      </c>
      <c r="P176" s="130">
        <v>1435000</v>
      </c>
      <c r="Q176" s="130">
        <v>1300000</v>
      </c>
      <c r="R176" s="130">
        <f>+Q176+200000</f>
        <v>1500000</v>
      </c>
      <c r="S176" s="130">
        <f t="shared" ref="S176:AA176" si="922">+R176+200000</f>
        <v>1700000</v>
      </c>
      <c r="T176" s="130">
        <f t="shared" si="922"/>
        <v>1900000</v>
      </c>
      <c r="U176" s="130">
        <f t="shared" si="922"/>
        <v>2100000</v>
      </c>
      <c r="V176" s="130">
        <v>0</v>
      </c>
      <c r="W176" s="130">
        <f t="shared" si="922"/>
        <v>200000</v>
      </c>
      <c r="X176" s="130">
        <f t="shared" si="922"/>
        <v>400000</v>
      </c>
      <c r="Y176" s="130">
        <f t="shared" si="922"/>
        <v>600000</v>
      </c>
      <c r="Z176" s="130">
        <f t="shared" si="922"/>
        <v>800000</v>
      </c>
      <c r="AA176" s="130">
        <f t="shared" si="922"/>
        <v>1000000</v>
      </c>
      <c r="AB176" s="130">
        <v>1200000</v>
      </c>
      <c r="AC176" s="130">
        <v>900000</v>
      </c>
      <c r="AD176" s="130">
        <f>+AC176+100000</f>
        <v>1000000</v>
      </c>
      <c r="AE176" s="130">
        <f>+AD176+100000-1000000</f>
        <v>100000</v>
      </c>
      <c r="AF176" s="130">
        <f t="shared" ref="AF176:AM176" si="923">+AE176+100000</f>
        <v>200000</v>
      </c>
      <c r="AG176" s="130">
        <f t="shared" si="923"/>
        <v>300000</v>
      </c>
      <c r="AH176" s="130">
        <f t="shared" si="923"/>
        <v>400000</v>
      </c>
      <c r="AI176" s="130">
        <f t="shared" si="923"/>
        <v>500000</v>
      </c>
      <c r="AJ176" s="130">
        <f t="shared" si="923"/>
        <v>600000</v>
      </c>
      <c r="AK176" s="130">
        <f>+AJ176+100000-600000</f>
        <v>100000</v>
      </c>
      <c r="AL176" s="130">
        <f t="shared" si="923"/>
        <v>200000</v>
      </c>
      <c r="AM176" s="130">
        <f t="shared" si="923"/>
        <v>300000</v>
      </c>
      <c r="AN176" s="130">
        <v>400000</v>
      </c>
      <c r="AO176" s="130">
        <f t="shared" si="714"/>
        <v>3135000</v>
      </c>
      <c r="AP176" s="131">
        <f t="shared" si="715"/>
        <v>11000</v>
      </c>
      <c r="AQ176" s="131">
        <f t="shared" si="716"/>
        <v>12500</v>
      </c>
      <c r="AR176" s="131">
        <f t="shared" si="717"/>
        <v>9000</v>
      </c>
      <c r="AS176" s="131">
        <f t="shared" si="718"/>
        <v>10500</v>
      </c>
      <c r="AT176" s="131">
        <f t="shared" si="719"/>
        <v>12000</v>
      </c>
      <c r="AU176" s="131">
        <f t="shared" si="720"/>
        <v>2000</v>
      </c>
      <c r="AV176" s="131">
        <f t="shared" si="721"/>
        <v>3500</v>
      </c>
      <c r="AW176" s="131">
        <f t="shared" si="722"/>
        <v>5000</v>
      </c>
      <c r="AX176" s="131">
        <f t="shared" si="723"/>
        <v>3500</v>
      </c>
      <c r="AY176" s="131">
        <f t="shared" si="724"/>
        <v>5000</v>
      </c>
      <c r="AZ176" s="131">
        <f t="shared" si="725"/>
        <v>6500</v>
      </c>
      <c r="BA176" s="131">
        <f t="shared" si="726"/>
        <v>8000</v>
      </c>
      <c r="BB176" s="131">
        <v>2850000</v>
      </c>
      <c r="BC176" s="130">
        <v>6000000</v>
      </c>
      <c r="BD176" s="131">
        <f t="shared" si="893"/>
        <v>88500</v>
      </c>
      <c r="BE176" s="132">
        <f t="shared" si="894"/>
        <v>5777.9771647093567</v>
      </c>
      <c r="BF176" s="132">
        <f t="shared" si="895"/>
        <v>5770.4946851112254</v>
      </c>
      <c r="BG176" s="132">
        <f t="shared" si="896"/>
        <v>14625.025311937641</v>
      </c>
      <c r="BH176" s="132">
        <f t="shared" si="897"/>
        <v>25899.003298649794</v>
      </c>
      <c r="BI176" s="132">
        <f t="shared" si="898"/>
        <v>21848.902693696473</v>
      </c>
      <c r="BJ176" s="132">
        <f t="shared" si="899"/>
        <v>10214.186743646624</v>
      </c>
      <c r="BK176" s="132">
        <f t="shared" si="900"/>
        <v>8591.2513612738148</v>
      </c>
      <c r="BL176" s="132">
        <f t="shared" si="901"/>
        <v>17739.903417217934</v>
      </c>
      <c r="BM176" s="132">
        <f t="shared" si="902"/>
        <v>16090.871200761279</v>
      </c>
      <c r="BN176" s="132">
        <f t="shared" si="903"/>
        <v>15709.25459158215</v>
      </c>
      <c r="BO176" s="132">
        <f t="shared" si="904"/>
        <v>12987.589993348553</v>
      </c>
      <c r="BP176" s="132">
        <f t="shared" si="905"/>
        <v>12788.794510677173</v>
      </c>
      <c r="BQ176" s="133">
        <f>SUM(BE176:BP176)</f>
        <v>168043.25497261199</v>
      </c>
      <c r="BR176" s="130">
        <f t="shared" si="879"/>
        <v>622405.72578149172</v>
      </c>
      <c r="BS176" s="130">
        <f t="shared" si="709"/>
        <v>790448.98075410374</v>
      </c>
      <c r="BT176" s="130">
        <f t="shared" si="880"/>
        <v>878948.98075410374</v>
      </c>
      <c r="BU176" s="134">
        <f t="shared" ref="BU176" si="924">AO176-100000</f>
        <v>3035000</v>
      </c>
      <c r="BV176" s="135">
        <v>119</v>
      </c>
    </row>
    <row r="177" spans="1:74" ht="13.5" customHeight="1" x14ac:dyDescent="0.2">
      <c r="A177" s="15">
        <v>169</v>
      </c>
      <c r="B177" s="15">
        <v>261</v>
      </c>
      <c r="C177" s="14" t="s">
        <v>167</v>
      </c>
      <c r="D177" s="8">
        <v>100000</v>
      </c>
      <c r="E177" s="8">
        <f t="shared" ref="E177:G177" si="925">+F177-25000</f>
        <v>930000</v>
      </c>
      <c r="F177" s="8">
        <f t="shared" si="925"/>
        <v>955000</v>
      </c>
      <c r="G177" s="8">
        <f t="shared" si="925"/>
        <v>980000</v>
      </c>
      <c r="H177" s="8">
        <f t="shared" ref="H177:O177" si="926">+I177-50000</f>
        <v>1005000</v>
      </c>
      <c r="I177" s="8">
        <f t="shared" si="926"/>
        <v>1055000</v>
      </c>
      <c r="J177" s="8">
        <f t="shared" si="926"/>
        <v>1105000</v>
      </c>
      <c r="K177" s="8">
        <f t="shared" si="926"/>
        <v>1155000</v>
      </c>
      <c r="L177" s="8">
        <f t="shared" si="926"/>
        <v>1205000</v>
      </c>
      <c r="M177" s="8">
        <f t="shared" si="926"/>
        <v>1255000</v>
      </c>
      <c r="N177" s="8">
        <f t="shared" si="926"/>
        <v>1305000</v>
      </c>
      <c r="O177" s="8">
        <f t="shared" si="926"/>
        <v>1355000</v>
      </c>
      <c r="P177" s="8">
        <v>1405000</v>
      </c>
      <c r="Q177" s="8">
        <v>250000</v>
      </c>
      <c r="R177" s="8">
        <f>+Q177+50000</f>
        <v>300000</v>
      </c>
      <c r="S177" s="8">
        <f t="shared" ref="S177:U177" si="927">+R177+50000</f>
        <v>350000</v>
      </c>
      <c r="T177" s="8">
        <f t="shared" si="927"/>
        <v>400000</v>
      </c>
      <c r="U177" s="8">
        <f t="shared" si="927"/>
        <v>450000</v>
      </c>
      <c r="V177" s="8">
        <v>0</v>
      </c>
      <c r="W177" s="8">
        <f>+V177+100000</f>
        <v>100000</v>
      </c>
      <c r="X177" s="8">
        <f t="shared" ref="X177:AA177" si="928">+W177+100000</f>
        <v>200000</v>
      </c>
      <c r="Y177" s="8">
        <f t="shared" si="928"/>
        <v>300000</v>
      </c>
      <c r="Z177" s="8">
        <f t="shared" si="928"/>
        <v>400000</v>
      </c>
      <c r="AA177" s="8">
        <f t="shared" si="928"/>
        <v>500000</v>
      </c>
      <c r="AB177" s="8">
        <v>600000</v>
      </c>
      <c r="AC177" s="8">
        <v>45000</v>
      </c>
      <c r="AD177" s="8">
        <f>+AC177+25000</f>
        <v>70000</v>
      </c>
      <c r="AE177" s="8">
        <f t="shared" ref="AE177:AM177" si="929">+AD177+25000</f>
        <v>95000</v>
      </c>
      <c r="AF177" s="8">
        <v>20000</v>
      </c>
      <c r="AG177" s="8">
        <f t="shared" si="929"/>
        <v>45000</v>
      </c>
      <c r="AH177" s="8">
        <f t="shared" si="929"/>
        <v>70000</v>
      </c>
      <c r="AI177" s="8">
        <f t="shared" si="929"/>
        <v>95000</v>
      </c>
      <c r="AJ177" s="8">
        <f t="shared" si="929"/>
        <v>120000</v>
      </c>
      <c r="AK177" s="8">
        <f t="shared" si="929"/>
        <v>145000</v>
      </c>
      <c r="AL177" s="8">
        <f t="shared" si="929"/>
        <v>170000</v>
      </c>
      <c r="AM177" s="8">
        <f t="shared" si="929"/>
        <v>195000</v>
      </c>
      <c r="AN177" s="8">
        <v>20000</v>
      </c>
      <c r="AO177" s="8">
        <f t="shared" si="714"/>
        <v>2125000</v>
      </c>
      <c r="AP177" s="16">
        <f t="shared" si="715"/>
        <v>1475</v>
      </c>
      <c r="AQ177" s="16">
        <f t="shared" si="716"/>
        <v>1850</v>
      </c>
      <c r="AR177" s="16">
        <f t="shared" si="717"/>
        <v>2225</v>
      </c>
      <c r="AS177" s="16">
        <f t="shared" si="718"/>
        <v>2100</v>
      </c>
      <c r="AT177" s="16">
        <f t="shared" si="719"/>
        <v>2475</v>
      </c>
      <c r="AU177" s="16">
        <f t="shared" si="720"/>
        <v>350</v>
      </c>
      <c r="AV177" s="16">
        <f t="shared" si="721"/>
        <v>975</v>
      </c>
      <c r="AW177" s="16">
        <f t="shared" si="722"/>
        <v>1600</v>
      </c>
      <c r="AX177" s="16">
        <f t="shared" si="723"/>
        <v>2225</v>
      </c>
      <c r="AY177" s="16">
        <f t="shared" si="724"/>
        <v>2850</v>
      </c>
      <c r="AZ177" s="16">
        <f t="shared" si="725"/>
        <v>3475</v>
      </c>
      <c r="BA177" s="16">
        <f t="shared" si="726"/>
        <v>3100</v>
      </c>
      <c r="BB177" s="16">
        <v>810000</v>
      </c>
      <c r="BC177" s="8">
        <v>2250000</v>
      </c>
      <c r="BD177" s="16">
        <f t="shared" si="893"/>
        <v>24700</v>
      </c>
      <c r="BE177" s="23">
        <f t="shared" si="894"/>
        <v>2348.4109641840178</v>
      </c>
      <c r="BF177" s="23">
        <f t="shared" si="895"/>
        <v>2293.7112765086463</v>
      </c>
      <c r="BG177" s="23">
        <f t="shared" si="896"/>
        <v>7664.3173885583865</v>
      </c>
      <c r="BH177" s="23">
        <f t="shared" si="897"/>
        <v>12208.958278343413</v>
      </c>
      <c r="BI177" s="23">
        <f t="shared" si="898"/>
        <v>10055.980319274528</v>
      </c>
      <c r="BJ177" s="23">
        <f t="shared" si="899"/>
        <v>7965.1914973391104</v>
      </c>
      <c r="BK177" s="23">
        <f t="shared" si="900"/>
        <v>6275.725175741577</v>
      </c>
      <c r="BL177" s="23">
        <f t="shared" si="901"/>
        <v>12345.757196136679</v>
      </c>
      <c r="BM177" s="23">
        <f t="shared" si="902"/>
        <v>13891.399597779522</v>
      </c>
      <c r="BN177" s="23">
        <f t="shared" si="903"/>
        <v>12741.592533213448</v>
      </c>
      <c r="BO177" s="23">
        <f t="shared" si="904"/>
        <v>10026.326206714322</v>
      </c>
      <c r="BP177" s="23">
        <f t="shared" si="905"/>
        <v>8668.6406172851657</v>
      </c>
      <c r="BQ177" s="22">
        <f t="shared" si="727"/>
        <v>106486.01105107882</v>
      </c>
      <c r="BR177" s="8">
        <f t="shared" si="879"/>
        <v>176894.25890631872</v>
      </c>
      <c r="BS177" s="8">
        <f t="shared" si="709"/>
        <v>283380.26995739754</v>
      </c>
      <c r="BT177" s="8">
        <f t="shared" si="880"/>
        <v>308080.26995739754</v>
      </c>
    </row>
    <row r="178" spans="1:74" ht="13.5" customHeight="1" x14ac:dyDescent="0.2">
      <c r="A178" s="15">
        <v>170</v>
      </c>
      <c r="B178" s="15">
        <v>262</v>
      </c>
      <c r="C178" s="14" t="s">
        <v>175</v>
      </c>
      <c r="D178" s="8">
        <v>100000</v>
      </c>
      <c r="E178" s="8">
        <f t="shared" ref="E178:F178" si="930">+F178-15000</f>
        <v>540000</v>
      </c>
      <c r="F178" s="8">
        <f t="shared" si="930"/>
        <v>555000</v>
      </c>
      <c r="G178" s="8">
        <f>+H178-15000</f>
        <v>570000</v>
      </c>
      <c r="H178" s="8">
        <f t="shared" ref="H178:N178" si="931">+I178-20000</f>
        <v>585000</v>
      </c>
      <c r="I178" s="8">
        <f t="shared" si="931"/>
        <v>605000</v>
      </c>
      <c r="J178" s="8">
        <f t="shared" si="931"/>
        <v>625000</v>
      </c>
      <c r="K178" s="8">
        <f t="shared" si="931"/>
        <v>645000</v>
      </c>
      <c r="L178" s="8">
        <f t="shared" si="931"/>
        <v>665000</v>
      </c>
      <c r="M178" s="8">
        <f t="shared" si="931"/>
        <v>685000</v>
      </c>
      <c r="N178" s="8">
        <f t="shared" si="931"/>
        <v>705000</v>
      </c>
      <c r="O178" s="8">
        <f>+P178-20000</f>
        <v>725000</v>
      </c>
      <c r="P178" s="8">
        <v>745000</v>
      </c>
      <c r="Q178" s="8">
        <v>585000</v>
      </c>
      <c r="R178" s="8">
        <v>685000</v>
      </c>
      <c r="S178" s="8">
        <v>685000</v>
      </c>
      <c r="T178" s="8">
        <v>685000</v>
      </c>
      <c r="U178" s="8">
        <v>685000</v>
      </c>
      <c r="V178" s="8">
        <v>0</v>
      </c>
      <c r="W178" s="8">
        <f>+V178+100000</f>
        <v>100000</v>
      </c>
      <c r="X178" s="8">
        <f>+W178+275000</f>
        <v>375000</v>
      </c>
      <c r="Y178" s="8">
        <v>375000</v>
      </c>
      <c r="Z178" s="8">
        <v>375000</v>
      </c>
      <c r="AA178" s="8">
        <v>375000</v>
      </c>
      <c r="AB178" s="8">
        <v>375000</v>
      </c>
      <c r="AC178" s="8">
        <v>6105000</v>
      </c>
      <c r="AD178" s="8">
        <f>+AC178+110000</f>
        <v>6215000</v>
      </c>
      <c r="AE178" s="8">
        <f>+AD178+185000</f>
        <v>6400000</v>
      </c>
      <c r="AF178" s="8">
        <f>+AE178+185000-300000</f>
        <v>6285000</v>
      </c>
      <c r="AG178" s="8">
        <f t="shared" ref="AG178:AM178" si="932">+AF178+5000</f>
        <v>6290000</v>
      </c>
      <c r="AH178" s="8">
        <f>+AG178+5000-2000000</f>
        <v>4295000</v>
      </c>
      <c r="AI178" s="8">
        <f>+AH178+105000</f>
        <v>4400000</v>
      </c>
      <c r="AJ178" s="8">
        <f>+AI178+4380000</f>
        <v>8780000</v>
      </c>
      <c r="AK178" s="8">
        <f>+AJ178-1000000</f>
        <v>7780000</v>
      </c>
      <c r="AL178" s="8">
        <f>+AK178+5000-1000000</f>
        <v>6785000</v>
      </c>
      <c r="AM178" s="8">
        <f t="shared" si="932"/>
        <v>6790000</v>
      </c>
      <c r="AN178" s="8">
        <v>6295000</v>
      </c>
      <c r="AO178" s="8">
        <f t="shared" si="714"/>
        <v>7515000</v>
      </c>
      <c r="AP178" s="16">
        <f t="shared" si="715"/>
        <v>33450</v>
      </c>
      <c r="AQ178" s="16">
        <f t="shared" si="716"/>
        <v>34500</v>
      </c>
      <c r="AR178" s="16">
        <f t="shared" si="717"/>
        <v>35425</v>
      </c>
      <c r="AS178" s="16">
        <f t="shared" si="718"/>
        <v>34850</v>
      </c>
      <c r="AT178" s="16">
        <f t="shared" si="719"/>
        <v>34875</v>
      </c>
      <c r="AU178" s="16">
        <f t="shared" si="720"/>
        <v>21475</v>
      </c>
      <c r="AV178" s="16">
        <f t="shared" si="721"/>
        <v>22500</v>
      </c>
      <c r="AW178" s="16">
        <f t="shared" si="722"/>
        <v>45775</v>
      </c>
      <c r="AX178" s="16">
        <f t="shared" si="723"/>
        <v>40775</v>
      </c>
      <c r="AY178" s="16">
        <f t="shared" si="724"/>
        <v>35800</v>
      </c>
      <c r="AZ178" s="16">
        <f t="shared" si="725"/>
        <v>35825</v>
      </c>
      <c r="BA178" s="16">
        <f t="shared" si="726"/>
        <v>33350</v>
      </c>
      <c r="BB178" s="16">
        <v>900000</v>
      </c>
      <c r="BC178" s="8">
        <v>295000</v>
      </c>
      <c r="BD178" s="16">
        <f t="shared" si="893"/>
        <v>408600</v>
      </c>
      <c r="BE178" s="23">
        <f t="shared" si="894"/>
        <v>12991.58669242932</v>
      </c>
      <c r="BF178" s="23">
        <f t="shared" si="895"/>
        <v>12160.693820366892</v>
      </c>
      <c r="BG178" s="23">
        <f t="shared" si="896"/>
        <v>38974.938589029698</v>
      </c>
      <c r="BH178" s="23">
        <f t="shared" si="897"/>
        <v>61284.967620143485</v>
      </c>
      <c r="BI178" s="23">
        <f t="shared" si="898"/>
        <v>46806.017486077799</v>
      </c>
      <c r="BJ178" s="23">
        <f t="shared" si="899"/>
        <v>31360.989267954774</v>
      </c>
      <c r="BK178" s="23">
        <f t="shared" si="900"/>
        <v>22700.812790872118</v>
      </c>
      <c r="BL178" s="23">
        <f t="shared" si="901"/>
        <v>75366.099314262057</v>
      </c>
      <c r="BM178" s="23">
        <f t="shared" si="902"/>
        <v>68993.951335638296</v>
      </c>
      <c r="BN178" s="23">
        <f t="shared" si="903"/>
        <v>51385.713684579809</v>
      </c>
      <c r="BO178" s="23">
        <f t="shared" si="904"/>
        <v>37260.626228673224</v>
      </c>
      <c r="BP178" s="23">
        <f t="shared" si="905"/>
        <v>30656.392583010831</v>
      </c>
      <c r="BQ178" s="22">
        <f t="shared" si="727"/>
        <v>489942.78941303829</v>
      </c>
      <c r="BR178" s="8">
        <f t="shared" si="879"/>
        <v>196549.17656257635</v>
      </c>
      <c r="BS178" s="8">
        <f t="shared" si="709"/>
        <v>686491.96597561461</v>
      </c>
      <c r="BT178" s="8">
        <f t="shared" si="880"/>
        <v>1095091.9659756147</v>
      </c>
    </row>
    <row r="179" spans="1:74" s="110" customFormat="1" ht="13.5" customHeight="1" x14ac:dyDescent="0.2">
      <c r="A179" s="24">
        <v>171</v>
      </c>
      <c r="B179" s="24">
        <v>263</v>
      </c>
      <c r="C179" s="25" t="s">
        <v>178</v>
      </c>
      <c r="D179" s="26">
        <v>100000</v>
      </c>
      <c r="E179" s="26">
        <f t="shared" ref="E179:G179" si="933">+F179-25000</f>
        <v>800000</v>
      </c>
      <c r="F179" s="26">
        <f t="shared" si="933"/>
        <v>825000</v>
      </c>
      <c r="G179" s="26">
        <f t="shared" si="933"/>
        <v>850000</v>
      </c>
      <c r="H179" s="26">
        <f t="shared" ref="H179:O179" si="934">+I179-50000</f>
        <v>875000</v>
      </c>
      <c r="I179" s="26">
        <f t="shared" si="934"/>
        <v>925000</v>
      </c>
      <c r="J179" s="26">
        <f t="shared" si="934"/>
        <v>975000</v>
      </c>
      <c r="K179" s="26">
        <f t="shared" si="934"/>
        <v>1025000</v>
      </c>
      <c r="L179" s="26">
        <f t="shared" si="934"/>
        <v>1075000</v>
      </c>
      <c r="M179" s="26">
        <f t="shared" si="934"/>
        <v>1125000</v>
      </c>
      <c r="N179" s="26">
        <f t="shared" si="934"/>
        <v>1175000</v>
      </c>
      <c r="O179" s="26">
        <f t="shared" si="934"/>
        <v>1225000</v>
      </c>
      <c r="P179" s="26">
        <v>1275000</v>
      </c>
      <c r="Q179" s="26">
        <v>1050000</v>
      </c>
      <c r="R179" s="26">
        <f>+Q179+150000</f>
        <v>1200000</v>
      </c>
      <c r="S179" s="26">
        <f t="shared" ref="S179:U179" si="935">+R179+150000</f>
        <v>1350000</v>
      </c>
      <c r="T179" s="26">
        <f t="shared" si="935"/>
        <v>1500000</v>
      </c>
      <c r="U179" s="26">
        <f t="shared" si="935"/>
        <v>1650000</v>
      </c>
      <c r="V179" s="26">
        <v>0</v>
      </c>
      <c r="W179" s="26">
        <f>+V179+300000</f>
        <v>300000</v>
      </c>
      <c r="X179" s="26">
        <f t="shared" ref="X179:AA179" si="936">+W179+300000</f>
        <v>600000</v>
      </c>
      <c r="Y179" s="26">
        <f t="shared" si="936"/>
        <v>900000</v>
      </c>
      <c r="Z179" s="26">
        <f t="shared" si="936"/>
        <v>1200000</v>
      </c>
      <c r="AA179" s="26">
        <f t="shared" si="936"/>
        <v>1500000</v>
      </c>
      <c r="AB179" s="26">
        <v>1800000</v>
      </c>
      <c r="AC179" s="26">
        <v>805000</v>
      </c>
      <c r="AD179" s="26">
        <f>+AC179+25000</f>
        <v>830000</v>
      </c>
      <c r="AE179" s="26">
        <f t="shared" ref="AE179:AM179" si="937">+AD179+25000</f>
        <v>855000</v>
      </c>
      <c r="AF179" s="26">
        <f t="shared" si="937"/>
        <v>880000</v>
      </c>
      <c r="AG179" s="26">
        <f t="shared" si="937"/>
        <v>905000</v>
      </c>
      <c r="AH179" s="26">
        <f t="shared" si="937"/>
        <v>930000</v>
      </c>
      <c r="AI179" s="26">
        <f t="shared" si="937"/>
        <v>955000</v>
      </c>
      <c r="AJ179" s="26">
        <f t="shared" si="937"/>
        <v>980000</v>
      </c>
      <c r="AK179" s="26">
        <f t="shared" si="937"/>
        <v>1005000</v>
      </c>
      <c r="AL179" s="26">
        <f t="shared" si="937"/>
        <v>1030000</v>
      </c>
      <c r="AM179" s="26">
        <f t="shared" si="937"/>
        <v>1055000</v>
      </c>
      <c r="AN179" s="26">
        <v>1080000</v>
      </c>
      <c r="AO179" s="26">
        <f t="shared" si="714"/>
        <v>4255000</v>
      </c>
      <c r="AP179" s="27">
        <f t="shared" si="715"/>
        <v>9275</v>
      </c>
      <c r="AQ179" s="27">
        <f t="shared" si="716"/>
        <v>10150</v>
      </c>
      <c r="AR179" s="27">
        <f t="shared" si="717"/>
        <v>11025</v>
      </c>
      <c r="AS179" s="27">
        <f t="shared" si="718"/>
        <v>11900</v>
      </c>
      <c r="AT179" s="27">
        <f t="shared" si="719"/>
        <v>12775</v>
      </c>
      <c r="AU179" s="27">
        <f t="shared" si="720"/>
        <v>4650</v>
      </c>
      <c r="AV179" s="27">
        <f t="shared" si="721"/>
        <v>6275</v>
      </c>
      <c r="AW179" s="27">
        <f t="shared" si="722"/>
        <v>7900</v>
      </c>
      <c r="AX179" s="27">
        <f t="shared" si="723"/>
        <v>9525</v>
      </c>
      <c r="AY179" s="27">
        <f t="shared" si="724"/>
        <v>11150</v>
      </c>
      <c r="AZ179" s="27">
        <f t="shared" si="725"/>
        <v>12775</v>
      </c>
      <c r="BA179" s="27">
        <f t="shared" si="726"/>
        <v>14400</v>
      </c>
      <c r="BB179" s="27">
        <v>0</v>
      </c>
      <c r="BC179" s="26">
        <v>0</v>
      </c>
      <c r="BD179" s="27">
        <f t="shared" si="893"/>
        <v>121800</v>
      </c>
      <c r="BE179" s="28">
        <f t="shared" si="894"/>
        <v>4882.9224198694101</v>
      </c>
      <c r="BF179" s="28">
        <f t="shared" si="895"/>
        <v>4756.4328576021398</v>
      </c>
      <c r="BG179" s="28">
        <f t="shared" si="896"/>
        <v>15856.341876001121</v>
      </c>
      <c r="BH179" s="28">
        <f t="shared" si="897"/>
        <v>26859.708212355505</v>
      </c>
      <c r="BI179" s="28">
        <f t="shared" si="898"/>
        <v>21818.430026062309</v>
      </c>
      <c r="BJ179" s="28">
        <f t="shared" si="899"/>
        <v>12525.654080129347</v>
      </c>
      <c r="BK179" s="28">
        <f t="shared" si="900"/>
        <v>10300.845460872382</v>
      </c>
      <c r="BL179" s="28">
        <f t="shared" si="901"/>
        <v>20930.806815604032</v>
      </c>
      <c r="BM179" s="28">
        <f t="shared" si="902"/>
        <v>24155.600411694391</v>
      </c>
      <c r="BN179" s="28">
        <f t="shared" si="903"/>
        <v>22612.294596918044</v>
      </c>
      <c r="BO179" s="28">
        <f t="shared" si="904"/>
        <v>18094.021247465847</v>
      </c>
      <c r="BP179" s="28">
        <f t="shared" si="905"/>
        <v>17357.678036022768</v>
      </c>
      <c r="BQ179" s="29">
        <f t="shared" si="727"/>
        <v>200150.73604059726</v>
      </c>
      <c r="BR179" s="26">
        <f t="shared" si="879"/>
        <v>0</v>
      </c>
      <c r="BS179" s="26">
        <f t="shared" si="709"/>
        <v>200150.73604059726</v>
      </c>
      <c r="BT179" s="26">
        <f t="shared" si="880"/>
        <v>321950.73604059726</v>
      </c>
      <c r="BU179" s="111">
        <f t="shared" ref="BU179:BU181" si="938">AO179-100000</f>
        <v>4155000</v>
      </c>
      <c r="BV179" s="110">
        <v>120</v>
      </c>
    </row>
    <row r="180" spans="1:74" s="110" customFormat="1" ht="13.5" customHeight="1" x14ac:dyDescent="0.2">
      <c r="A180" s="24">
        <v>172</v>
      </c>
      <c r="B180" s="24">
        <v>264</v>
      </c>
      <c r="C180" s="25" t="s">
        <v>179</v>
      </c>
      <c r="D180" s="26">
        <v>100000</v>
      </c>
      <c r="E180" s="26">
        <f t="shared" ref="E180:G180" si="939">+F180-15000</f>
        <v>455000</v>
      </c>
      <c r="F180" s="26">
        <f t="shared" si="939"/>
        <v>470000</v>
      </c>
      <c r="G180" s="26">
        <f t="shared" si="939"/>
        <v>485000</v>
      </c>
      <c r="H180" s="26">
        <f t="shared" ref="H180:O180" si="940">+I180-20000</f>
        <v>500000</v>
      </c>
      <c r="I180" s="26">
        <f t="shared" si="940"/>
        <v>520000</v>
      </c>
      <c r="J180" s="26">
        <f t="shared" si="940"/>
        <v>540000</v>
      </c>
      <c r="K180" s="26">
        <f t="shared" si="940"/>
        <v>560000</v>
      </c>
      <c r="L180" s="26">
        <f t="shared" si="940"/>
        <v>580000</v>
      </c>
      <c r="M180" s="26">
        <f t="shared" si="940"/>
        <v>600000</v>
      </c>
      <c r="N180" s="26">
        <f t="shared" si="940"/>
        <v>620000</v>
      </c>
      <c r="O180" s="26">
        <f t="shared" si="940"/>
        <v>640000</v>
      </c>
      <c r="P180" s="26">
        <v>660000</v>
      </c>
      <c r="Q180" s="26">
        <v>240000</v>
      </c>
      <c r="R180" s="26">
        <f>+Q180+40000</f>
        <v>280000</v>
      </c>
      <c r="S180" s="26">
        <f t="shared" ref="S180:U180" si="941">+R180+40000</f>
        <v>320000</v>
      </c>
      <c r="T180" s="26">
        <f t="shared" si="941"/>
        <v>360000</v>
      </c>
      <c r="U180" s="26">
        <f t="shared" si="941"/>
        <v>400000</v>
      </c>
      <c r="V180" s="26">
        <v>0</v>
      </c>
      <c r="W180" s="26">
        <f>+V180+100000</f>
        <v>100000</v>
      </c>
      <c r="X180" s="26">
        <f t="shared" ref="X180:AA180" si="942">+W180+100000</f>
        <v>200000</v>
      </c>
      <c r="Y180" s="26">
        <f t="shared" si="942"/>
        <v>300000</v>
      </c>
      <c r="Z180" s="26">
        <f t="shared" si="942"/>
        <v>400000</v>
      </c>
      <c r="AA180" s="26">
        <f t="shared" si="942"/>
        <v>500000</v>
      </c>
      <c r="AB180" s="26">
        <v>600000</v>
      </c>
      <c r="AC180" s="26">
        <v>1890000</v>
      </c>
      <c r="AD180" s="26">
        <f>+AC180+45000</f>
        <v>1935000</v>
      </c>
      <c r="AE180" s="26">
        <v>680000</v>
      </c>
      <c r="AF180" s="26">
        <v>225000</v>
      </c>
      <c r="AG180" s="26">
        <f t="shared" ref="AG180:AM180" si="943">+AF180+45000</f>
        <v>270000</v>
      </c>
      <c r="AH180" s="26">
        <v>15000</v>
      </c>
      <c r="AI180" s="26">
        <f t="shared" si="943"/>
        <v>60000</v>
      </c>
      <c r="AJ180" s="26">
        <f t="shared" si="943"/>
        <v>105000</v>
      </c>
      <c r="AK180" s="26">
        <f t="shared" si="943"/>
        <v>150000</v>
      </c>
      <c r="AL180" s="26">
        <v>45000</v>
      </c>
      <c r="AM180" s="26">
        <f t="shared" si="943"/>
        <v>90000</v>
      </c>
      <c r="AN180" s="26">
        <v>135000</v>
      </c>
      <c r="AO180" s="26">
        <f t="shared" si="714"/>
        <v>1495000</v>
      </c>
      <c r="AP180" s="27">
        <f t="shared" si="715"/>
        <v>10650</v>
      </c>
      <c r="AQ180" s="27">
        <f t="shared" si="716"/>
        <v>11075</v>
      </c>
      <c r="AR180" s="27">
        <f t="shared" si="717"/>
        <v>5000</v>
      </c>
      <c r="AS180" s="27">
        <f t="shared" si="718"/>
        <v>2925</v>
      </c>
      <c r="AT180" s="27">
        <f t="shared" si="719"/>
        <v>3350</v>
      </c>
      <c r="AU180" s="27">
        <f t="shared" si="720"/>
        <v>75</v>
      </c>
      <c r="AV180" s="27">
        <f t="shared" si="721"/>
        <v>800</v>
      </c>
      <c r="AW180" s="27">
        <f t="shared" si="722"/>
        <v>1525</v>
      </c>
      <c r="AX180" s="27">
        <f t="shared" si="723"/>
        <v>2250</v>
      </c>
      <c r="AY180" s="27">
        <f t="shared" si="724"/>
        <v>2225</v>
      </c>
      <c r="AZ180" s="27">
        <f t="shared" si="725"/>
        <v>2950</v>
      </c>
      <c r="BA180" s="27">
        <f t="shared" si="726"/>
        <v>3675</v>
      </c>
      <c r="BB180" s="27">
        <v>855000</v>
      </c>
      <c r="BC180" s="26">
        <v>1800000</v>
      </c>
      <c r="BD180" s="27">
        <f t="shared" si="893"/>
        <v>46500</v>
      </c>
      <c r="BE180" s="28">
        <f t="shared" si="894"/>
        <v>4758.8554255351601</v>
      </c>
      <c r="BF180" s="28">
        <f t="shared" si="895"/>
        <v>4482.7971263695299</v>
      </c>
      <c r="BG180" s="28">
        <f t="shared" si="896"/>
        <v>7965.8643022065853</v>
      </c>
      <c r="BH180" s="28">
        <f t="shared" si="897"/>
        <v>9486.9610228438978</v>
      </c>
      <c r="BI180" s="28">
        <f t="shared" si="898"/>
        <v>7861.9482496146302</v>
      </c>
      <c r="BJ180" s="28">
        <f t="shared" si="899"/>
        <v>4091.9219064761705</v>
      </c>
      <c r="BK180" s="28">
        <f t="shared" si="900"/>
        <v>3549.0307890400645</v>
      </c>
      <c r="BL180" s="28">
        <f t="shared" si="901"/>
        <v>7483.4282081197716</v>
      </c>
      <c r="BM180" s="28">
        <f t="shared" si="902"/>
        <v>8875.0608541369165</v>
      </c>
      <c r="BN180" s="28">
        <f t="shared" si="903"/>
        <v>7515.926734781604</v>
      </c>
      <c r="BO180" s="28">
        <f t="shared" si="904"/>
        <v>6202.3320255488597</v>
      </c>
      <c r="BP180" s="28">
        <f t="shared" si="905"/>
        <v>6098.643634278269</v>
      </c>
      <c r="BQ180" s="29">
        <f t="shared" si="727"/>
        <v>78372.770278951459</v>
      </c>
      <c r="BR180" s="26">
        <f t="shared" si="879"/>
        <v>186721.71773444753</v>
      </c>
      <c r="BS180" s="26">
        <f t="shared" si="709"/>
        <v>265094.48801339901</v>
      </c>
      <c r="BT180" s="26">
        <f t="shared" si="880"/>
        <v>311594.48801339901</v>
      </c>
      <c r="BU180" s="111">
        <f t="shared" si="938"/>
        <v>1395000</v>
      </c>
      <c r="BV180" s="110">
        <v>121</v>
      </c>
    </row>
    <row r="181" spans="1:74" s="110" customFormat="1" ht="13.5" customHeight="1" x14ac:dyDescent="0.2">
      <c r="A181" s="24">
        <v>173</v>
      </c>
      <c r="B181" s="24">
        <v>265</v>
      </c>
      <c r="C181" s="25" t="s">
        <v>180</v>
      </c>
      <c r="D181" s="26">
        <v>100000</v>
      </c>
      <c r="E181" s="26">
        <f t="shared" ref="E181:G181" si="944">+F181-15000</f>
        <v>455000</v>
      </c>
      <c r="F181" s="26">
        <f t="shared" si="944"/>
        <v>470000</v>
      </c>
      <c r="G181" s="26">
        <f t="shared" si="944"/>
        <v>485000</v>
      </c>
      <c r="H181" s="26">
        <f t="shared" ref="H181:O181" si="945">+I181-20000</f>
        <v>500000</v>
      </c>
      <c r="I181" s="26">
        <f t="shared" si="945"/>
        <v>520000</v>
      </c>
      <c r="J181" s="26">
        <f t="shared" si="945"/>
        <v>540000</v>
      </c>
      <c r="K181" s="26">
        <f t="shared" si="945"/>
        <v>560000</v>
      </c>
      <c r="L181" s="26">
        <f t="shared" si="945"/>
        <v>580000</v>
      </c>
      <c r="M181" s="26">
        <f t="shared" si="945"/>
        <v>600000</v>
      </c>
      <c r="N181" s="26">
        <f t="shared" si="945"/>
        <v>620000</v>
      </c>
      <c r="O181" s="26">
        <f t="shared" si="945"/>
        <v>640000</v>
      </c>
      <c r="P181" s="26">
        <v>660000</v>
      </c>
      <c r="Q181" s="26">
        <v>600000</v>
      </c>
      <c r="R181" s="26">
        <f>+Q181+100000</f>
        <v>700000</v>
      </c>
      <c r="S181" s="26">
        <f t="shared" ref="S181:AA181" si="946">+R181+100000</f>
        <v>800000</v>
      </c>
      <c r="T181" s="26">
        <f t="shared" si="946"/>
        <v>900000</v>
      </c>
      <c r="U181" s="26">
        <f t="shared" si="946"/>
        <v>1000000</v>
      </c>
      <c r="V181" s="26">
        <v>0</v>
      </c>
      <c r="W181" s="26">
        <f t="shared" si="946"/>
        <v>100000</v>
      </c>
      <c r="X181" s="26">
        <f t="shared" si="946"/>
        <v>200000</v>
      </c>
      <c r="Y181" s="26">
        <f t="shared" si="946"/>
        <v>300000</v>
      </c>
      <c r="Z181" s="26">
        <f t="shared" si="946"/>
        <v>400000</v>
      </c>
      <c r="AA181" s="26">
        <f t="shared" si="946"/>
        <v>500000</v>
      </c>
      <c r="AB181" s="26">
        <v>600000</v>
      </c>
      <c r="AC181" s="26">
        <v>267000</v>
      </c>
      <c r="AD181" s="26">
        <f>+AC181+10000</f>
        <v>277000</v>
      </c>
      <c r="AE181" s="26">
        <f t="shared" ref="AE181:AM181" si="947">+AD181+10000</f>
        <v>287000</v>
      </c>
      <c r="AF181" s="26">
        <f t="shared" si="947"/>
        <v>297000</v>
      </c>
      <c r="AG181" s="26">
        <f t="shared" si="947"/>
        <v>307000</v>
      </c>
      <c r="AH181" s="26">
        <f t="shared" si="947"/>
        <v>317000</v>
      </c>
      <c r="AI181" s="26">
        <f t="shared" si="947"/>
        <v>327000</v>
      </c>
      <c r="AJ181" s="26">
        <f t="shared" si="947"/>
        <v>337000</v>
      </c>
      <c r="AK181" s="26">
        <f t="shared" si="947"/>
        <v>347000</v>
      </c>
      <c r="AL181" s="26">
        <f t="shared" si="947"/>
        <v>357000</v>
      </c>
      <c r="AM181" s="26">
        <f t="shared" si="947"/>
        <v>367000</v>
      </c>
      <c r="AN181" s="26">
        <v>377500</v>
      </c>
      <c r="AO181" s="26">
        <f t="shared" si="714"/>
        <v>1737500</v>
      </c>
      <c r="AP181" s="27">
        <f t="shared" si="715"/>
        <v>4335</v>
      </c>
      <c r="AQ181" s="27">
        <f t="shared" si="716"/>
        <v>4885</v>
      </c>
      <c r="AR181" s="27">
        <f t="shared" si="717"/>
        <v>5435</v>
      </c>
      <c r="AS181" s="27">
        <f t="shared" si="718"/>
        <v>5985</v>
      </c>
      <c r="AT181" s="27">
        <f t="shared" si="719"/>
        <v>6535</v>
      </c>
      <c r="AU181" s="27">
        <f t="shared" si="720"/>
        <v>1585</v>
      </c>
      <c r="AV181" s="27">
        <f t="shared" si="721"/>
        <v>2135</v>
      </c>
      <c r="AW181" s="27">
        <f t="shared" si="722"/>
        <v>2685</v>
      </c>
      <c r="AX181" s="27">
        <f t="shared" si="723"/>
        <v>3235</v>
      </c>
      <c r="AY181" s="27">
        <f t="shared" si="724"/>
        <v>3785</v>
      </c>
      <c r="AZ181" s="27">
        <f t="shared" si="725"/>
        <v>4335</v>
      </c>
      <c r="BA181" s="27">
        <f t="shared" si="726"/>
        <v>4887.5</v>
      </c>
      <c r="BB181" s="27">
        <v>180000</v>
      </c>
      <c r="BC181" s="26">
        <v>600000</v>
      </c>
      <c r="BD181" s="27">
        <f t="shared" si="893"/>
        <v>49822.5</v>
      </c>
      <c r="BE181" s="28">
        <f t="shared" si="894"/>
        <v>2520.3323706186211</v>
      </c>
      <c r="BF181" s="28">
        <f t="shared" si="895"/>
        <v>2490.0851542167547</v>
      </c>
      <c r="BG181" s="28">
        <f t="shared" si="896"/>
        <v>8403.1073269964727</v>
      </c>
      <c r="BH181" s="28">
        <f t="shared" si="897"/>
        <v>14386.556082743024</v>
      </c>
      <c r="BI181" s="28">
        <f t="shared" si="898"/>
        <v>11744.166106207282</v>
      </c>
      <c r="BJ181" s="28">
        <f t="shared" si="899"/>
        <v>5978.5790297674739</v>
      </c>
      <c r="BK181" s="28">
        <f t="shared" si="900"/>
        <v>4704.629838642134</v>
      </c>
      <c r="BL181" s="28">
        <f t="shared" si="901"/>
        <v>9246.022466275901</v>
      </c>
      <c r="BM181" s="28">
        <f t="shared" si="902"/>
        <v>10395.397365671675</v>
      </c>
      <c r="BN181" s="28">
        <f t="shared" si="903"/>
        <v>9528.7757830664614</v>
      </c>
      <c r="BO181" s="28">
        <f t="shared" si="904"/>
        <v>7494.0959135767052</v>
      </c>
      <c r="BP181" s="28">
        <f t="shared" si="905"/>
        <v>7087.8885047213998</v>
      </c>
      <c r="BQ181" s="29">
        <f t="shared" si="727"/>
        <v>93979.635942503897</v>
      </c>
      <c r="BR181" s="26">
        <f t="shared" si="879"/>
        <v>39309.835312515272</v>
      </c>
      <c r="BS181" s="26">
        <f t="shared" si="709"/>
        <v>133289.47125501916</v>
      </c>
      <c r="BT181" s="26">
        <f t="shared" si="880"/>
        <v>183111.97125501916</v>
      </c>
      <c r="BU181" s="111">
        <f t="shared" si="938"/>
        <v>1637500</v>
      </c>
      <c r="BV181" s="110">
        <v>122</v>
      </c>
    </row>
    <row r="182" spans="1:74" ht="13.5" customHeight="1" x14ac:dyDescent="0.2">
      <c r="A182" s="15">
        <v>174</v>
      </c>
      <c r="B182" s="15">
        <v>266</v>
      </c>
      <c r="C182" s="14" t="s">
        <v>181</v>
      </c>
      <c r="D182" s="8">
        <v>100000</v>
      </c>
      <c r="E182" s="8">
        <f t="shared" ref="E182:G182" si="948">+F182-15000</f>
        <v>455000</v>
      </c>
      <c r="F182" s="8">
        <f t="shared" si="948"/>
        <v>470000</v>
      </c>
      <c r="G182" s="8">
        <f t="shared" si="948"/>
        <v>485000</v>
      </c>
      <c r="H182" s="8">
        <f t="shared" ref="H182:O182" si="949">+I182-20000</f>
        <v>500000</v>
      </c>
      <c r="I182" s="8">
        <f t="shared" si="949"/>
        <v>520000</v>
      </c>
      <c r="J182" s="8">
        <f t="shared" si="949"/>
        <v>540000</v>
      </c>
      <c r="K182" s="8">
        <f t="shared" si="949"/>
        <v>560000</v>
      </c>
      <c r="L182" s="8">
        <f t="shared" si="949"/>
        <v>580000</v>
      </c>
      <c r="M182" s="8">
        <f t="shared" si="949"/>
        <v>600000</v>
      </c>
      <c r="N182" s="8">
        <f t="shared" si="949"/>
        <v>620000</v>
      </c>
      <c r="O182" s="8">
        <f t="shared" si="949"/>
        <v>640000</v>
      </c>
      <c r="P182" s="8">
        <v>660000</v>
      </c>
      <c r="Q182" s="8">
        <v>270000</v>
      </c>
      <c r="R182" s="8">
        <f>+Q182+45000</f>
        <v>315000</v>
      </c>
      <c r="S182" s="8">
        <f t="shared" ref="S182:AA182" si="950">+R182+45000</f>
        <v>360000</v>
      </c>
      <c r="T182" s="8">
        <f t="shared" si="950"/>
        <v>405000</v>
      </c>
      <c r="U182" s="8">
        <f t="shared" si="950"/>
        <v>450000</v>
      </c>
      <c r="V182" s="8">
        <v>0</v>
      </c>
      <c r="W182" s="8">
        <f t="shared" si="950"/>
        <v>45000</v>
      </c>
      <c r="X182" s="8">
        <f t="shared" si="950"/>
        <v>90000</v>
      </c>
      <c r="Y182" s="8">
        <f t="shared" si="950"/>
        <v>135000</v>
      </c>
      <c r="Z182" s="8">
        <f t="shared" si="950"/>
        <v>180000</v>
      </c>
      <c r="AA182" s="8">
        <f t="shared" si="950"/>
        <v>225000</v>
      </c>
      <c r="AB182" s="8">
        <v>270000</v>
      </c>
      <c r="AC182" s="8">
        <v>27500</v>
      </c>
      <c r="AD182" s="8">
        <f>+AC182+2500</f>
        <v>30000</v>
      </c>
      <c r="AE182" s="8">
        <f t="shared" ref="AE182:AM182" si="951">+AD182+2500</f>
        <v>32500</v>
      </c>
      <c r="AF182" s="8">
        <f t="shared" si="951"/>
        <v>35000</v>
      </c>
      <c r="AG182" s="8">
        <f t="shared" si="951"/>
        <v>37500</v>
      </c>
      <c r="AH182" s="8">
        <f t="shared" si="951"/>
        <v>40000</v>
      </c>
      <c r="AI182" s="8">
        <f t="shared" si="951"/>
        <v>42500</v>
      </c>
      <c r="AJ182" s="8">
        <f t="shared" si="951"/>
        <v>45000</v>
      </c>
      <c r="AK182" s="8">
        <f t="shared" si="951"/>
        <v>47500</v>
      </c>
      <c r="AL182" s="8">
        <f t="shared" si="951"/>
        <v>50000</v>
      </c>
      <c r="AM182" s="8">
        <f t="shared" si="951"/>
        <v>52500</v>
      </c>
      <c r="AN182" s="8">
        <v>55000</v>
      </c>
      <c r="AO182" s="8">
        <f t="shared" si="714"/>
        <v>1085000</v>
      </c>
      <c r="AP182" s="16">
        <f t="shared" si="715"/>
        <v>1487.5</v>
      </c>
      <c r="AQ182" s="16">
        <f t="shared" si="716"/>
        <v>1725</v>
      </c>
      <c r="AR182" s="16">
        <f t="shared" si="717"/>
        <v>1962.5</v>
      </c>
      <c r="AS182" s="16">
        <f t="shared" si="718"/>
        <v>2200</v>
      </c>
      <c r="AT182" s="16">
        <f t="shared" si="719"/>
        <v>2437.5</v>
      </c>
      <c r="AU182" s="16">
        <f t="shared" si="720"/>
        <v>200</v>
      </c>
      <c r="AV182" s="16">
        <f t="shared" si="721"/>
        <v>437.5</v>
      </c>
      <c r="AW182" s="16">
        <f t="shared" si="722"/>
        <v>675</v>
      </c>
      <c r="AX182" s="16">
        <f t="shared" si="723"/>
        <v>912.5</v>
      </c>
      <c r="AY182" s="16">
        <f t="shared" si="724"/>
        <v>1150</v>
      </c>
      <c r="AZ182" s="16">
        <f t="shared" si="725"/>
        <v>1387.5</v>
      </c>
      <c r="BA182" s="16">
        <f t="shared" si="726"/>
        <v>1625</v>
      </c>
      <c r="BB182" s="16">
        <v>337500</v>
      </c>
      <c r="BC182" s="8">
        <v>500000</v>
      </c>
      <c r="BD182" s="16">
        <f t="shared" si="893"/>
        <v>16200</v>
      </c>
      <c r="BE182" s="23">
        <f t="shared" si="894"/>
        <v>1510.9587524278302</v>
      </c>
      <c r="BF182" s="23">
        <f t="shared" si="895"/>
        <v>1472.8040828108149</v>
      </c>
      <c r="BG182" s="23">
        <f t="shared" si="896"/>
        <v>4912.7018015185722</v>
      </c>
      <c r="BH182" s="23">
        <f t="shared" si="897"/>
        <v>8326.1092521161627</v>
      </c>
      <c r="BI182" s="23">
        <f t="shared" si="898"/>
        <v>6749.6958809675998</v>
      </c>
      <c r="BJ182" s="23">
        <f t="shared" si="899"/>
        <v>4248.1021319141928</v>
      </c>
      <c r="BK182" s="23">
        <f t="shared" si="900"/>
        <v>3235.2445302529854</v>
      </c>
      <c r="BL182" s="23">
        <f t="shared" si="901"/>
        <v>6191.8720706777804</v>
      </c>
      <c r="BM182" s="23">
        <f t="shared" si="902"/>
        <v>6810.6445250224606</v>
      </c>
      <c r="BN182" s="23">
        <f t="shared" si="903"/>
        <v>6128.8672944571017</v>
      </c>
      <c r="BO182" s="23">
        <f t="shared" si="904"/>
        <v>4745.0171699217781</v>
      </c>
      <c r="BP182" s="23">
        <f t="shared" si="905"/>
        <v>4426.105915178543</v>
      </c>
      <c r="BQ182" s="22">
        <f t="shared" si="727"/>
        <v>58758.123407265812</v>
      </c>
      <c r="BR182" s="8">
        <f t="shared" si="879"/>
        <v>73705.941210966135</v>
      </c>
      <c r="BS182" s="8">
        <f t="shared" si="709"/>
        <v>132464.06461823196</v>
      </c>
      <c r="BT182" s="8">
        <f t="shared" si="880"/>
        <v>148664.06461823196</v>
      </c>
    </row>
    <row r="183" spans="1:74" ht="13.5" customHeight="1" x14ac:dyDescent="0.2">
      <c r="A183" s="15">
        <v>175</v>
      </c>
      <c r="B183" s="15">
        <v>267</v>
      </c>
      <c r="C183" s="14" t="s">
        <v>182</v>
      </c>
      <c r="D183" s="8">
        <v>100000</v>
      </c>
      <c r="E183" s="8">
        <f t="shared" ref="E183:G183" si="952">+F183-15000</f>
        <v>455000</v>
      </c>
      <c r="F183" s="8">
        <f t="shared" si="952"/>
        <v>470000</v>
      </c>
      <c r="G183" s="8">
        <f t="shared" si="952"/>
        <v>485000</v>
      </c>
      <c r="H183" s="8">
        <f t="shared" ref="H183:O183" si="953">+I183-20000</f>
        <v>500000</v>
      </c>
      <c r="I183" s="8">
        <f t="shared" si="953"/>
        <v>520000</v>
      </c>
      <c r="J183" s="8">
        <f t="shared" si="953"/>
        <v>540000</v>
      </c>
      <c r="K183" s="8">
        <f t="shared" si="953"/>
        <v>560000</v>
      </c>
      <c r="L183" s="8">
        <f t="shared" si="953"/>
        <v>580000</v>
      </c>
      <c r="M183" s="8">
        <f t="shared" si="953"/>
        <v>600000</v>
      </c>
      <c r="N183" s="8">
        <f t="shared" si="953"/>
        <v>620000</v>
      </c>
      <c r="O183" s="8">
        <f t="shared" si="953"/>
        <v>640000</v>
      </c>
      <c r="P183" s="8">
        <v>660000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f>+V183+100000</f>
        <v>100000</v>
      </c>
      <c r="X183" s="8">
        <f t="shared" ref="X183:AA183" si="954">+W183+100000</f>
        <v>200000</v>
      </c>
      <c r="Y183" s="8">
        <f t="shared" si="954"/>
        <v>300000</v>
      </c>
      <c r="Z183" s="8">
        <f t="shared" si="954"/>
        <v>400000</v>
      </c>
      <c r="AA183" s="8">
        <f t="shared" si="954"/>
        <v>500000</v>
      </c>
      <c r="AB183" s="8">
        <v>600000</v>
      </c>
      <c r="AC183" s="8">
        <v>212500</v>
      </c>
      <c r="AD183" s="8">
        <f>+AC183+27500</f>
        <v>240000</v>
      </c>
      <c r="AE183" s="8">
        <v>67500</v>
      </c>
      <c r="AF183" s="8">
        <f t="shared" ref="AF183:AM183" si="955">+AE183+27500</f>
        <v>95000</v>
      </c>
      <c r="AG183" s="8">
        <f t="shared" si="955"/>
        <v>122500</v>
      </c>
      <c r="AH183" s="8">
        <f t="shared" si="955"/>
        <v>150000</v>
      </c>
      <c r="AI183" s="8">
        <f t="shared" si="955"/>
        <v>177500</v>
      </c>
      <c r="AJ183" s="8">
        <f t="shared" si="955"/>
        <v>205000</v>
      </c>
      <c r="AK183" s="8">
        <v>32500</v>
      </c>
      <c r="AL183" s="8">
        <f t="shared" si="955"/>
        <v>60000</v>
      </c>
      <c r="AM183" s="8">
        <f t="shared" si="955"/>
        <v>87500</v>
      </c>
      <c r="AN183" s="8">
        <v>115000</v>
      </c>
      <c r="AO183" s="8">
        <f t="shared" si="714"/>
        <v>1475000</v>
      </c>
      <c r="AP183" s="16">
        <f t="shared" si="715"/>
        <v>1062.5</v>
      </c>
      <c r="AQ183" s="16">
        <f t="shared" si="716"/>
        <v>1200</v>
      </c>
      <c r="AR183" s="16">
        <f t="shared" si="717"/>
        <v>337.5</v>
      </c>
      <c r="AS183" s="16">
        <f t="shared" si="718"/>
        <v>475</v>
      </c>
      <c r="AT183" s="16">
        <f t="shared" si="719"/>
        <v>612.5</v>
      </c>
      <c r="AU183" s="16">
        <f t="shared" si="720"/>
        <v>750</v>
      </c>
      <c r="AV183" s="16">
        <f t="shared" si="721"/>
        <v>1387.5</v>
      </c>
      <c r="AW183" s="16">
        <f t="shared" si="722"/>
        <v>2025</v>
      </c>
      <c r="AX183" s="16">
        <f t="shared" si="723"/>
        <v>1662.5</v>
      </c>
      <c r="AY183" s="16">
        <f t="shared" si="724"/>
        <v>2300</v>
      </c>
      <c r="AZ183" s="16">
        <f t="shared" si="725"/>
        <v>2937.5</v>
      </c>
      <c r="BA183" s="16">
        <f t="shared" si="726"/>
        <v>3575</v>
      </c>
      <c r="BB183" s="16">
        <v>247500</v>
      </c>
      <c r="BC183" s="8">
        <v>3000000</v>
      </c>
      <c r="BD183" s="16">
        <f t="shared" si="893"/>
        <v>18325</v>
      </c>
      <c r="BE183" s="23">
        <f t="shared" si="894"/>
        <v>1360.3059735933839</v>
      </c>
      <c r="BF183" s="23">
        <f t="shared" si="895"/>
        <v>1303.7937782259673</v>
      </c>
      <c r="BG183" s="23">
        <f t="shared" si="896"/>
        <v>3279.3226859241618</v>
      </c>
      <c r="BH183" s="23">
        <f t="shared" si="897"/>
        <v>5564.0826252122433</v>
      </c>
      <c r="BI183" s="23">
        <f t="shared" si="898"/>
        <v>4525.1911436735372</v>
      </c>
      <c r="BJ183" s="23">
        <f t="shared" si="899"/>
        <v>4935.295123841488</v>
      </c>
      <c r="BK183" s="23">
        <f t="shared" si="900"/>
        <v>4057.580932591537</v>
      </c>
      <c r="BL183" s="23">
        <f t="shared" si="901"/>
        <v>8243.1671124974127</v>
      </c>
      <c r="BM183" s="23">
        <f t="shared" si="902"/>
        <v>7968.2611581707542</v>
      </c>
      <c r="BN183" s="23">
        <f t="shared" si="903"/>
        <v>7612.6983236414526</v>
      </c>
      <c r="BO183" s="23">
        <f t="shared" si="904"/>
        <v>6190.6735067038426</v>
      </c>
      <c r="BP183" s="23">
        <f t="shared" si="905"/>
        <v>6017.056428468527</v>
      </c>
      <c r="BQ183" s="22">
        <f t="shared" si="727"/>
        <v>61057.428792544306</v>
      </c>
      <c r="BR183" s="8">
        <f t="shared" si="879"/>
        <v>54051.023554708496</v>
      </c>
      <c r="BS183" s="8">
        <f t="shared" si="709"/>
        <v>115108.45234725281</v>
      </c>
      <c r="BT183" s="8">
        <f t="shared" si="880"/>
        <v>133433.45234725281</v>
      </c>
    </row>
    <row r="184" spans="1:74" ht="13.5" customHeight="1" x14ac:dyDescent="0.2">
      <c r="A184" s="15">
        <v>176</v>
      </c>
      <c r="B184" s="15">
        <v>268</v>
      </c>
      <c r="C184" s="14" t="s">
        <v>183</v>
      </c>
      <c r="D184" s="8">
        <v>100000</v>
      </c>
      <c r="E184" s="8">
        <f t="shared" ref="E184:G184" si="956">+F184-15000</f>
        <v>395000</v>
      </c>
      <c r="F184" s="8">
        <f t="shared" si="956"/>
        <v>410000</v>
      </c>
      <c r="G184" s="8">
        <f t="shared" si="956"/>
        <v>425000</v>
      </c>
      <c r="H184" s="8">
        <f t="shared" ref="H184:O184" si="957">+I184-20000</f>
        <v>440000</v>
      </c>
      <c r="I184" s="8">
        <f t="shared" si="957"/>
        <v>460000</v>
      </c>
      <c r="J184" s="8">
        <f t="shared" si="957"/>
        <v>480000</v>
      </c>
      <c r="K184" s="8">
        <f t="shared" si="957"/>
        <v>500000</v>
      </c>
      <c r="L184" s="8">
        <f t="shared" si="957"/>
        <v>520000</v>
      </c>
      <c r="M184" s="8">
        <f t="shared" si="957"/>
        <v>540000</v>
      </c>
      <c r="N184" s="8">
        <f t="shared" si="957"/>
        <v>560000</v>
      </c>
      <c r="O184" s="8">
        <f t="shared" si="957"/>
        <v>580000</v>
      </c>
      <c r="P184" s="8">
        <v>600000</v>
      </c>
      <c r="Q184" s="8">
        <v>600000</v>
      </c>
      <c r="R184" s="8">
        <f>+Q184+100000</f>
        <v>700000</v>
      </c>
      <c r="S184" s="8">
        <f t="shared" ref="S184:U184" si="958">+R184+100000</f>
        <v>800000</v>
      </c>
      <c r="T184" s="8">
        <f t="shared" si="958"/>
        <v>900000</v>
      </c>
      <c r="U184" s="8">
        <f t="shared" si="958"/>
        <v>1000000</v>
      </c>
      <c r="V184" s="8">
        <v>0</v>
      </c>
      <c r="W184" s="8"/>
      <c r="X184" s="8">
        <v>300000</v>
      </c>
      <c r="Y184" s="8">
        <v>400000</v>
      </c>
      <c r="Z184" s="8">
        <v>400000</v>
      </c>
      <c r="AA184" s="8">
        <v>400000</v>
      </c>
      <c r="AB184" s="8">
        <v>400000</v>
      </c>
      <c r="AC184" s="8">
        <v>2900000</v>
      </c>
      <c r="AD184" s="8">
        <f>+AC184+110000</f>
        <v>3010000</v>
      </c>
      <c r="AE184" s="8">
        <f>+AD184+110000</f>
        <v>3120000</v>
      </c>
      <c r="AF184" s="8">
        <f>+AE184+105000</f>
        <v>3225000</v>
      </c>
      <c r="AG184" s="8">
        <f>+AF184+130000</f>
        <v>3355000</v>
      </c>
      <c r="AH184" s="8">
        <v>3355000</v>
      </c>
      <c r="AI184" s="8">
        <v>3355000</v>
      </c>
      <c r="AJ184" s="8">
        <v>3655000</v>
      </c>
      <c r="AK184" s="8">
        <v>285000</v>
      </c>
      <c r="AL184" s="8">
        <v>285000</v>
      </c>
      <c r="AM184" s="8">
        <v>285000</v>
      </c>
      <c r="AN184" s="8">
        <v>285000</v>
      </c>
      <c r="AO184" s="8">
        <f t="shared" si="714"/>
        <v>1385000</v>
      </c>
      <c r="AP184" s="16">
        <f t="shared" si="715"/>
        <v>17500</v>
      </c>
      <c r="AQ184" s="16">
        <f t="shared" si="716"/>
        <v>18550</v>
      </c>
      <c r="AR184" s="16">
        <f t="shared" si="717"/>
        <v>19600</v>
      </c>
      <c r="AS184" s="16">
        <f t="shared" si="718"/>
        <v>20625</v>
      </c>
      <c r="AT184" s="16">
        <f t="shared" si="719"/>
        <v>21775</v>
      </c>
      <c r="AU184" s="16">
        <f t="shared" si="720"/>
        <v>16775</v>
      </c>
      <c r="AV184" s="16">
        <f t="shared" si="721"/>
        <v>16775</v>
      </c>
      <c r="AW184" s="16">
        <f t="shared" si="722"/>
        <v>19775</v>
      </c>
      <c r="AX184" s="16">
        <f t="shared" si="723"/>
        <v>3425</v>
      </c>
      <c r="AY184" s="16">
        <f t="shared" si="724"/>
        <v>3425</v>
      </c>
      <c r="AZ184" s="16">
        <f t="shared" si="725"/>
        <v>3425</v>
      </c>
      <c r="BA184" s="16">
        <f t="shared" si="726"/>
        <v>3425</v>
      </c>
      <c r="BB184" s="16">
        <v>0</v>
      </c>
      <c r="BC184" s="8">
        <v>0</v>
      </c>
      <c r="BD184" s="16">
        <f t="shared" si="893"/>
        <v>165075</v>
      </c>
      <c r="BE184" s="23">
        <f t="shared" si="894"/>
        <v>7080.6806052189822</v>
      </c>
      <c r="BF184" s="23">
        <f t="shared" si="895"/>
        <v>6792.6046223624471</v>
      </c>
      <c r="BG184" s="23">
        <f t="shared" si="896"/>
        <v>22339.600519437394</v>
      </c>
      <c r="BH184" s="23">
        <f t="shared" si="897"/>
        <v>37347.403520309519</v>
      </c>
      <c r="BI184" s="23">
        <f t="shared" si="898"/>
        <v>29954.632284384425</v>
      </c>
      <c r="BJ184" s="23">
        <f t="shared" si="899"/>
        <v>24582.767483944626</v>
      </c>
      <c r="BK184" s="23">
        <f t="shared" si="900"/>
        <v>17117.581427626163</v>
      </c>
      <c r="BL184" s="23">
        <f t="shared" si="901"/>
        <v>34758.054875277114</v>
      </c>
      <c r="BM184" s="23">
        <f t="shared" si="902"/>
        <v>10225.613592809927</v>
      </c>
      <c r="BN184" s="23">
        <f t="shared" si="903"/>
        <v>8677.1858010997912</v>
      </c>
      <c r="BO184" s="23">
        <f t="shared" si="904"/>
        <v>6365.5512893790929</v>
      </c>
      <c r="BP184" s="23">
        <f t="shared" si="905"/>
        <v>5649.9140023246846</v>
      </c>
      <c r="BQ184" s="22">
        <f t="shared" si="727"/>
        <v>210891.59002417419</v>
      </c>
      <c r="BR184" s="8">
        <f t="shared" si="879"/>
        <v>0</v>
      </c>
      <c r="BS184" s="8">
        <f t="shared" si="709"/>
        <v>210891.59002417419</v>
      </c>
      <c r="BT184" s="8">
        <f t="shared" si="880"/>
        <v>375966.59002417419</v>
      </c>
    </row>
    <row r="185" spans="1:74" ht="13.5" customHeight="1" x14ac:dyDescent="0.2">
      <c r="A185" s="15">
        <v>177</v>
      </c>
      <c r="B185" s="15">
        <v>270</v>
      </c>
      <c r="C185" s="14" t="s">
        <v>184</v>
      </c>
      <c r="D185" s="8">
        <v>100000</v>
      </c>
      <c r="E185" s="8">
        <f t="shared" ref="E185:G185" si="959">+F185-15000</f>
        <v>455000</v>
      </c>
      <c r="F185" s="8">
        <f t="shared" si="959"/>
        <v>470000</v>
      </c>
      <c r="G185" s="8">
        <f t="shared" si="959"/>
        <v>485000</v>
      </c>
      <c r="H185" s="8">
        <f t="shared" ref="H185:O185" si="960">+I185-20000</f>
        <v>500000</v>
      </c>
      <c r="I185" s="8">
        <f t="shared" si="960"/>
        <v>520000</v>
      </c>
      <c r="J185" s="8">
        <f t="shared" si="960"/>
        <v>540000</v>
      </c>
      <c r="K185" s="8">
        <f t="shared" si="960"/>
        <v>560000</v>
      </c>
      <c r="L185" s="8">
        <f t="shared" si="960"/>
        <v>580000</v>
      </c>
      <c r="M185" s="8">
        <f t="shared" si="960"/>
        <v>600000</v>
      </c>
      <c r="N185" s="8">
        <f t="shared" si="960"/>
        <v>620000</v>
      </c>
      <c r="O185" s="8">
        <f t="shared" si="960"/>
        <v>640000</v>
      </c>
      <c r="P185" s="8">
        <v>660000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f>+V185+200000</f>
        <v>200000</v>
      </c>
      <c r="X185" s="8">
        <f t="shared" ref="X185:AA185" si="961">+W185+200000</f>
        <v>400000</v>
      </c>
      <c r="Y185" s="8">
        <f t="shared" si="961"/>
        <v>600000</v>
      </c>
      <c r="Z185" s="8">
        <f t="shared" si="961"/>
        <v>800000</v>
      </c>
      <c r="AA185" s="8">
        <f t="shared" si="961"/>
        <v>1000000</v>
      </c>
      <c r="AB185" s="8">
        <v>1200000</v>
      </c>
      <c r="AC185" s="8">
        <v>55000</v>
      </c>
      <c r="AD185" s="8">
        <v>55000</v>
      </c>
      <c r="AE185" s="8">
        <v>15000</v>
      </c>
      <c r="AF185" s="8">
        <v>15000</v>
      </c>
      <c r="AG185" s="8">
        <v>15000</v>
      </c>
      <c r="AH185" s="8">
        <v>20000</v>
      </c>
      <c r="AI185" s="8">
        <v>20000</v>
      </c>
      <c r="AJ185" s="8">
        <v>20000</v>
      </c>
      <c r="AK185" s="8">
        <v>20000</v>
      </c>
      <c r="AL185" s="8">
        <v>20000</v>
      </c>
      <c r="AM185" s="8">
        <v>25000</v>
      </c>
      <c r="AN185" s="8">
        <v>30000</v>
      </c>
      <c r="AO185" s="8">
        <f t="shared" si="714"/>
        <v>1990000</v>
      </c>
      <c r="AP185" s="16">
        <f t="shared" si="715"/>
        <v>275</v>
      </c>
      <c r="AQ185" s="16">
        <f t="shared" si="716"/>
        <v>275</v>
      </c>
      <c r="AR185" s="16">
        <f t="shared" si="717"/>
        <v>75</v>
      </c>
      <c r="AS185" s="16">
        <f t="shared" si="718"/>
        <v>75</v>
      </c>
      <c r="AT185" s="16">
        <f t="shared" si="719"/>
        <v>75</v>
      </c>
      <c r="AU185" s="16">
        <f t="shared" si="720"/>
        <v>100</v>
      </c>
      <c r="AV185" s="16">
        <f t="shared" si="721"/>
        <v>1100</v>
      </c>
      <c r="AW185" s="16">
        <f t="shared" si="722"/>
        <v>2100</v>
      </c>
      <c r="AX185" s="16">
        <f t="shared" si="723"/>
        <v>3100</v>
      </c>
      <c r="AY185" s="16">
        <f t="shared" si="724"/>
        <v>4100</v>
      </c>
      <c r="AZ185" s="16">
        <f t="shared" si="725"/>
        <v>5125</v>
      </c>
      <c r="BA185" s="16">
        <f t="shared" si="726"/>
        <v>6150</v>
      </c>
      <c r="BB185" s="16">
        <v>900000</v>
      </c>
      <c r="BC185" s="8">
        <v>2000000</v>
      </c>
      <c r="BD185" s="16">
        <f t="shared" si="893"/>
        <v>22550</v>
      </c>
      <c r="BE185" s="23">
        <f t="shared" si="894"/>
        <v>1081.1552363413214</v>
      </c>
      <c r="BF185" s="23">
        <f t="shared" si="895"/>
        <v>1006.0137177669501</v>
      </c>
      <c r="BG185" s="23">
        <f t="shared" si="896"/>
        <v>3015.4691364819878</v>
      </c>
      <c r="BH185" s="23">
        <f t="shared" si="897"/>
        <v>4923.6126827417693</v>
      </c>
      <c r="BI185" s="23">
        <f t="shared" si="898"/>
        <v>3870.0287895389847</v>
      </c>
      <c r="BJ185" s="23">
        <f t="shared" si="899"/>
        <v>4123.157951563775</v>
      </c>
      <c r="BK185" s="23">
        <f t="shared" si="900"/>
        <v>3808.7159687259227</v>
      </c>
      <c r="BL185" s="23">
        <f t="shared" si="901"/>
        <v>8357.1279481540587</v>
      </c>
      <c r="BM185" s="23">
        <f t="shared" si="902"/>
        <v>10187.026371704984</v>
      </c>
      <c r="BN185" s="23">
        <f t="shared" si="903"/>
        <v>9935.2164562778271</v>
      </c>
      <c r="BO185" s="23">
        <f t="shared" si="904"/>
        <v>8230.9143045817582</v>
      </c>
      <c r="BP185" s="23">
        <f t="shared" si="905"/>
        <v>8117.9269780694021</v>
      </c>
      <c r="BQ185" s="22">
        <f t="shared" si="727"/>
        <v>66656.365541948733</v>
      </c>
      <c r="BR185" s="8">
        <f t="shared" si="879"/>
        <v>196549.17656257635</v>
      </c>
      <c r="BS185" s="8">
        <f t="shared" si="709"/>
        <v>263205.54210452508</v>
      </c>
      <c r="BT185" s="8">
        <f t="shared" si="880"/>
        <v>285755.54210452508</v>
      </c>
    </row>
    <row r="186" spans="1:74" s="110" customFormat="1" ht="13.5" customHeight="1" x14ac:dyDescent="0.2">
      <c r="A186" s="24">
        <v>178</v>
      </c>
      <c r="B186" s="24">
        <v>271</v>
      </c>
      <c r="C186" s="25" t="s">
        <v>185</v>
      </c>
      <c r="D186" s="26">
        <v>100000</v>
      </c>
      <c r="E186" s="26">
        <f t="shared" ref="E186:G186" si="962">+F186-15000</f>
        <v>380000</v>
      </c>
      <c r="F186" s="26">
        <f t="shared" si="962"/>
        <v>395000</v>
      </c>
      <c r="G186" s="26">
        <f t="shared" si="962"/>
        <v>410000</v>
      </c>
      <c r="H186" s="26">
        <f t="shared" ref="H186:O186" si="963">+I186-20000</f>
        <v>425000</v>
      </c>
      <c r="I186" s="26">
        <f t="shared" si="963"/>
        <v>445000</v>
      </c>
      <c r="J186" s="26">
        <f t="shared" si="963"/>
        <v>465000</v>
      </c>
      <c r="K186" s="26">
        <f t="shared" si="963"/>
        <v>485000</v>
      </c>
      <c r="L186" s="26">
        <f t="shared" si="963"/>
        <v>505000</v>
      </c>
      <c r="M186" s="26">
        <f t="shared" si="963"/>
        <v>525000</v>
      </c>
      <c r="N186" s="26">
        <f t="shared" si="963"/>
        <v>545000</v>
      </c>
      <c r="O186" s="26">
        <f t="shared" si="963"/>
        <v>565000</v>
      </c>
      <c r="P186" s="26">
        <v>585000</v>
      </c>
      <c r="Q186" s="26">
        <v>900000</v>
      </c>
      <c r="R186" s="26">
        <f>+Q186+150000</f>
        <v>1050000</v>
      </c>
      <c r="S186" s="26">
        <f t="shared" ref="S186:AA186" si="964">+R186+150000</f>
        <v>1200000</v>
      </c>
      <c r="T186" s="26">
        <f t="shared" si="964"/>
        <v>1350000</v>
      </c>
      <c r="U186" s="26">
        <f t="shared" si="964"/>
        <v>1500000</v>
      </c>
      <c r="V186" s="26">
        <v>0</v>
      </c>
      <c r="W186" s="26">
        <f t="shared" si="964"/>
        <v>150000</v>
      </c>
      <c r="X186" s="26">
        <f t="shared" si="964"/>
        <v>300000</v>
      </c>
      <c r="Y186" s="26">
        <f t="shared" si="964"/>
        <v>450000</v>
      </c>
      <c r="Z186" s="26">
        <f t="shared" si="964"/>
        <v>600000</v>
      </c>
      <c r="AA186" s="26">
        <f t="shared" si="964"/>
        <v>750000</v>
      </c>
      <c r="AB186" s="26">
        <v>900000</v>
      </c>
      <c r="AC186" s="26">
        <v>551000</v>
      </c>
      <c r="AD186" s="26">
        <f>+AC186+43000</f>
        <v>594000</v>
      </c>
      <c r="AE186" s="26">
        <f>+AD186+43000</f>
        <v>637000</v>
      </c>
      <c r="AF186" s="26">
        <f>+AE186+33000</f>
        <v>670000</v>
      </c>
      <c r="AG186" s="26">
        <f>+AF186+33000-200000</f>
        <v>503000</v>
      </c>
      <c r="AH186" s="26">
        <f>+AG186+61000</f>
        <v>564000</v>
      </c>
      <c r="AI186" s="26">
        <f>+AH186+53000-200000</f>
        <v>417000</v>
      </c>
      <c r="AJ186" s="26">
        <f t="shared" ref="AJ186:AL186" si="965">+AI186+13000</f>
        <v>430000</v>
      </c>
      <c r="AK186" s="26">
        <f t="shared" si="965"/>
        <v>443000</v>
      </c>
      <c r="AL186" s="26">
        <f t="shared" si="965"/>
        <v>456000</v>
      </c>
      <c r="AM186" s="26">
        <f>+AL186+25000</f>
        <v>481000</v>
      </c>
      <c r="AN186" s="26">
        <v>494000</v>
      </c>
      <c r="AO186" s="26">
        <f t="shared" si="714"/>
        <v>2079000</v>
      </c>
      <c r="AP186" s="27">
        <f t="shared" si="715"/>
        <v>7255</v>
      </c>
      <c r="AQ186" s="27">
        <f t="shared" si="716"/>
        <v>8220</v>
      </c>
      <c r="AR186" s="27">
        <f t="shared" si="717"/>
        <v>9185</v>
      </c>
      <c r="AS186" s="27">
        <f t="shared" si="718"/>
        <v>10100</v>
      </c>
      <c r="AT186" s="27">
        <f t="shared" si="719"/>
        <v>10015</v>
      </c>
      <c r="AU186" s="27">
        <f t="shared" si="720"/>
        <v>2820</v>
      </c>
      <c r="AV186" s="27">
        <f t="shared" si="721"/>
        <v>2835</v>
      </c>
      <c r="AW186" s="27">
        <f t="shared" si="722"/>
        <v>3650</v>
      </c>
      <c r="AX186" s="27">
        <f t="shared" si="723"/>
        <v>4465</v>
      </c>
      <c r="AY186" s="27">
        <f t="shared" si="724"/>
        <v>5280</v>
      </c>
      <c r="AZ186" s="27">
        <f t="shared" si="725"/>
        <v>6155</v>
      </c>
      <c r="BA186" s="27">
        <f t="shared" si="726"/>
        <v>6970</v>
      </c>
      <c r="BB186" s="27">
        <v>300000</v>
      </c>
      <c r="BC186" s="26">
        <v>2330000</v>
      </c>
      <c r="BD186" s="27">
        <f t="shared" si="893"/>
        <v>76950</v>
      </c>
      <c r="BE186" s="28">
        <f t="shared" si="894"/>
        <v>3422.4766579919533</v>
      </c>
      <c r="BF186" s="28">
        <f t="shared" si="895"/>
        <v>3442.9813476856098</v>
      </c>
      <c r="BG186" s="28">
        <f t="shared" si="896"/>
        <v>11795.510105538709</v>
      </c>
      <c r="BH186" s="28">
        <f t="shared" si="897"/>
        <v>20374.950044841957</v>
      </c>
      <c r="BI186" s="28">
        <f t="shared" si="898"/>
        <v>15528.871426370604</v>
      </c>
      <c r="BJ186" s="28">
        <f t="shared" si="899"/>
        <v>7053.0989807810638</v>
      </c>
      <c r="BK186" s="28">
        <f t="shared" si="900"/>
        <v>4985.9554499684809</v>
      </c>
      <c r="BL186" s="28">
        <f t="shared" si="901"/>
        <v>10142.514373441518</v>
      </c>
      <c r="BM186" s="28">
        <f t="shared" si="902"/>
        <v>11715.080327460731</v>
      </c>
      <c r="BN186" s="28">
        <f t="shared" si="903"/>
        <v>10973.898176706874</v>
      </c>
      <c r="BO186" s="28">
        <f t="shared" si="904"/>
        <v>8841.8206920606299</v>
      </c>
      <c r="BP186" s="28">
        <f t="shared" si="905"/>
        <v>8480.9900439227567</v>
      </c>
      <c r="BQ186" s="29">
        <f t="shared" si="727"/>
        <v>116758.14762677089</v>
      </c>
      <c r="BR186" s="26">
        <f t="shared" si="879"/>
        <v>65516.392187525453</v>
      </c>
      <c r="BS186" s="26">
        <f t="shared" si="709"/>
        <v>182274.53981429635</v>
      </c>
      <c r="BT186" s="26">
        <f t="shared" si="880"/>
        <v>259224.53981429635</v>
      </c>
      <c r="BU186" s="111">
        <f t="shared" ref="BU186:BU187" si="966">AO186-100000</f>
        <v>1979000</v>
      </c>
      <c r="BV186" s="110">
        <v>123</v>
      </c>
    </row>
    <row r="187" spans="1:74" s="110" customFormat="1" ht="13.5" customHeight="1" x14ac:dyDescent="0.2">
      <c r="A187" s="24">
        <v>179</v>
      </c>
      <c r="B187" s="24">
        <v>272</v>
      </c>
      <c r="C187" s="25" t="s">
        <v>174</v>
      </c>
      <c r="D187" s="26">
        <v>100000</v>
      </c>
      <c r="E187" s="26">
        <f t="shared" ref="E187:G187" si="967">+F187-15000</f>
        <v>365000</v>
      </c>
      <c r="F187" s="26">
        <f t="shared" si="967"/>
        <v>380000</v>
      </c>
      <c r="G187" s="26">
        <f t="shared" si="967"/>
        <v>395000</v>
      </c>
      <c r="H187" s="26">
        <f t="shared" ref="H187:O187" si="968">+I187-20000</f>
        <v>410000</v>
      </c>
      <c r="I187" s="26">
        <f t="shared" si="968"/>
        <v>430000</v>
      </c>
      <c r="J187" s="26">
        <f t="shared" si="968"/>
        <v>450000</v>
      </c>
      <c r="K187" s="26">
        <f t="shared" si="968"/>
        <v>470000</v>
      </c>
      <c r="L187" s="26">
        <f t="shared" si="968"/>
        <v>490000</v>
      </c>
      <c r="M187" s="26">
        <f t="shared" si="968"/>
        <v>510000</v>
      </c>
      <c r="N187" s="26">
        <f t="shared" si="968"/>
        <v>530000</v>
      </c>
      <c r="O187" s="26">
        <f t="shared" si="968"/>
        <v>550000</v>
      </c>
      <c r="P187" s="26">
        <v>570000</v>
      </c>
      <c r="Q187" s="26">
        <v>300000</v>
      </c>
      <c r="R187" s="26">
        <f>+Q187+50000</f>
        <v>350000</v>
      </c>
      <c r="S187" s="26">
        <f t="shared" ref="S187:AA189" si="969">+R187+50000</f>
        <v>400000</v>
      </c>
      <c r="T187" s="26">
        <f t="shared" si="969"/>
        <v>450000</v>
      </c>
      <c r="U187" s="26">
        <f t="shared" si="969"/>
        <v>500000</v>
      </c>
      <c r="V187" s="26">
        <v>0</v>
      </c>
      <c r="W187" s="26">
        <f t="shared" si="969"/>
        <v>50000</v>
      </c>
      <c r="X187" s="26">
        <f t="shared" si="969"/>
        <v>100000</v>
      </c>
      <c r="Y187" s="26">
        <f t="shared" si="969"/>
        <v>150000</v>
      </c>
      <c r="Z187" s="26">
        <f t="shared" si="969"/>
        <v>200000</v>
      </c>
      <c r="AA187" s="26">
        <f t="shared" si="969"/>
        <v>250000</v>
      </c>
      <c r="AB187" s="26">
        <v>300000</v>
      </c>
      <c r="AC187" s="26">
        <v>7185000</v>
      </c>
      <c r="AD187" s="26">
        <f>+AC187+50000</f>
        <v>7235000</v>
      </c>
      <c r="AE187" s="26">
        <f>+AD187+50000-7000000</f>
        <v>285000</v>
      </c>
      <c r="AF187" s="26">
        <f t="shared" ref="AF187:AM187" si="970">+AE187+50000</f>
        <v>335000</v>
      </c>
      <c r="AG187" s="26">
        <v>335000</v>
      </c>
      <c r="AH187" s="26">
        <f>+AG187+100000</f>
        <v>435000</v>
      </c>
      <c r="AI187" s="26">
        <f t="shared" si="970"/>
        <v>485000</v>
      </c>
      <c r="AJ187" s="26">
        <f t="shared" si="970"/>
        <v>535000</v>
      </c>
      <c r="AK187" s="26">
        <f t="shared" si="970"/>
        <v>585000</v>
      </c>
      <c r="AL187" s="26">
        <f t="shared" si="970"/>
        <v>635000</v>
      </c>
      <c r="AM187" s="26">
        <f t="shared" si="970"/>
        <v>685000</v>
      </c>
      <c r="AN187" s="26">
        <v>735000</v>
      </c>
      <c r="AO187" s="26">
        <f t="shared" si="714"/>
        <v>1705000</v>
      </c>
      <c r="AP187" s="27">
        <f t="shared" si="715"/>
        <v>37425</v>
      </c>
      <c r="AQ187" s="27">
        <f t="shared" si="716"/>
        <v>37925</v>
      </c>
      <c r="AR187" s="27">
        <f t="shared" si="717"/>
        <v>3425</v>
      </c>
      <c r="AS187" s="27">
        <f t="shared" si="718"/>
        <v>3925</v>
      </c>
      <c r="AT187" s="27">
        <f t="shared" si="719"/>
        <v>4175</v>
      </c>
      <c r="AU187" s="27">
        <f t="shared" si="720"/>
        <v>2175</v>
      </c>
      <c r="AV187" s="27">
        <f t="shared" si="721"/>
        <v>2675</v>
      </c>
      <c r="AW187" s="27">
        <f t="shared" si="722"/>
        <v>3175</v>
      </c>
      <c r="AX187" s="27">
        <f t="shared" si="723"/>
        <v>3675</v>
      </c>
      <c r="AY187" s="27">
        <f t="shared" si="724"/>
        <v>4175</v>
      </c>
      <c r="AZ187" s="27">
        <f t="shared" si="725"/>
        <v>4675</v>
      </c>
      <c r="BA187" s="27">
        <f t="shared" si="726"/>
        <v>5175</v>
      </c>
      <c r="BB187" s="27"/>
      <c r="BC187" s="26"/>
      <c r="BD187" s="27">
        <f t="shared" si="893"/>
        <v>112600</v>
      </c>
      <c r="BE187" s="28">
        <f t="shared" si="894"/>
        <v>14090.465785104107</v>
      </c>
      <c r="BF187" s="28">
        <f t="shared" si="895"/>
        <v>12981.601014064723</v>
      </c>
      <c r="BG187" s="28">
        <f t="shared" si="896"/>
        <v>5930.4226350812432</v>
      </c>
      <c r="BH187" s="28">
        <f t="shared" si="897"/>
        <v>10367.6071937408</v>
      </c>
      <c r="BI187" s="28">
        <f t="shared" si="898"/>
        <v>8319.0382641271099</v>
      </c>
      <c r="BJ187" s="28">
        <f t="shared" si="899"/>
        <v>6153.5008822580585</v>
      </c>
      <c r="BK187" s="28">
        <f t="shared" si="900"/>
        <v>4782.5353925478912</v>
      </c>
      <c r="BL187" s="28">
        <f t="shared" si="901"/>
        <v>9306.8015786261112</v>
      </c>
      <c r="BM187" s="28">
        <f t="shared" si="902"/>
        <v>10379.962477229699</v>
      </c>
      <c r="BN187" s="28">
        <f t="shared" si="903"/>
        <v>9451.3585119785839</v>
      </c>
      <c r="BO187" s="28">
        <f t="shared" si="904"/>
        <v>7391.5009477405583</v>
      </c>
      <c r="BP187" s="28">
        <f t="shared" si="905"/>
        <v>6955.3092952805682</v>
      </c>
      <c r="BQ187" s="29">
        <f t="shared" si="727"/>
        <v>106110.10397777946</v>
      </c>
      <c r="BR187" s="26">
        <f t="shared" si="879"/>
        <v>0</v>
      </c>
      <c r="BS187" s="26">
        <f t="shared" si="709"/>
        <v>106110.10397777946</v>
      </c>
      <c r="BT187" s="26">
        <f t="shared" si="880"/>
        <v>218710.10397777945</v>
      </c>
      <c r="BU187" s="111">
        <f t="shared" si="966"/>
        <v>1605000</v>
      </c>
      <c r="BV187" s="110">
        <v>124</v>
      </c>
    </row>
    <row r="188" spans="1:74" ht="13.5" customHeight="1" x14ac:dyDescent="0.2">
      <c r="A188" s="15">
        <v>180</v>
      </c>
      <c r="B188" s="15">
        <v>273</v>
      </c>
      <c r="C188" s="14" t="s">
        <v>186</v>
      </c>
      <c r="D188" s="8">
        <v>100000</v>
      </c>
      <c r="E188" s="8">
        <f t="shared" ref="E188:G188" si="971">+F188-15000</f>
        <v>365000</v>
      </c>
      <c r="F188" s="8">
        <f t="shared" si="971"/>
        <v>380000</v>
      </c>
      <c r="G188" s="8">
        <f t="shared" si="971"/>
        <v>395000</v>
      </c>
      <c r="H188" s="8">
        <f t="shared" ref="H188:O188" si="972">+I188-20000</f>
        <v>410000</v>
      </c>
      <c r="I188" s="8">
        <f t="shared" si="972"/>
        <v>430000</v>
      </c>
      <c r="J188" s="8">
        <f t="shared" si="972"/>
        <v>450000</v>
      </c>
      <c r="K188" s="8">
        <f t="shared" si="972"/>
        <v>470000</v>
      </c>
      <c r="L188" s="8">
        <f t="shared" si="972"/>
        <v>490000</v>
      </c>
      <c r="M188" s="8">
        <f t="shared" si="972"/>
        <v>510000</v>
      </c>
      <c r="N188" s="8">
        <f t="shared" si="972"/>
        <v>530000</v>
      </c>
      <c r="O188" s="8">
        <f t="shared" si="972"/>
        <v>550000</v>
      </c>
      <c r="P188" s="8">
        <v>570000</v>
      </c>
      <c r="Q188" s="8">
        <v>300000</v>
      </c>
      <c r="R188" s="8">
        <f>+Q188+50000</f>
        <v>350000</v>
      </c>
      <c r="S188" s="8">
        <f t="shared" si="969"/>
        <v>400000</v>
      </c>
      <c r="T188" s="8">
        <f t="shared" si="969"/>
        <v>450000</v>
      </c>
      <c r="U188" s="8">
        <f t="shared" si="969"/>
        <v>500000</v>
      </c>
      <c r="V188" s="8">
        <v>0</v>
      </c>
      <c r="W188" s="8">
        <f t="shared" si="969"/>
        <v>50000</v>
      </c>
      <c r="X188" s="8">
        <f t="shared" si="969"/>
        <v>100000</v>
      </c>
      <c r="Y188" s="8">
        <f t="shared" si="969"/>
        <v>150000</v>
      </c>
      <c r="Z188" s="8">
        <f t="shared" si="969"/>
        <v>200000</v>
      </c>
      <c r="AA188" s="8">
        <f t="shared" si="969"/>
        <v>250000</v>
      </c>
      <c r="AB188" s="8">
        <v>300000</v>
      </c>
      <c r="AC188" s="8">
        <v>3235000</v>
      </c>
      <c r="AD188" s="8">
        <f>+AC188+50000</f>
        <v>3285000</v>
      </c>
      <c r="AE188" s="8">
        <f>+AD188+50000-3000000</f>
        <v>335000</v>
      </c>
      <c r="AF188" s="8">
        <f t="shared" ref="AF188:AM189" si="973">+AE188+50000</f>
        <v>385000</v>
      </c>
      <c r="AG188" s="8">
        <f>+AF188</f>
        <v>385000</v>
      </c>
      <c r="AH188" s="8">
        <f>+AG188+1000000</f>
        <v>1385000</v>
      </c>
      <c r="AI188" s="8">
        <f t="shared" si="973"/>
        <v>1435000</v>
      </c>
      <c r="AJ188" s="8">
        <f t="shared" si="973"/>
        <v>1485000</v>
      </c>
      <c r="AK188" s="8">
        <f t="shared" si="973"/>
        <v>1535000</v>
      </c>
      <c r="AL188" s="8">
        <f t="shared" si="973"/>
        <v>1585000</v>
      </c>
      <c r="AM188" s="8">
        <f t="shared" si="973"/>
        <v>1635000</v>
      </c>
      <c r="AN188" s="8">
        <v>1685000</v>
      </c>
      <c r="AO188" s="8">
        <f t="shared" si="714"/>
        <v>2655000</v>
      </c>
      <c r="AP188" s="16">
        <f t="shared" si="715"/>
        <v>17675</v>
      </c>
      <c r="AQ188" s="16">
        <f t="shared" si="716"/>
        <v>18175</v>
      </c>
      <c r="AR188" s="16">
        <f t="shared" si="717"/>
        <v>3675</v>
      </c>
      <c r="AS188" s="16">
        <f t="shared" si="718"/>
        <v>4175</v>
      </c>
      <c r="AT188" s="16">
        <f t="shared" si="719"/>
        <v>4425</v>
      </c>
      <c r="AU188" s="16">
        <f t="shared" si="720"/>
        <v>6925</v>
      </c>
      <c r="AV188" s="16">
        <f t="shared" si="721"/>
        <v>7425</v>
      </c>
      <c r="AW188" s="16">
        <f t="shared" si="722"/>
        <v>7925</v>
      </c>
      <c r="AX188" s="16">
        <f t="shared" si="723"/>
        <v>8425</v>
      </c>
      <c r="AY188" s="16">
        <f t="shared" si="724"/>
        <v>8925</v>
      </c>
      <c r="AZ188" s="16">
        <f t="shared" si="725"/>
        <v>9425</v>
      </c>
      <c r="BA188" s="16">
        <f t="shared" si="726"/>
        <v>9925</v>
      </c>
      <c r="BB188" s="16"/>
      <c r="BC188" s="8"/>
      <c r="BD188" s="16">
        <f t="shared" si="893"/>
        <v>107100</v>
      </c>
      <c r="BE188" s="23">
        <f t="shared" si="894"/>
        <v>7089.5425333857138</v>
      </c>
      <c r="BF188" s="23">
        <f t="shared" si="895"/>
        <v>6623.5943177775998</v>
      </c>
      <c r="BG188" s="23">
        <f t="shared" si="896"/>
        <v>6181.711729788075</v>
      </c>
      <c r="BH188" s="23">
        <f t="shared" si="897"/>
        <v>10767.900907784846</v>
      </c>
      <c r="BI188" s="23">
        <f t="shared" si="898"/>
        <v>8623.7649404687618</v>
      </c>
      <c r="BJ188" s="23">
        <f t="shared" si="899"/>
        <v>12088.349448902885</v>
      </c>
      <c r="BK188" s="23">
        <f t="shared" si="900"/>
        <v>8894.2174042406496</v>
      </c>
      <c r="BL188" s="23">
        <f t="shared" si="901"/>
        <v>16524.321170213709</v>
      </c>
      <c r="BM188" s="23">
        <f t="shared" si="902"/>
        <v>17711.53448716889</v>
      </c>
      <c r="BN188" s="23">
        <f t="shared" si="903"/>
        <v>15580.225806435685</v>
      </c>
      <c r="BO188" s="23">
        <f t="shared" si="904"/>
        <v>11821.738108846886</v>
      </c>
      <c r="BP188" s="23">
        <f t="shared" si="905"/>
        <v>10830.701571243348</v>
      </c>
      <c r="BQ188" s="22">
        <f t="shared" si="727"/>
        <v>132737.60242625704</v>
      </c>
      <c r="BR188" s="8">
        <f t="shared" si="879"/>
        <v>0</v>
      </c>
      <c r="BS188" s="8">
        <f t="shared" si="709"/>
        <v>132737.60242625704</v>
      </c>
      <c r="BT188" s="8">
        <f t="shared" si="880"/>
        <v>239837.60242625704</v>
      </c>
    </row>
    <row r="189" spans="1:74" s="135" customFormat="1" ht="13.5" customHeight="1" x14ac:dyDescent="0.2">
      <c r="A189" s="128">
        <v>181</v>
      </c>
      <c r="B189" s="128">
        <v>274</v>
      </c>
      <c r="C189" s="129" t="s">
        <v>187</v>
      </c>
      <c r="D189" s="130">
        <v>100000</v>
      </c>
      <c r="E189" s="130">
        <f t="shared" ref="E189:G189" si="974">+F189-15000</f>
        <v>350000</v>
      </c>
      <c r="F189" s="130">
        <f t="shared" si="974"/>
        <v>365000</v>
      </c>
      <c r="G189" s="130">
        <f t="shared" si="974"/>
        <v>380000</v>
      </c>
      <c r="H189" s="130">
        <f t="shared" ref="H189:O189" si="975">+I189-20000</f>
        <v>395000</v>
      </c>
      <c r="I189" s="130">
        <f t="shared" si="975"/>
        <v>415000</v>
      </c>
      <c r="J189" s="130">
        <f t="shared" si="975"/>
        <v>435000</v>
      </c>
      <c r="K189" s="130">
        <f t="shared" si="975"/>
        <v>455000</v>
      </c>
      <c r="L189" s="130">
        <f t="shared" si="975"/>
        <v>475000</v>
      </c>
      <c r="M189" s="130">
        <f t="shared" si="975"/>
        <v>495000</v>
      </c>
      <c r="N189" s="130">
        <f t="shared" si="975"/>
        <v>515000</v>
      </c>
      <c r="O189" s="130">
        <f t="shared" si="975"/>
        <v>535000</v>
      </c>
      <c r="P189" s="130">
        <v>555000</v>
      </c>
      <c r="Q189" s="130">
        <v>300000</v>
      </c>
      <c r="R189" s="130">
        <f>50000+Q189</f>
        <v>350000</v>
      </c>
      <c r="S189" s="130">
        <f t="shared" ref="S189:U189" si="976">50000+R189</f>
        <v>400000</v>
      </c>
      <c r="T189" s="130">
        <f t="shared" si="976"/>
        <v>450000</v>
      </c>
      <c r="U189" s="130">
        <f t="shared" si="976"/>
        <v>500000</v>
      </c>
      <c r="V189" s="130">
        <v>0</v>
      </c>
      <c r="W189" s="130">
        <f t="shared" si="969"/>
        <v>50000</v>
      </c>
      <c r="X189" s="130">
        <f t="shared" ref="X189" si="977">+W189+50000</f>
        <v>100000</v>
      </c>
      <c r="Y189" s="130">
        <f t="shared" ref="Y189" si="978">+X189+50000</f>
        <v>150000</v>
      </c>
      <c r="Z189" s="130">
        <f t="shared" ref="Z189" si="979">+Y189+50000</f>
        <v>200000</v>
      </c>
      <c r="AA189" s="130">
        <f t="shared" ref="AA189" si="980">+Z189+50000</f>
        <v>250000</v>
      </c>
      <c r="AB189" s="130">
        <v>300000</v>
      </c>
      <c r="AC189" s="130">
        <v>70000</v>
      </c>
      <c r="AD189" s="130">
        <f>+AC189+50000</f>
        <v>120000</v>
      </c>
      <c r="AE189" s="130">
        <f t="shared" ref="AE189" si="981">+AD189+50000</f>
        <v>170000</v>
      </c>
      <c r="AF189" s="130">
        <f t="shared" si="973"/>
        <v>220000</v>
      </c>
      <c r="AG189" s="130">
        <f t="shared" ref="AG189:AH189" si="982">+AF189+50000</f>
        <v>270000</v>
      </c>
      <c r="AH189" s="130">
        <f t="shared" si="982"/>
        <v>320000</v>
      </c>
      <c r="AI189" s="130">
        <f t="shared" si="973"/>
        <v>370000</v>
      </c>
      <c r="AJ189" s="130">
        <f t="shared" si="973"/>
        <v>420000</v>
      </c>
      <c r="AK189" s="130">
        <f t="shared" si="973"/>
        <v>470000</v>
      </c>
      <c r="AL189" s="130">
        <f t="shared" si="973"/>
        <v>520000</v>
      </c>
      <c r="AM189" s="130">
        <f t="shared" si="973"/>
        <v>570000</v>
      </c>
      <c r="AN189" s="130">
        <v>420000</v>
      </c>
      <c r="AO189" s="130">
        <f t="shared" si="714"/>
        <v>1375000</v>
      </c>
      <c r="AP189" s="131">
        <f t="shared" si="715"/>
        <v>1850</v>
      </c>
      <c r="AQ189" s="131">
        <f t="shared" si="716"/>
        <v>2350</v>
      </c>
      <c r="AR189" s="131">
        <f t="shared" si="717"/>
        <v>2850</v>
      </c>
      <c r="AS189" s="131">
        <f t="shared" si="718"/>
        <v>3350</v>
      </c>
      <c r="AT189" s="131">
        <f t="shared" si="719"/>
        <v>3850</v>
      </c>
      <c r="AU189" s="131">
        <f t="shared" si="720"/>
        <v>1600</v>
      </c>
      <c r="AV189" s="131">
        <f t="shared" si="721"/>
        <v>2100</v>
      </c>
      <c r="AW189" s="131">
        <f t="shared" si="722"/>
        <v>2600</v>
      </c>
      <c r="AX189" s="131">
        <f t="shared" si="723"/>
        <v>3100</v>
      </c>
      <c r="AY189" s="131">
        <f t="shared" si="724"/>
        <v>3600</v>
      </c>
      <c r="AZ189" s="131">
        <f t="shared" si="725"/>
        <v>4100</v>
      </c>
      <c r="BA189" s="131">
        <f t="shared" si="726"/>
        <v>3600</v>
      </c>
      <c r="BB189" s="131">
        <v>900000</v>
      </c>
      <c r="BC189" s="130">
        <v>1500000</v>
      </c>
      <c r="BD189" s="131">
        <f t="shared" si="893"/>
        <v>34950</v>
      </c>
      <c r="BE189" s="132">
        <f t="shared" si="894"/>
        <v>1453.3562193440714</v>
      </c>
      <c r="BF189" s="132">
        <f t="shared" si="895"/>
        <v>1504.9965217793574</v>
      </c>
      <c r="BG189" s="132">
        <f t="shared" si="896"/>
        <v>5277.0709888434794</v>
      </c>
      <c r="BH189" s="132">
        <f t="shared" si="897"/>
        <v>9326.8435372262793</v>
      </c>
      <c r="BI189" s="132">
        <f t="shared" si="898"/>
        <v>7831.475581980465</v>
      </c>
      <c r="BJ189" s="132">
        <f t="shared" si="899"/>
        <v>5341.3637099803445</v>
      </c>
      <c r="BK189" s="132">
        <f t="shared" si="900"/>
        <v>4219.8841698951983</v>
      </c>
      <c r="BL189" s="132">
        <f t="shared" si="901"/>
        <v>8319.1410029351773</v>
      </c>
      <c r="BM189" s="132">
        <f t="shared" si="902"/>
        <v>9376.6947285011775</v>
      </c>
      <c r="BN189" s="132">
        <f t="shared" si="903"/>
        <v>8612.6714085265594</v>
      </c>
      <c r="BO189" s="132">
        <f t="shared" si="904"/>
        <v>6785.2579677996928</v>
      </c>
      <c r="BP189" s="132">
        <f t="shared" si="905"/>
        <v>5609.1203994198131</v>
      </c>
      <c r="BQ189" s="133">
        <f t="shared" si="727"/>
        <v>73657.876236231619</v>
      </c>
      <c r="BR189" s="130">
        <f t="shared" si="879"/>
        <v>196549.17656257635</v>
      </c>
      <c r="BS189" s="130">
        <f t="shared" si="709"/>
        <v>270207.05279880797</v>
      </c>
      <c r="BT189" s="130">
        <f t="shared" si="880"/>
        <v>305157.05279880797</v>
      </c>
      <c r="BU189" s="134">
        <f t="shared" ref="BU189:BU193" si="983">AO189-100000</f>
        <v>1275000</v>
      </c>
      <c r="BV189" s="135">
        <v>126</v>
      </c>
    </row>
    <row r="190" spans="1:74" s="110" customFormat="1" ht="13.5" customHeight="1" x14ac:dyDescent="0.2">
      <c r="A190" s="24">
        <v>182</v>
      </c>
      <c r="B190" s="24">
        <v>275</v>
      </c>
      <c r="C190" s="25" t="s">
        <v>188</v>
      </c>
      <c r="D190" s="26">
        <v>100000</v>
      </c>
      <c r="E190" s="26">
        <f t="shared" ref="E190:G190" si="984">+F190-15000</f>
        <v>350000</v>
      </c>
      <c r="F190" s="26">
        <f t="shared" si="984"/>
        <v>365000</v>
      </c>
      <c r="G190" s="26">
        <f t="shared" si="984"/>
        <v>380000</v>
      </c>
      <c r="H190" s="26">
        <f t="shared" ref="H190:O190" si="985">+I190-20000</f>
        <v>395000</v>
      </c>
      <c r="I190" s="26">
        <f t="shared" si="985"/>
        <v>415000</v>
      </c>
      <c r="J190" s="26">
        <f t="shared" si="985"/>
        <v>435000</v>
      </c>
      <c r="K190" s="26">
        <f t="shared" si="985"/>
        <v>455000</v>
      </c>
      <c r="L190" s="26">
        <f t="shared" si="985"/>
        <v>475000</v>
      </c>
      <c r="M190" s="26">
        <f t="shared" si="985"/>
        <v>495000</v>
      </c>
      <c r="N190" s="26">
        <f t="shared" si="985"/>
        <v>515000</v>
      </c>
      <c r="O190" s="26">
        <f t="shared" si="985"/>
        <v>535000</v>
      </c>
      <c r="P190" s="26">
        <v>555000</v>
      </c>
      <c r="Q190" s="26">
        <v>600000</v>
      </c>
      <c r="R190" s="26">
        <f>+Q190+100000</f>
        <v>700000</v>
      </c>
      <c r="S190" s="26">
        <f t="shared" ref="S190:AA193" si="986">+R190+100000</f>
        <v>800000</v>
      </c>
      <c r="T190" s="26">
        <f t="shared" si="986"/>
        <v>900000</v>
      </c>
      <c r="U190" s="26">
        <f t="shared" si="986"/>
        <v>1000000</v>
      </c>
      <c r="V190" s="26">
        <v>0</v>
      </c>
      <c r="W190" s="26">
        <f>+V190+100000</f>
        <v>100000</v>
      </c>
      <c r="X190" s="26">
        <f t="shared" si="986"/>
        <v>200000</v>
      </c>
      <c r="Y190" s="26">
        <f t="shared" si="986"/>
        <v>300000</v>
      </c>
      <c r="Z190" s="26">
        <f t="shared" si="986"/>
        <v>400000</v>
      </c>
      <c r="AA190" s="26">
        <f t="shared" si="986"/>
        <v>500000</v>
      </c>
      <c r="AB190" s="26">
        <v>600000</v>
      </c>
      <c r="AC190" s="26">
        <v>1200000</v>
      </c>
      <c r="AD190" s="26">
        <v>1100000</v>
      </c>
      <c r="AE190" s="26">
        <v>2100000</v>
      </c>
      <c r="AF190" s="26">
        <v>2000000</v>
      </c>
      <c r="AG190" s="26">
        <v>1600000</v>
      </c>
      <c r="AH190" s="26">
        <f t="shared" ref="AH190:AM190" si="987">+AG190+100000</f>
        <v>1700000</v>
      </c>
      <c r="AI190" s="26">
        <f t="shared" si="987"/>
        <v>1800000</v>
      </c>
      <c r="AJ190" s="26">
        <v>1700000</v>
      </c>
      <c r="AK190" s="26">
        <v>1600000</v>
      </c>
      <c r="AL190" s="26">
        <f t="shared" si="987"/>
        <v>1700000</v>
      </c>
      <c r="AM190" s="26">
        <f t="shared" si="987"/>
        <v>1800000</v>
      </c>
      <c r="AN190" s="26">
        <v>400000</v>
      </c>
      <c r="AO190" s="26">
        <f t="shared" si="714"/>
        <v>1655000</v>
      </c>
      <c r="AP190" s="27">
        <f t="shared" si="715"/>
        <v>9000</v>
      </c>
      <c r="AQ190" s="27">
        <f t="shared" si="716"/>
        <v>9000</v>
      </c>
      <c r="AR190" s="27">
        <f t="shared" si="717"/>
        <v>14500</v>
      </c>
      <c r="AS190" s="27">
        <f t="shared" si="718"/>
        <v>14500</v>
      </c>
      <c r="AT190" s="27">
        <f t="shared" si="719"/>
        <v>13000</v>
      </c>
      <c r="AU190" s="27">
        <f t="shared" si="720"/>
        <v>8500</v>
      </c>
      <c r="AV190" s="27">
        <f t="shared" si="721"/>
        <v>9500</v>
      </c>
      <c r="AW190" s="27">
        <f t="shared" si="722"/>
        <v>9500</v>
      </c>
      <c r="AX190" s="27">
        <f t="shared" si="723"/>
        <v>9500</v>
      </c>
      <c r="AY190" s="27">
        <f t="shared" si="724"/>
        <v>10500</v>
      </c>
      <c r="AZ190" s="27">
        <f t="shared" si="725"/>
        <v>11500</v>
      </c>
      <c r="BA190" s="27">
        <f t="shared" si="726"/>
        <v>5000</v>
      </c>
      <c r="BB190" s="27">
        <v>900000</v>
      </c>
      <c r="BC190" s="26">
        <v>250000</v>
      </c>
      <c r="BD190" s="27">
        <f t="shared" si="893"/>
        <v>124000</v>
      </c>
      <c r="BE190" s="28">
        <f t="shared" si="894"/>
        <v>3987.867675029464</v>
      </c>
      <c r="BF190" s="28">
        <f t="shared" si="895"/>
        <v>3645.7937131874273</v>
      </c>
      <c r="BG190" s="28">
        <f t="shared" si="896"/>
        <v>16987.142802181865</v>
      </c>
      <c r="BH190" s="28">
        <f t="shared" si="897"/>
        <v>27179.943183590742</v>
      </c>
      <c r="BI190" s="28">
        <f t="shared" si="898"/>
        <v>18984.471936084941</v>
      </c>
      <c r="BJ190" s="28">
        <f t="shared" si="899"/>
        <v>13962.512154159147</v>
      </c>
      <c r="BK190" s="28">
        <f t="shared" si="900"/>
        <v>10625.451935479705</v>
      </c>
      <c r="BL190" s="28">
        <f t="shared" si="901"/>
        <v>18803.537883346635</v>
      </c>
      <c r="BM190" s="28">
        <f t="shared" si="902"/>
        <v>19255.023331366618</v>
      </c>
      <c r="BN190" s="28">
        <f t="shared" si="903"/>
        <v>17515.657583632663</v>
      </c>
      <c r="BO190" s="28">
        <f t="shared" si="904"/>
        <v>13687.101124049552</v>
      </c>
      <c r="BP190" s="28">
        <f t="shared" si="905"/>
        <v>6751.3412807562108</v>
      </c>
      <c r="BQ190" s="29">
        <f t="shared" si="727"/>
        <v>171385.84460286493</v>
      </c>
      <c r="BR190" s="26">
        <f t="shared" si="879"/>
        <v>196549.17656257635</v>
      </c>
      <c r="BS190" s="26">
        <f t="shared" si="709"/>
        <v>367935.02116544126</v>
      </c>
      <c r="BT190" s="26">
        <f t="shared" si="880"/>
        <v>491935.02116544126</v>
      </c>
      <c r="BU190" s="111">
        <f t="shared" si="983"/>
        <v>1555000</v>
      </c>
      <c r="BV190" s="110">
        <v>127</v>
      </c>
    </row>
    <row r="191" spans="1:74" s="110" customFormat="1" ht="13.5" customHeight="1" x14ac:dyDescent="0.2">
      <c r="A191" s="24">
        <v>183</v>
      </c>
      <c r="B191" s="24">
        <v>276</v>
      </c>
      <c r="C191" s="25" t="s">
        <v>189</v>
      </c>
      <c r="D191" s="26">
        <v>100000</v>
      </c>
      <c r="E191" s="26">
        <f t="shared" ref="E191:G191" si="988">+F191-15000</f>
        <v>350000</v>
      </c>
      <c r="F191" s="26">
        <f t="shared" si="988"/>
        <v>365000</v>
      </c>
      <c r="G191" s="26">
        <f t="shared" si="988"/>
        <v>380000</v>
      </c>
      <c r="H191" s="26">
        <f t="shared" ref="H191:O191" si="989">+I191-20000</f>
        <v>395000</v>
      </c>
      <c r="I191" s="26">
        <f t="shared" si="989"/>
        <v>415000</v>
      </c>
      <c r="J191" s="26">
        <f t="shared" si="989"/>
        <v>435000</v>
      </c>
      <c r="K191" s="26">
        <f t="shared" si="989"/>
        <v>455000</v>
      </c>
      <c r="L191" s="26">
        <f t="shared" si="989"/>
        <v>475000</v>
      </c>
      <c r="M191" s="26">
        <f t="shared" si="989"/>
        <v>495000</v>
      </c>
      <c r="N191" s="26">
        <f t="shared" si="989"/>
        <v>515000</v>
      </c>
      <c r="O191" s="26">
        <f t="shared" si="989"/>
        <v>535000</v>
      </c>
      <c r="P191" s="26">
        <v>555000</v>
      </c>
      <c r="Q191" s="26">
        <v>600000</v>
      </c>
      <c r="R191" s="26">
        <f>+Q191+100000</f>
        <v>700000</v>
      </c>
      <c r="S191" s="26">
        <f t="shared" si="986"/>
        <v>800000</v>
      </c>
      <c r="T191" s="26">
        <f t="shared" si="986"/>
        <v>900000</v>
      </c>
      <c r="U191" s="26">
        <f t="shared" si="986"/>
        <v>1000000</v>
      </c>
      <c r="V191" s="26">
        <v>0</v>
      </c>
      <c r="W191" s="26">
        <f>+V191+100000</f>
        <v>100000</v>
      </c>
      <c r="X191" s="26">
        <f t="shared" si="986"/>
        <v>200000</v>
      </c>
      <c r="Y191" s="26">
        <f t="shared" si="986"/>
        <v>300000</v>
      </c>
      <c r="Z191" s="26">
        <f t="shared" si="986"/>
        <v>400000</v>
      </c>
      <c r="AA191" s="26">
        <f t="shared" si="986"/>
        <v>500000</v>
      </c>
      <c r="AB191" s="26">
        <v>600000</v>
      </c>
      <c r="AC191" s="26"/>
      <c r="AD191" s="26">
        <v>0</v>
      </c>
      <c r="AE191" s="26">
        <v>100000</v>
      </c>
      <c r="AF191" s="26">
        <v>0</v>
      </c>
      <c r="AG191" s="26">
        <v>0</v>
      </c>
      <c r="AH191" s="26">
        <v>0</v>
      </c>
      <c r="AI191" s="26">
        <v>0</v>
      </c>
      <c r="AJ191" s="26">
        <v>0</v>
      </c>
      <c r="AK191" s="26">
        <v>0</v>
      </c>
      <c r="AL191" s="26">
        <v>0</v>
      </c>
      <c r="AM191" s="26">
        <v>0</v>
      </c>
      <c r="AN191" s="26">
        <v>0</v>
      </c>
      <c r="AO191" s="26">
        <f t="shared" si="714"/>
        <v>1255000</v>
      </c>
      <c r="AP191" s="27">
        <f t="shared" si="715"/>
        <v>3000</v>
      </c>
      <c r="AQ191" s="27">
        <f t="shared" si="716"/>
        <v>3500</v>
      </c>
      <c r="AR191" s="27">
        <f t="shared" si="717"/>
        <v>4500</v>
      </c>
      <c r="AS191" s="27">
        <f t="shared" si="718"/>
        <v>4500</v>
      </c>
      <c r="AT191" s="27">
        <f t="shared" si="719"/>
        <v>5000</v>
      </c>
      <c r="AU191" s="27">
        <f t="shared" si="720"/>
        <v>0</v>
      </c>
      <c r="AV191" s="27">
        <f t="shared" si="721"/>
        <v>500</v>
      </c>
      <c r="AW191" s="27">
        <f t="shared" si="722"/>
        <v>1000</v>
      </c>
      <c r="AX191" s="27">
        <f t="shared" si="723"/>
        <v>1500</v>
      </c>
      <c r="AY191" s="27">
        <f t="shared" si="724"/>
        <v>2000</v>
      </c>
      <c r="AZ191" s="27">
        <f t="shared" si="725"/>
        <v>2500</v>
      </c>
      <c r="BA191" s="27">
        <f t="shared" si="726"/>
        <v>3000</v>
      </c>
      <c r="BB191" s="27">
        <v>900000</v>
      </c>
      <c r="BC191" s="26">
        <v>250000</v>
      </c>
      <c r="BD191" s="27">
        <f t="shared" si="893"/>
        <v>31000</v>
      </c>
      <c r="BE191" s="28">
        <f t="shared" si="894"/>
        <v>1861.00491501375</v>
      </c>
      <c r="BF191" s="28">
        <f t="shared" si="895"/>
        <v>1875.209569917595</v>
      </c>
      <c r="BG191" s="28">
        <f t="shared" si="896"/>
        <v>6935.5790139085721</v>
      </c>
      <c r="BH191" s="28">
        <f t="shared" si="897"/>
        <v>11168.194621828892</v>
      </c>
      <c r="BI191" s="28">
        <f t="shared" si="898"/>
        <v>9233.2182931520656</v>
      </c>
      <c r="BJ191" s="28">
        <f t="shared" si="899"/>
        <v>3342.2568243736659</v>
      </c>
      <c r="BK191" s="28">
        <f t="shared" si="900"/>
        <v>2834.8965449039538</v>
      </c>
      <c r="BL191" s="28">
        <f t="shared" si="901"/>
        <v>5887.9765089267239</v>
      </c>
      <c r="BM191" s="28">
        <f t="shared" si="902"/>
        <v>6907.1125777848183</v>
      </c>
      <c r="BN191" s="28">
        <f t="shared" si="903"/>
        <v>6548.210846183114</v>
      </c>
      <c r="BO191" s="28">
        <f t="shared" si="904"/>
        <v>5292.9675556375605</v>
      </c>
      <c r="BP191" s="28">
        <f t="shared" si="905"/>
        <v>5119.5971645613563</v>
      </c>
      <c r="BQ191" s="29">
        <f t="shared" si="727"/>
        <v>67006.224436192075</v>
      </c>
      <c r="BR191" s="26">
        <f t="shared" si="879"/>
        <v>196549.17656257635</v>
      </c>
      <c r="BS191" s="26">
        <f t="shared" si="709"/>
        <v>263555.4009987684</v>
      </c>
      <c r="BT191" s="26">
        <f t="shared" si="880"/>
        <v>294555.4009987684</v>
      </c>
      <c r="BU191" s="111">
        <f t="shared" si="983"/>
        <v>1155000</v>
      </c>
      <c r="BV191" s="110">
        <v>128</v>
      </c>
    </row>
    <row r="192" spans="1:74" s="110" customFormat="1" ht="13.5" customHeight="1" x14ac:dyDescent="0.2">
      <c r="A192" s="24">
        <v>184</v>
      </c>
      <c r="B192" s="24">
        <v>277</v>
      </c>
      <c r="C192" s="25" t="s">
        <v>190</v>
      </c>
      <c r="D192" s="26">
        <v>100000</v>
      </c>
      <c r="E192" s="26">
        <f t="shared" ref="E192:G192" si="990">+F192-15000</f>
        <v>350000</v>
      </c>
      <c r="F192" s="26">
        <f t="shared" si="990"/>
        <v>365000</v>
      </c>
      <c r="G192" s="26">
        <f t="shared" si="990"/>
        <v>380000</v>
      </c>
      <c r="H192" s="26">
        <f t="shared" ref="H192:O192" si="991">+I192-20000</f>
        <v>395000</v>
      </c>
      <c r="I192" s="26">
        <f t="shared" si="991"/>
        <v>415000</v>
      </c>
      <c r="J192" s="26">
        <f t="shared" si="991"/>
        <v>435000</v>
      </c>
      <c r="K192" s="26">
        <f t="shared" si="991"/>
        <v>455000</v>
      </c>
      <c r="L192" s="26">
        <f t="shared" si="991"/>
        <v>475000</v>
      </c>
      <c r="M192" s="26">
        <f t="shared" si="991"/>
        <v>495000</v>
      </c>
      <c r="N192" s="26">
        <f t="shared" si="991"/>
        <v>515000</v>
      </c>
      <c r="O192" s="26">
        <f t="shared" si="991"/>
        <v>535000</v>
      </c>
      <c r="P192" s="26">
        <v>555000</v>
      </c>
      <c r="Q192" s="26">
        <v>600000</v>
      </c>
      <c r="R192" s="26">
        <f>+Q192+100000</f>
        <v>700000</v>
      </c>
      <c r="S192" s="26">
        <f t="shared" si="986"/>
        <v>800000</v>
      </c>
      <c r="T192" s="26">
        <f t="shared" si="986"/>
        <v>900000</v>
      </c>
      <c r="U192" s="26">
        <f t="shared" si="986"/>
        <v>1000000</v>
      </c>
      <c r="V192" s="26">
        <v>0</v>
      </c>
      <c r="W192" s="26">
        <f>+V192+100000</f>
        <v>100000</v>
      </c>
      <c r="X192" s="26">
        <f t="shared" si="986"/>
        <v>200000</v>
      </c>
      <c r="Y192" s="26">
        <f t="shared" si="986"/>
        <v>300000</v>
      </c>
      <c r="Z192" s="26">
        <f t="shared" si="986"/>
        <v>400000</v>
      </c>
      <c r="AA192" s="26">
        <f t="shared" si="986"/>
        <v>500000</v>
      </c>
      <c r="AB192" s="26">
        <v>600000</v>
      </c>
      <c r="AC192" s="26">
        <v>100000</v>
      </c>
      <c r="AD192" s="26">
        <f>+AC192+50000</f>
        <v>150000</v>
      </c>
      <c r="AE192" s="26">
        <v>50000</v>
      </c>
      <c r="AF192" s="26">
        <f t="shared" ref="AF192:AM192" si="992">+AE192+50000</f>
        <v>100000</v>
      </c>
      <c r="AG192" s="26">
        <v>0</v>
      </c>
      <c r="AH192" s="26">
        <f t="shared" si="992"/>
        <v>50000</v>
      </c>
      <c r="AI192" s="26">
        <f t="shared" si="992"/>
        <v>100000</v>
      </c>
      <c r="AJ192" s="26">
        <f t="shared" si="992"/>
        <v>150000</v>
      </c>
      <c r="AK192" s="26">
        <v>50000</v>
      </c>
      <c r="AL192" s="26">
        <v>0</v>
      </c>
      <c r="AM192" s="26">
        <f t="shared" si="992"/>
        <v>50000</v>
      </c>
      <c r="AN192" s="26">
        <v>100000</v>
      </c>
      <c r="AO192" s="26">
        <f t="shared" si="714"/>
        <v>1355000</v>
      </c>
      <c r="AP192" s="27">
        <f t="shared" si="715"/>
        <v>3500</v>
      </c>
      <c r="AQ192" s="27">
        <f t="shared" si="716"/>
        <v>4250</v>
      </c>
      <c r="AR192" s="27">
        <f t="shared" si="717"/>
        <v>4250</v>
      </c>
      <c r="AS192" s="27">
        <f t="shared" si="718"/>
        <v>5000</v>
      </c>
      <c r="AT192" s="27">
        <f t="shared" si="719"/>
        <v>5000</v>
      </c>
      <c r="AU192" s="27">
        <f t="shared" si="720"/>
        <v>250</v>
      </c>
      <c r="AV192" s="27">
        <f t="shared" si="721"/>
        <v>1000</v>
      </c>
      <c r="AW192" s="27">
        <f t="shared" si="722"/>
        <v>1750</v>
      </c>
      <c r="AX192" s="27">
        <f t="shared" si="723"/>
        <v>1750</v>
      </c>
      <c r="AY192" s="27">
        <f t="shared" si="724"/>
        <v>2000</v>
      </c>
      <c r="AZ192" s="27">
        <f t="shared" si="725"/>
        <v>2750</v>
      </c>
      <c r="BA192" s="27">
        <f t="shared" si="726"/>
        <v>3500</v>
      </c>
      <c r="BB192" s="27">
        <v>900000</v>
      </c>
      <c r="BC192" s="26">
        <v>1278000</v>
      </c>
      <c r="BD192" s="27">
        <f t="shared" si="893"/>
        <v>35000</v>
      </c>
      <c r="BE192" s="28">
        <f t="shared" si="894"/>
        <v>2038.2434783483927</v>
      </c>
      <c r="BF192" s="28">
        <f t="shared" si="895"/>
        <v>2116.6528621816628</v>
      </c>
      <c r="BG192" s="28">
        <f t="shared" si="896"/>
        <v>6684.2899192017403</v>
      </c>
      <c r="BH192" s="28">
        <f t="shared" si="897"/>
        <v>11968.782049916985</v>
      </c>
      <c r="BI192" s="28">
        <f t="shared" si="898"/>
        <v>9233.2182931520656</v>
      </c>
      <c r="BJ192" s="28">
        <f t="shared" si="899"/>
        <v>3654.6172752497096</v>
      </c>
      <c r="BK192" s="28">
        <f t="shared" si="900"/>
        <v>3267.7051777137176</v>
      </c>
      <c r="BL192" s="28">
        <f t="shared" si="901"/>
        <v>7027.584865493186</v>
      </c>
      <c r="BM192" s="28">
        <f t="shared" si="902"/>
        <v>7292.9847888342492</v>
      </c>
      <c r="BN192" s="28">
        <f t="shared" si="903"/>
        <v>6548.210846183114</v>
      </c>
      <c r="BO192" s="28">
        <f t="shared" si="904"/>
        <v>5526.1379325378939</v>
      </c>
      <c r="BP192" s="28">
        <f t="shared" si="905"/>
        <v>5527.5331936100702</v>
      </c>
      <c r="BQ192" s="29">
        <f t="shared" si="727"/>
        <v>70885.960682422781</v>
      </c>
      <c r="BR192" s="26">
        <f t="shared" si="879"/>
        <v>196549.17656257635</v>
      </c>
      <c r="BS192" s="26">
        <f t="shared" si="709"/>
        <v>267435.13724499912</v>
      </c>
      <c r="BT192" s="26">
        <f t="shared" si="880"/>
        <v>302435.13724499912</v>
      </c>
      <c r="BU192" s="111">
        <f t="shared" si="983"/>
        <v>1255000</v>
      </c>
      <c r="BV192" s="110">
        <v>129</v>
      </c>
    </row>
    <row r="193" spans="1:74" s="110" customFormat="1" ht="13.5" customHeight="1" x14ac:dyDescent="0.2">
      <c r="A193" s="24">
        <v>185</v>
      </c>
      <c r="B193" s="24">
        <v>278</v>
      </c>
      <c r="C193" s="25" t="s">
        <v>191</v>
      </c>
      <c r="D193" s="26">
        <v>100000</v>
      </c>
      <c r="E193" s="26">
        <f t="shared" ref="E193:G193" si="993">+F193-15000</f>
        <v>350000</v>
      </c>
      <c r="F193" s="26">
        <f t="shared" si="993"/>
        <v>365000</v>
      </c>
      <c r="G193" s="26">
        <f t="shared" si="993"/>
        <v>380000</v>
      </c>
      <c r="H193" s="26">
        <f t="shared" ref="H193:O193" si="994">+I193-20000</f>
        <v>395000</v>
      </c>
      <c r="I193" s="26">
        <f t="shared" si="994"/>
        <v>415000</v>
      </c>
      <c r="J193" s="26">
        <f t="shared" si="994"/>
        <v>435000</v>
      </c>
      <c r="K193" s="26">
        <f t="shared" si="994"/>
        <v>455000</v>
      </c>
      <c r="L193" s="26">
        <f t="shared" si="994"/>
        <v>475000</v>
      </c>
      <c r="M193" s="26">
        <f t="shared" si="994"/>
        <v>495000</v>
      </c>
      <c r="N193" s="26">
        <f t="shared" si="994"/>
        <v>515000</v>
      </c>
      <c r="O193" s="26">
        <f t="shared" si="994"/>
        <v>535000</v>
      </c>
      <c r="P193" s="26">
        <v>555000</v>
      </c>
      <c r="Q193" s="26">
        <v>300000</v>
      </c>
      <c r="R193" s="26">
        <f>+Q193+50000</f>
        <v>350000</v>
      </c>
      <c r="S193" s="26">
        <f t="shared" ref="S193:U193" si="995">+R193+50000</f>
        <v>400000</v>
      </c>
      <c r="T193" s="26">
        <f t="shared" si="995"/>
        <v>450000</v>
      </c>
      <c r="U193" s="26">
        <f t="shared" si="995"/>
        <v>500000</v>
      </c>
      <c r="V193" s="26">
        <v>0</v>
      </c>
      <c r="W193" s="26">
        <f>+V193+100000</f>
        <v>100000</v>
      </c>
      <c r="X193" s="26">
        <f t="shared" si="986"/>
        <v>200000</v>
      </c>
      <c r="Y193" s="26">
        <f t="shared" si="986"/>
        <v>300000</v>
      </c>
      <c r="Z193" s="26">
        <f t="shared" si="986"/>
        <v>400000</v>
      </c>
      <c r="AA193" s="26">
        <f t="shared" si="986"/>
        <v>500000</v>
      </c>
      <c r="AB193" s="26">
        <v>600000</v>
      </c>
      <c r="AC193" s="26">
        <v>80000</v>
      </c>
      <c r="AD193" s="26">
        <f>+AC193+35000</f>
        <v>115000</v>
      </c>
      <c r="AE193" s="26">
        <v>0</v>
      </c>
      <c r="AF193" s="26">
        <f t="shared" ref="AF193:AG193" si="996">+AE193+35000</f>
        <v>35000</v>
      </c>
      <c r="AG193" s="26">
        <f t="shared" si="996"/>
        <v>70000</v>
      </c>
      <c r="AH193" s="26">
        <v>5000</v>
      </c>
      <c r="AI193" s="26">
        <f>+AH193+50000</f>
        <v>55000</v>
      </c>
      <c r="AJ193" s="26">
        <f t="shared" ref="AJ193:AM193" si="997">+AI193+50000</f>
        <v>105000</v>
      </c>
      <c r="AK193" s="26">
        <v>5000</v>
      </c>
      <c r="AL193" s="26">
        <f t="shared" si="997"/>
        <v>55000</v>
      </c>
      <c r="AM193" s="26">
        <f t="shared" si="997"/>
        <v>105000</v>
      </c>
      <c r="AN193" s="26">
        <v>155000</v>
      </c>
      <c r="AO193" s="26">
        <f t="shared" si="714"/>
        <v>1410000</v>
      </c>
      <c r="AP193" s="27">
        <f t="shared" si="715"/>
        <v>1900</v>
      </c>
      <c r="AQ193" s="27">
        <f t="shared" si="716"/>
        <v>2325</v>
      </c>
      <c r="AR193" s="27">
        <f t="shared" si="717"/>
        <v>2000</v>
      </c>
      <c r="AS193" s="27">
        <f t="shared" si="718"/>
        <v>2425</v>
      </c>
      <c r="AT193" s="27">
        <f t="shared" si="719"/>
        <v>2850</v>
      </c>
      <c r="AU193" s="27">
        <f t="shared" si="720"/>
        <v>25</v>
      </c>
      <c r="AV193" s="27">
        <f t="shared" si="721"/>
        <v>775</v>
      </c>
      <c r="AW193" s="27">
        <f t="shared" si="722"/>
        <v>1525</v>
      </c>
      <c r="AX193" s="27">
        <f t="shared" si="723"/>
        <v>1525</v>
      </c>
      <c r="AY193" s="27">
        <f t="shared" si="724"/>
        <v>2275</v>
      </c>
      <c r="AZ193" s="27">
        <f t="shared" si="725"/>
        <v>3025</v>
      </c>
      <c r="BA193" s="27">
        <f t="shared" si="726"/>
        <v>3775</v>
      </c>
      <c r="BB193" s="27">
        <v>900000</v>
      </c>
      <c r="BC193" s="26">
        <v>1278000</v>
      </c>
      <c r="BD193" s="27">
        <f t="shared" si="893"/>
        <v>24425</v>
      </c>
      <c r="BE193" s="28">
        <f t="shared" si="894"/>
        <v>1471.0800756775357</v>
      </c>
      <c r="BF193" s="28">
        <f t="shared" si="895"/>
        <v>1496.9484120372217</v>
      </c>
      <c r="BG193" s="28">
        <f t="shared" si="896"/>
        <v>4422.6880668402491</v>
      </c>
      <c r="BH193" s="28">
        <f t="shared" si="897"/>
        <v>7845.7567952633071</v>
      </c>
      <c r="BI193" s="28">
        <f t="shared" si="898"/>
        <v>6612.5688766138555</v>
      </c>
      <c r="BJ193" s="28">
        <f t="shared" si="899"/>
        <v>3373.4928694612704</v>
      </c>
      <c r="BK193" s="28">
        <f t="shared" si="900"/>
        <v>3072.9412929493242</v>
      </c>
      <c r="BL193" s="28">
        <f t="shared" si="901"/>
        <v>6685.7023585232473</v>
      </c>
      <c r="BM193" s="28">
        <f t="shared" si="902"/>
        <v>6945.699798889761</v>
      </c>
      <c r="BN193" s="28">
        <f t="shared" si="903"/>
        <v>6903.0400053358935</v>
      </c>
      <c r="BO193" s="28">
        <f t="shared" si="904"/>
        <v>5782.6253471282598</v>
      </c>
      <c r="BP193" s="28">
        <f t="shared" si="905"/>
        <v>5751.8980095868628</v>
      </c>
      <c r="BQ193" s="29">
        <f t="shared" si="727"/>
        <v>60364.441908306784</v>
      </c>
      <c r="BR193" s="26">
        <f t="shared" si="879"/>
        <v>196549.17656257635</v>
      </c>
      <c r="BS193" s="26">
        <f t="shared" si="709"/>
        <v>256913.61847088314</v>
      </c>
      <c r="BT193" s="26">
        <f t="shared" si="880"/>
        <v>281338.61847088311</v>
      </c>
      <c r="BU193" s="111">
        <f t="shared" si="983"/>
        <v>1310000</v>
      </c>
      <c r="BV193" s="110">
        <v>130</v>
      </c>
    </row>
    <row r="194" spans="1:74" ht="13.5" customHeight="1" x14ac:dyDescent="0.2">
      <c r="A194" s="15">
        <v>186</v>
      </c>
      <c r="B194" s="15">
        <v>279</v>
      </c>
      <c r="C194" s="14" t="s">
        <v>192</v>
      </c>
      <c r="D194" s="8">
        <v>100000</v>
      </c>
      <c r="E194" s="8">
        <f t="shared" ref="E194:G195" si="998">+F194-25000</f>
        <v>590000</v>
      </c>
      <c r="F194" s="8">
        <f t="shared" si="998"/>
        <v>615000</v>
      </c>
      <c r="G194" s="8">
        <f t="shared" si="998"/>
        <v>640000</v>
      </c>
      <c r="H194" s="8">
        <f t="shared" ref="H194:O195" si="999">+I194-50000</f>
        <v>665000</v>
      </c>
      <c r="I194" s="8">
        <f t="shared" si="999"/>
        <v>715000</v>
      </c>
      <c r="J194" s="8">
        <f t="shared" si="999"/>
        <v>765000</v>
      </c>
      <c r="K194" s="8">
        <f t="shared" si="999"/>
        <v>815000</v>
      </c>
      <c r="L194" s="8">
        <f t="shared" si="999"/>
        <v>865000</v>
      </c>
      <c r="M194" s="8">
        <f t="shared" si="999"/>
        <v>915000</v>
      </c>
      <c r="N194" s="8">
        <f t="shared" si="999"/>
        <v>965000</v>
      </c>
      <c r="O194" s="8">
        <f t="shared" si="999"/>
        <v>1015000</v>
      </c>
      <c r="P194" s="8">
        <v>1065000</v>
      </c>
      <c r="Q194" s="8">
        <v>1300000</v>
      </c>
      <c r="R194" s="8">
        <f>+Q194+200000</f>
        <v>1500000</v>
      </c>
      <c r="S194" s="8">
        <f t="shared" ref="S194:AA194" si="1000">+R194+200000</f>
        <v>1700000</v>
      </c>
      <c r="T194" s="8">
        <f t="shared" si="1000"/>
        <v>1900000</v>
      </c>
      <c r="U194" s="8">
        <f t="shared" si="1000"/>
        <v>2100000</v>
      </c>
      <c r="V194" s="8">
        <v>0</v>
      </c>
      <c r="W194" s="8">
        <f t="shared" si="1000"/>
        <v>200000</v>
      </c>
      <c r="X194" s="8">
        <f t="shared" si="1000"/>
        <v>400000</v>
      </c>
      <c r="Y194" s="8">
        <f t="shared" si="1000"/>
        <v>600000</v>
      </c>
      <c r="Z194" s="8">
        <f t="shared" si="1000"/>
        <v>800000</v>
      </c>
      <c r="AA194" s="8">
        <f t="shared" si="1000"/>
        <v>1000000</v>
      </c>
      <c r="AB194" s="8">
        <v>1200000</v>
      </c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>
        <v>0</v>
      </c>
      <c r="AO194" s="8">
        <f t="shared" si="714"/>
        <v>2365000</v>
      </c>
      <c r="AP194" s="16">
        <f t="shared" si="715"/>
        <v>6500</v>
      </c>
      <c r="AQ194" s="16">
        <f t="shared" si="716"/>
        <v>7500</v>
      </c>
      <c r="AR194" s="16">
        <f t="shared" si="717"/>
        <v>8500</v>
      </c>
      <c r="AS194" s="16">
        <f t="shared" si="718"/>
        <v>9500</v>
      </c>
      <c r="AT194" s="16">
        <f t="shared" si="719"/>
        <v>10500</v>
      </c>
      <c r="AU194" s="16">
        <f t="shared" si="720"/>
        <v>0</v>
      </c>
      <c r="AV194" s="16">
        <f t="shared" si="721"/>
        <v>1000</v>
      </c>
      <c r="AW194" s="16">
        <f t="shared" si="722"/>
        <v>2000</v>
      </c>
      <c r="AX194" s="16">
        <f t="shared" si="723"/>
        <v>3000</v>
      </c>
      <c r="AY194" s="16">
        <f t="shared" si="724"/>
        <v>4000</v>
      </c>
      <c r="AZ194" s="16">
        <f t="shared" si="725"/>
        <v>5000</v>
      </c>
      <c r="BA194" s="16">
        <f t="shared" si="726"/>
        <v>6000</v>
      </c>
      <c r="BB194" s="16">
        <v>525000</v>
      </c>
      <c r="BC194" s="8">
        <v>1475000</v>
      </c>
      <c r="BD194" s="16">
        <f t="shared" si="893"/>
        <v>63500</v>
      </c>
      <c r="BE194" s="23">
        <f t="shared" si="894"/>
        <v>3527.0474103593929</v>
      </c>
      <c r="BF194" s="23">
        <f t="shared" si="895"/>
        <v>3565.3126157660713</v>
      </c>
      <c r="BG194" s="23">
        <f t="shared" si="896"/>
        <v>12262.907821693418</v>
      </c>
      <c r="BH194" s="23">
        <f t="shared" si="897"/>
        <v>21335.654958547668</v>
      </c>
      <c r="BI194" s="23">
        <f t="shared" si="898"/>
        <v>17765.56523071833</v>
      </c>
      <c r="BJ194" s="23">
        <f t="shared" si="899"/>
        <v>5403.8358001555534</v>
      </c>
      <c r="BK194" s="23">
        <f t="shared" si="900"/>
        <v>4825.8162558288677</v>
      </c>
      <c r="BL194" s="23">
        <f t="shared" si="901"/>
        <v>10370.43604475481</v>
      </c>
      <c r="BM194" s="23">
        <f t="shared" si="902"/>
        <v>12463.672416896627</v>
      </c>
      <c r="BN194" s="23">
        <f t="shared" si="903"/>
        <v>12031.934214907889</v>
      </c>
      <c r="BO194" s="23">
        <f t="shared" si="904"/>
        <v>9863.1069428840892</v>
      </c>
      <c r="BP194" s="23">
        <f t="shared" si="905"/>
        <v>9647.6870870020775</v>
      </c>
      <c r="BQ194" s="22">
        <f t="shared" si="727"/>
        <v>123062.9767995148</v>
      </c>
      <c r="BR194" s="8">
        <f t="shared" si="879"/>
        <v>114653.68632816954</v>
      </c>
      <c r="BS194" s="8">
        <f t="shared" si="709"/>
        <v>237716.66312768433</v>
      </c>
      <c r="BT194" s="8">
        <f t="shared" si="880"/>
        <v>301216.66312768433</v>
      </c>
    </row>
    <row r="195" spans="1:74" s="110" customFormat="1" ht="13.5" customHeight="1" x14ac:dyDescent="0.2">
      <c r="A195" s="24">
        <v>187</v>
      </c>
      <c r="B195" s="24">
        <v>280</v>
      </c>
      <c r="C195" s="25" t="s">
        <v>195</v>
      </c>
      <c r="D195" s="26">
        <v>100000</v>
      </c>
      <c r="E195" s="26">
        <f t="shared" si="998"/>
        <v>525000</v>
      </c>
      <c r="F195" s="26">
        <f t="shared" si="998"/>
        <v>550000</v>
      </c>
      <c r="G195" s="26">
        <f t="shared" si="998"/>
        <v>575000</v>
      </c>
      <c r="H195" s="26">
        <f t="shared" si="999"/>
        <v>600000</v>
      </c>
      <c r="I195" s="26">
        <f t="shared" si="999"/>
        <v>650000</v>
      </c>
      <c r="J195" s="26">
        <f t="shared" si="999"/>
        <v>700000</v>
      </c>
      <c r="K195" s="26">
        <f t="shared" si="999"/>
        <v>750000</v>
      </c>
      <c r="L195" s="26">
        <f t="shared" si="999"/>
        <v>800000</v>
      </c>
      <c r="M195" s="26">
        <f t="shared" si="999"/>
        <v>850000</v>
      </c>
      <c r="N195" s="26">
        <f t="shared" si="999"/>
        <v>900000</v>
      </c>
      <c r="O195" s="26">
        <f t="shared" si="999"/>
        <v>950000</v>
      </c>
      <c r="P195" s="26">
        <v>1000000</v>
      </c>
      <c r="Q195" s="26">
        <v>900000</v>
      </c>
      <c r="R195" s="26">
        <f>+Q195+150000</f>
        <v>1050000</v>
      </c>
      <c r="S195" s="26">
        <f t="shared" ref="S195:U195" si="1001">+R195+150000</f>
        <v>1200000</v>
      </c>
      <c r="T195" s="26">
        <f t="shared" si="1001"/>
        <v>1350000</v>
      </c>
      <c r="U195" s="26">
        <f t="shared" si="1001"/>
        <v>1500000</v>
      </c>
      <c r="V195" s="26"/>
      <c r="W195" s="26">
        <f>+V195+300000</f>
        <v>300000</v>
      </c>
      <c r="X195" s="26">
        <f t="shared" ref="X195:AA195" si="1002">+W195+300000</f>
        <v>600000</v>
      </c>
      <c r="Y195" s="26">
        <f t="shared" si="1002"/>
        <v>900000</v>
      </c>
      <c r="Z195" s="26">
        <f t="shared" si="1002"/>
        <v>1200000</v>
      </c>
      <c r="AA195" s="26">
        <f t="shared" si="1002"/>
        <v>1500000</v>
      </c>
      <c r="AB195" s="26">
        <v>1800000</v>
      </c>
      <c r="AC195" s="26">
        <v>650000</v>
      </c>
      <c r="AD195" s="26">
        <f>+AC195+125000-200000</f>
        <v>575000</v>
      </c>
      <c r="AE195" s="26">
        <f t="shared" ref="AE195:AM195" si="1003">+AD195+125000</f>
        <v>700000</v>
      </c>
      <c r="AF195" s="26">
        <f>+AE195+125000-300000</f>
        <v>525000</v>
      </c>
      <c r="AG195" s="26">
        <f>+AF195+125000-250000</f>
        <v>400000</v>
      </c>
      <c r="AH195" s="26">
        <f>+AG195+125000-500000</f>
        <v>25000</v>
      </c>
      <c r="AI195" s="26">
        <f t="shared" si="1003"/>
        <v>150000</v>
      </c>
      <c r="AJ195" s="26">
        <f t="shared" si="1003"/>
        <v>275000</v>
      </c>
      <c r="AK195" s="26">
        <f t="shared" si="1003"/>
        <v>400000</v>
      </c>
      <c r="AL195" s="26">
        <f>+AK195+125000-400000</f>
        <v>125000</v>
      </c>
      <c r="AM195" s="26">
        <f t="shared" si="1003"/>
        <v>250000</v>
      </c>
      <c r="AN195" s="26">
        <v>375000</v>
      </c>
      <c r="AO195" s="26">
        <f t="shared" si="714"/>
        <v>3275000</v>
      </c>
      <c r="AP195" s="27">
        <f t="shared" si="715"/>
        <v>7750</v>
      </c>
      <c r="AQ195" s="27">
        <f t="shared" si="716"/>
        <v>8125</v>
      </c>
      <c r="AR195" s="27">
        <f t="shared" si="717"/>
        <v>9500</v>
      </c>
      <c r="AS195" s="27">
        <f t="shared" si="718"/>
        <v>9375</v>
      </c>
      <c r="AT195" s="27">
        <f t="shared" si="719"/>
        <v>9500</v>
      </c>
      <c r="AU195" s="27">
        <f t="shared" si="720"/>
        <v>125</v>
      </c>
      <c r="AV195" s="27">
        <f t="shared" si="721"/>
        <v>2250</v>
      </c>
      <c r="AW195" s="27">
        <f t="shared" si="722"/>
        <v>4375</v>
      </c>
      <c r="AX195" s="27">
        <f t="shared" si="723"/>
        <v>6500</v>
      </c>
      <c r="AY195" s="27">
        <f t="shared" si="724"/>
        <v>6625</v>
      </c>
      <c r="AZ195" s="27">
        <f t="shared" si="725"/>
        <v>8750</v>
      </c>
      <c r="BA195" s="27">
        <f t="shared" si="726"/>
        <v>10875</v>
      </c>
      <c r="BB195" s="27">
        <v>180000</v>
      </c>
      <c r="BC195" s="26">
        <v>0</v>
      </c>
      <c r="BD195" s="27">
        <f t="shared" si="893"/>
        <v>83750</v>
      </c>
      <c r="BE195" s="28">
        <f t="shared" si="894"/>
        <v>3854.9387525284819</v>
      </c>
      <c r="BF195" s="28">
        <f t="shared" si="895"/>
        <v>3661.8899326716983</v>
      </c>
      <c r="BG195" s="28">
        <f t="shared" si="896"/>
        <v>12941.388377401865</v>
      </c>
      <c r="BH195" s="28">
        <f t="shared" si="897"/>
        <v>20615.126273268383</v>
      </c>
      <c r="BI195" s="28">
        <f t="shared" si="898"/>
        <v>16150.513846107575</v>
      </c>
      <c r="BJ195" s="28">
        <f t="shared" si="899"/>
        <v>5153.9474394547187</v>
      </c>
      <c r="BK195" s="28">
        <f t="shared" si="900"/>
        <v>5626.512226526931</v>
      </c>
      <c r="BL195" s="28">
        <f t="shared" si="901"/>
        <v>13485.365552703142</v>
      </c>
      <c r="BM195" s="28">
        <f t="shared" si="902"/>
        <v>17364.249497224402</v>
      </c>
      <c r="BN195" s="28">
        <f t="shared" si="903"/>
        <v>14999.596273276591</v>
      </c>
      <c r="BO195" s="28">
        <f t="shared" si="904"/>
        <v>13057.541106418652</v>
      </c>
      <c r="BP195" s="28">
        <f t="shared" si="905"/>
        <v>13359.904951345372</v>
      </c>
      <c r="BQ195" s="29">
        <f t="shared" si="727"/>
        <v>140270.97422892781</v>
      </c>
      <c r="BR195" s="26">
        <f t="shared" si="879"/>
        <v>39309.835312515272</v>
      </c>
      <c r="BS195" s="26">
        <f t="shared" si="709"/>
        <v>179580.80954144307</v>
      </c>
      <c r="BT195" s="26">
        <f t="shared" si="880"/>
        <v>263330.80954144307</v>
      </c>
      <c r="BU195" s="111">
        <f t="shared" ref="BU195:BU198" si="1004">AO195-100000</f>
        <v>3175000</v>
      </c>
      <c r="BV195" s="110">
        <v>131</v>
      </c>
    </row>
    <row r="196" spans="1:74" s="110" customFormat="1" ht="13.5" customHeight="1" x14ac:dyDescent="0.2">
      <c r="A196" s="24">
        <v>188</v>
      </c>
      <c r="B196" s="24">
        <v>281</v>
      </c>
      <c r="C196" s="25" t="s">
        <v>200</v>
      </c>
      <c r="D196" s="26">
        <v>100000</v>
      </c>
      <c r="E196" s="26">
        <f t="shared" ref="E196:G196" si="1005">+F196-15000</f>
        <v>185000</v>
      </c>
      <c r="F196" s="26">
        <f t="shared" si="1005"/>
        <v>200000</v>
      </c>
      <c r="G196" s="26">
        <f t="shared" si="1005"/>
        <v>215000</v>
      </c>
      <c r="H196" s="26">
        <f t="shared" ref="H196:O196" si="1006">+I196-20000</f>
        <v>230000</v>
      </c>
      <c r="I196" s="26">
        <f t="shared" si="1006"/>
        <v>250000</v>
      </c>
      <c r="J196" s="26">
        <f t="shared" si="1006"/>
        <v>270000</v>
      </c>
      <c r="K196" s="26">
        <f t="shared" si="1006"/>
        <v>290000</v>
      </c>
      <c r="L196" s="26">
        <f t="shared" si="1006"/>
        <v>310000</v>
      </c>
      <c r="M196" s="26">
        <f t="shared" si="1006"/>
        <v>330000</v>
      </c>
      <c r="N196" s="26">
        <f t="shared" si="1006"/>
        <v>350000</v>
      </c>
      <c r="O196" s="26">
        <f t="shared" si="1006"/>
        <v>370000</v>
      </c>
      <c r="P196" s="26">
        <v>390000</v>
      </c>
      <c r="Q196" s="26">
        <v>700000</v>
      </c>
      <c r="R196" s="26">
        <f>+Q196+100000</f>
        <v>800000</v>
      </c>
      <c r="S196" s="26">
        <f t="shared" ref="S196:AA198" si="1007">+R196+100000</f>
        <v>900000</v>
      </c>
      <c r="T196" s="26">
        <f t="shared" si="1007"/>
        <v>1000000</v>
      </c>
      <c r="U196" s="26">
        <f t="shared" si="1007"/>
        <v>1100000</v>
      </c>
      <c r="V196" s="26">
        <v>0</v>
      </c>
      <c r="W196" s="26">
        <f t="shared" si="1007"/>
        <v>100000</v>
      </c>
      <c r="X196" s="26">
        <f t="shared" si="1007"/>
        <v>200000</v>
      </c>
      <c r="Y196" s="26">
        <f t="shared" si="1007"/>
        <v>300000</v>
      </c>
      <c r="Z196" s="26">
        <f t="shared" si="1007"/>
        <v>400000</v>
      </c>
      <c r="AA196" s="26">
        <f t="shared" si="1007"/>
        <v>500000</v>
      </c>
      <c r="AB196" s="26">
        <v>600000</v>
      </c>
      <c r="AC196" s="26">
        <v>1200000</v>
      </c>
      <c r="AD196" s="26">
        <f>+AC196+100000</f>
        <v>1300000</v>
      </c>
      <c r="AE196" s="26">
        <f t="shared" ref="AE196:AL196" si="1008">+AD196+100000</f>
        <v>1400000</v>
      </c>
      <c r="AF196" s="26">
        <f t="shared" si="1008"/>
        <v>1500000</v>
      </c>
      <c r="AG196" s="26">
        <f t="shared" si="1008"/>
        <v>1600000</v>
      </c>
      <c r="AH196" s="26">
        <f t="shared" si="1008"/>
        <v>1700000</v>
      </c>
      <c r="AI196" s="26">
        <f t="shared" si="1008"/>
        <v>1800000</v>
      </c>
      <c r="AJ196" s="26">
        <f t="shared" si="1008"/>
        <v>1900000</v>
      </c>
      <c r="AK196" s="26">
        <f t="shared" si="1008"/>
        <v>2000000</v>
      </c>
      <c r="AL196" s="26">
        <f t="shared" si="1008"/>
        <v>2100000</v>
      </c>
      <c r="AM196" s="26">
        <f>+AL196+100000-1000000</f>
        <v>1200000</v>
      </c>
      <c r="AN196" s="26">
        <v>1300000</v>
      </c>
      <c r="AO196" s="26">
        <f t="shared" si="714"/>
        <v>2390000</v>
      </c>
      <c r="AP196" s="27">
        <f t="shared" si="715"/>
        <v>9500</v>
      </c>
      <c r="AQ196" s="27">
        <f t="shared" si="716"/>
        <v>10500</v>
      </c>
      <c r="AR196" s="27">
        <f t="shared" si="717"/>
        <v>11500</v>
      </c>
      <c r="AS196" s="27">
        <f t="shared" si="718"/>
        <v>12500</v>
      </c>
      <c r="AT196" s="27">
        <f t="shared" si="719"/>
        <v>13500</v>
      </c>
      <c r="AU196" s="27">
        <f t="shared" si="720"/>
        <v>8500</v>
      </c>
      <c r="AV196" s="27">
        <f t="shared" si="721"/>
        <v>9500</v>
      </c>
      <c r="AW196" s="27">
        <f t="shared" si="722"/>
        <v>10500</v>
      </c>
      <c r="AX196" s="27">
        <f t="shared" si="723"/>
        <v>11500</v>
      </c>
      <c r="AY196" s="27">
        <f t="shared" si="724"/>
        <v>12500</v>
      </c>
      <c r="AZ196" s="27">
        <f t="shared" si="725"/>
        <v>8500</v>
      </c>
      <c r="BA196" s="27">
        <f t="shared" si="726"/>
        <v>9500</v>
      </c>
      <c r="BB196" s="27">
        <v>0</v>
      </c>
      <c r="BC196" s="26">
        <v>0</v>
      </c>
      <c r="BD196" s="27">
        <f t="shared" si="893"/>
        <v>128000</v>
      </c>
      <c r="BE196" s="28">
        <f t="shared" si="894"/>
        <v>3872.6626088619464</v>
      </c>
      <c r="BF196" s="28">
        <f t="shared" si="895"/>
        <v>3863.0926762250883</v>
      </c>
      <c r="BG196" s="28">
        <f t="shared" si="896"/>
        <v>13142.419653167331</v>
      </c>
      <c r="BH196" s="28">
        <f t="shared" si="897"/>
        <v>22656.624214893021</v>
      </c>
      <c r="BI196" s="28">
        <f t="shared" si="898"/>
        <v>18588.327256840792</v>
      </c>
      <c r="BJ196" s="28">
        <f t="shared" si="899"/>
        <v>12931.722666268202</v>
      </c>
      <c r="BK196" s="28">
        <f t="shared" si="900"/>
        <v>9911.3176913435946</v>
      </c>
      <c r="BL196" s="28">
        <f t="shared" si="901"/>
        <v>19069.44649987881</v>
      </c>
      <c r="BM196" s="28">
        <f t="shared" si="902"/>
        <v>21068.622723298944</v>
      </c>
      <c r="BN196" s="28">
        <f t="shared" si="903"/>
        <v>19031.745809103631</v>
      </c>
      <c r="BO196" s="28">
        <f t="shared" si="904"/>
        <v>10119.594357474456</v>
      </c>
      <c r="BP196" s="28">
        <f t="shared" si="905"/>
        <v>9749.6710942642567</v>
      </c>
      <c r="BQ196" s="29">
        <f t="shared" si="727"/>
        <v>164005.24725162005</v>
      </c>
      <c r="BR196" s="26">
        <f t="shared" si="879"/>
        <v>0</v>
      </c>
      <c r="BS196" s="26">
        <f t="shared" si="709"/>
        <v>164005.24725162005</v>
      </c>
      <c r="BT196" s="26">
        <f t="shared" si="880"/>
        <v>292005.24725162005</v>
      </c>
      <c r="BU196" s="111">
        <f t="shared" si="1004"/>
        <v>2290000</v>
      </c>
      <c r="BV196" s="110">
        <v>132</v>
      </c>
    </row>
    <row r="197" spans="1:74" s="110" customFormat="1" ht="13.5" customHeight="1" x14ac:dyDescent="0.2">
      <c r="A197" s="24">
        <v>189</v>
      </c>
      <c r="B197" s="24">
        <v>282</v>
      </c>
      <c r="C197" s="25" t="s">
        <v>201</v>
      </c>
      <c r="D197" s="26">
        <v>100000</v>
      </c>
      <c r="E197" s="26">
        <f t="shared" ref="E197:G197" si="1009">+F197-15000</f>
        <v>185000</v>
      </c>
      <c r="F197" s="26">
        <f t="shared" si="1009"/>
        <v>200000</v>
      </c>
      <c r="G197" s="26">
        <f t="shared" si="1009"/>
        <v>215000</v>
      </c>
      <c r="H197" s="26">
        <f t="shared" ref="H197:O197" si="1010">+I197-20000</f>
        <v>230000</v>
      </c>
      <c r="I197" s="26">
        <f t="shared" si="1010"/>
        <v>250000</v>
      </c>
      <c r="J197" s="26">
        <f t="shared" si="1010"/>
        <v>270000</v>
      </c>
      <c r="K197" s="26">
        <f t="shared" si="1010"/>
        <v>290000</v>
      </c>
      <c r="L197" s="26">
        <f t="shared" si="1010"/>
        <v>310000</v>
      </c>
      <c r="M197" s="26">
        <f t="shared" si="1010"/>
        <v>330000</v>
      </c>
      <c r="N197" s="26">
        <f t="shared" si="1010"/>
        <v>350000</v>
      </c>
      <c r="O197" s="26">
        <f t="shared" si="1010"/>
        <v>370000</v>
      </c>
      <c r="P197" s="26">
        <v>390000</v>
      </c>
      <c r="Q197" s="26">
        <v>0</v>
      </c>
      <c r="R197" s="26">
        <f>+Q197+100000</f>
        <v>100000</v>
      </c>
      <c r="S197" s="26">
        <f t="shared" si="1007"/>
        <v>200000</v>
      </c>
      <c r="T197" s="26">
        <f t="shared" si="1007"/>
        <v>300000</v>
      </c>
      <c r="U197" s="26">
        <f t="shared" si="1007"/>
        <v>400000</v>
      </c>
      <c r="V197" s="26">
        <v>0</v>
      </c>
      <c r="W197" s="26">
        <f t="shared" si="1007"/>
        <v>100000</v>
      </c>
      <c r="X197" s="26">
        <f t="shared" ref="X197:X198" si="1011">+W197+100000</f>
        <v>200000</v>
      </c>
      <c r="Y197" s="26">
        <f t="shared" ref="Y197:Y198" si="1012">+X197+100000</f>
        <v>300000</v>
      </c>
      <c r="Z197" s="26">
        <f t="shared" ref="Z197:Z198" si="1013">+Y197+100000</f>
        <v>400000</v>
      </c>
      <c r="AA197" s="26">
        <f t="shared" ref="AA197:AA198" si="1014">+Z197+100000</f>
        <v>500000</v>
      </c>
      <c r="AB197" s="26">
        <v>600000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>
        <v>0</v>
      </c>
      <c r="AI197" s="26">
        <v>0</v>
      </c>
      <c r="AJ197" s="26">
        <v>0</v>
      </c>
      <c r="AK197" s="26">
        <v>0</v>
      </c>
      <c r="AL197" s="26">
        <v>0</v>
      </c>
      <c r="AM197" s="26">
        <v>0</v>
      </c>
      <c r="AN197" s="26">
        <v>0</v>
      </c>
      <c r="AO197" s="26">
        <f t="shared" si="714"/>
        <v>1090000</v>
      </c>
      <c r="AP197" s="27">
        <f t="shared" si="715"/>
        <v>0</v>
      </c>
      <c r="AQ197" s="27">
        <f t="shared" si="716"/>
        <v>500</v>
      </c>
      <c r="AR197" s="27">
        <f t="shared" si="717"/>
        <v>1000</v>
      </c>
      <c r="AS197" s="27">
        <f t="shared" si="718"/>
        <v>1500</v>
      </c>
      <c r="AT197" s="27">
        <f t="shared" si="719"/>
        <v>2000</v>
      </c>
      <c r="AU197" s="27">
        <f t="shared" si="720"/>
        <v>0</v>
      </c>
      <c r="AV197" s="27">
        <f t="shared" si="721"/>
        <v>500</v>
      </c>
      <c r="AW197" s="27">
        <f t="shared" si="722"/>
        <v>1000</v>
      </c>
      <c r="AX197" s="27">
        <f t="shared" si="723"/>
        <v>1500</v>
      </c>
      <c r="AY197" s="27">
        <f t="shared" si="724"/>
        <v>2000</v>
      </c>
      <c r="AZ197" s="27">
        <f t="shared" si="725"/>
        <v>2500</v>
      </c>
      <c r="BA197" s="27">
        <f t="shared" si="726"/>
        <v>3000</v>
      </c>
      <c r="BB197" s="27">
        <v>450000</v>
      </c>
      <c r="BC197" s="26">
        <v>0</v>
      </c>
      <c r="BD197" s="27">
        <f t="shared" si="893"/>
        <v>15500</v>
      </c>
      <c r="BE197" s="28">
        <f t="shared" si="894"/>
        <v>505.12990550373212</v>
      </c>
      <c r="BF197" s="28">
        <f t="shared" si="895"/>
        <v>643.84877937084809</v>
      </c>
      <c r="BG197" s="28">
        <f t="shared" si="896"/>
        <v>2588.2776754803731</v>
      </c>
      <c r="BH197" s="28">
        <f t="shared" si="897"/>
        <v>5043.7007969549832</v>
      </c>
      <c r="BI197" s="28">
        <f t="shared" si="898"/>
        <v>4570.900145124785</v>
      </c>
      <c r="BJ197" s="28">
        <f t="shared" si="899"/>
        <v>2311.4673364827222</v>
      </c>
      <c r="BK197" s="28">
        <f t="shared" si="900"/>
        <v>2120.7623007678435</v>
      </c>
      <c r="BL197" s="28">
        <f t="shared" si="901"/>
        <v>4634.4073167036149</v>
      </c>
      <c r="BM197" s="28">
        <f t="shared" si="902"/>
        <v>5633.7342813216956</v>
      </c>
      <c r="BN197" s="28">
        <f t="shared" si="903"/>
        <v>5483.7233687247754</v>
      </c>
      <c r="BO197" s="28">
        <f t="shared" si="904"/>
        <v>4523.5053118664619</v>
      </c>
      <c r="BP197" s="28">
        <f t="shared" si="905"/>
        <v>4446.5027166309792</v>
      </c>
      <c r="BQ197" s="29">
        <f t="shared" si="727"/>
        <v>42505.959934932813</v>
      </c>
      <c r="BR197" s="26">
        <f t="shared" si="879"/>
        <v>98274.588281288175</v>
      </c>
      <c r="BS197" s="26">
        <f t="shared" si="709"/>
        <v>140780.54821622098</v>
      </c>
      <c r="BT197" s="26">
        <f t="shared" si="880"/>
        <v>156280.54821622098</v>
      </c>
      <c r="BU197" s="111">
        <f t="shared" si="1004"/>
        <v>990000</v>
      </c>
      <c r="BV197" s="110">
        <v>133</v>
      </c>
    </row>
    <row r="198" spans="1:74" s="135" customFormat="1" ht="13.5" customHeight="1" x14ac:dyDescent="0.2">
      <c r="A198" s="128">
        <v>190</v>
      </c>
      <c r="B198" s="128">
        <v>283</v>
      </c>
      <c r="C198" s="129" t="s">
        <v>202</v>
      </c>
      <c r="D198" s="130">
        <v>100000</v>
      </c>
      <c r="E198" s="130">
        <f t="shared" ref="E198:G198" si="1015">+F198-15000</f>
        <v>170000</v>
      </c>
      <c r="F198" s="130">
        <f t="shared" si="1015"/>
        <v>185000</v>
      </c>
      <c r="G198" s="130">
        <f t="shared" si="1015"/>
        <v>200000</v>
      </c>
      <c r="H198" s="130">
        <f t="shared" ref="H198:O198" si="1016">+I198-20000</f>
        <v>215000</v>
      </c>
      <c r="I198" s="130">
        <f t="shared" si="1016"/>
        <v>235000</v>
      </c>
      <c r="J198" s="130">
        <f t="shared" si="1016"/>
        <v>255000</v>
      </c>
      <c r="K198" s="130">
        <f t="shared" si="1016"/>
        <v>275000</v>
      </c>
      <c r="L198" s="130">
        <f t="shared" si="1016"/>
        <v>295000</v>
      </c>
      <c r="M198" s="130">
        <f t="shared" si="1016"/>
        <v>315000</v>
      </c>
      <c r="N198" s="130">
        <f t="shared" si="1016"/>
        <v>335000</v>
      </c>
      <c r="O198" s="130">
        <f t="shared" si="1016"/>
        <v>355000</v>
      </c>
      <c r="P198" s="130">
        <v>375000</v>
      </c>
      <c r="Q198" s="130">
        <v>150000</v>
      </c>
      <c r="R198" s="130">
        <f>+Q198+50000</f>
        <v>200000</v>
      </c>
      <c r="S198" s="130">
        <f t="shared" ref="S198" si="1017">+R198+50000</f>
        <v>250000</v>
      </c>
      <c r="T198" s="130">
        <v>350000</v>
      </c>
      <c r="U198" s="130">
        <v>450000</v>
      </c>
      <c r="V198" s="130">
        <v>0</v>
      </c>
      <c r="W198" s="130">
        <f t="shared" si="1007"/>
        <v>100000</v>
      </c>
      <c r="X198" s="130">
        <f t="shared" si="1011"/>
        <v>200000</v>
      </c>
      <c r="Y198" s="130">
        <f t="shared" si="1012"/>
        <v>300000</v>
      </c>
      <c r="Z198" s="130">
        <f t="shared" si="1013"/>
        <v>400000</v>
      </c>
      <c r="AA198" s="130">
        <f t="shared" si="1014"/>
        <v>500000</v>
      </c>
      <c r="AB198" s="130">
        <v>600000</v>
      </c>
      <c r="AC198" s="130">
        <v>55000</v>
      </c>
      <c r="AD198" s="130">
        <f>+AC198+35000</f>
        <v>90000</v>
      </c>
      <c r="AE198" s="130">
        <f>+AD198+35000</f>
        <v>125000</v>
      </c>
      <c r="AF198" s="130">
        <v>125000</v>
      </c>
      <c r="AG198" s="130">
        <v>25000</v>
      </c>
      <c r="AH198" s="130">
        <f>+AG198+30000</f>
        <v>55000</v>
      </c>
      <c r="AI198" s="130">
        <f t="shared" ref="AI198:AM198" si="1018">+AH198+30000</f>
        <v>85000</v>
      </c>
      <c r="AJ198" s="130">
        <f t="shared" si="1018"/>
        <v>115000</v>
      </c>
      <c r="AK198" s="130">
        <v>45000</v>
      </c>
      <c r="AL198" s="130">
        <v>0</v>
      </c>
      <c r="AM198" s="130">
        <f t="shared" si="1018"/>
        <v>30000</v>
      </c>
      <c r="AN198" s="130">
        <v>60000</v>
      </c>
      <c r="AO198" s="130">
        <f t="shared" si="714"/>
        <v>1135000</v>
      </c>
      <c r="AP198" s="131">
        <f t="shared" si="715"/>
        <v>1025</v>
      </c>
      <c r="AQ198" s="131">
        <f t="shared" si="716"/>
        <v>1450</v>
      </c>
      <c r="AR198" s="131">
        <f t="shared" si="717"/>
        <v>1875</v>
      </c>
      <c r="AS198" s="131">
        <f t="shared" si="718"/>
        <v>2375</v>
      </c>
      <c r="AT198" s="131">
        <f t="shared" si="719"/>
        <v>2375</v>
      </c>
      <c r="AU198" s="131">
        <f t="shared" si="720"/>
        <v>275</v>
      </c>
      <c r="AV198" s="131">
        <f t="shared" si="721"/>
        <v>925</v>
      </c>
      <c r="AW198" s="131">
        <f t="shared" si="722"/>
        <v>1575</v>
      </c>
      <c r="AX198" s="131">
        <f t="shared" si="723"/>
        <v>1725</v>
      </c>
      <c r="AY198" s="131">
        <f t="shared" si="724"/>
        <v>2000</v>
      </c>
      <c r="AZ198" s="131">
        <f t="shared" si="725"/>
        <v>2650</v>
      </c>
      <c r="BA198" s="131">
        <f t="shared" si="726"/>
        <v>3300</v>
      </c>
      <c r="BB198" s="131">
        <v>600000</v>
      </c>
      <c r="BC198" s="130">
        <v>1664000</v>
      </c>
      <c r="BD198" s="131">
        <f t="shared" si="893"/>
        <v>21550</v>
      </c>
      <c r="BE198" s="132">
        <f t="shared" si="894"/>
        <v>841.88317583955359</v>
      </c>
      <c r="BF198" s="132">
        <f t="shared" si="895"/>
        <v>925.53262034559407</v>
      </c>
      <c r="BG198" s="132">
        <f t="shared" si="896"/>
        <v>3392.4027785422363</v>
      </c>
      <c r="BH198" s="132">
        <f t="shared" si="897"/>
        <v>6324.6406818959313</v>
      </c>
      <c r="BI198" s="132">
        <f t="shared" si="898"/>
        <v>4936.5721567347682</v>
      </c>
      <c r="BJ198" s="132">
        <f t="shared" si="899"/>
        <v>2561.3556971835574</v>
      </c>
      <c r="BK198" s="132">
        <f t="shared" si="900"/>
        <v>2423.7283437346782</v>
      </c>
      <c r="BL198" s="132">
        <f t="shared" si="901"/>
        <v>5394.146221081257</v>
      </c>
      <c r="BM198" s="132">
        <f t="shared" si="902"/>
        <v>5865.2576079513537</v>
      </c>
      <c r="BN198" s="132">
        <f t="shared" si="903"/>
        <v>5386.9517798649258</v>
      </c>
      <c r="BO198" s="132">
        <f t="shared" si="904"/>
        <v>4593.4564249365612</v>
      </c>
      <c r="BP198" s="132">
        <f t="shared" si="905"/>
        <v>4630.0739297029004</v>
      </c>
      <c r="BQ198" s="133">
        <f t="shared" si="727"/>
        <v>47276.001417813321</v>
      </c>
      <c r="BR198" s="130">
        <f t="shared" si="879"/>
        <v>131032.78437505091</v>
      </c>
      <c r="BS198" s="130">
        <f t="shared" si="709"/>
        <v>178308.78579286422</v>
      </c>
      <c r="BT198" s="130">
        <f t="shared" si="880"/>
        <v>199858.78579286422</v>
      </c>
      <c r="BU198" s="134">
        <f t="shared" si="1004"/>
        <v>1035000</v>
      </c>
      <c r="BV198" s="135">
        <v>134</v>
      </c>
    </row>
    <row r="199" spans="1:74" ht="13.5" customHeight="1" x14ac:dyDescent="0.2">
      <c r="A199" s="15">
        <v>191</v>
      </c>
      <c r="B199" s="15">
        <v>284</v>
      </c>
      <c r="C199" s="14" t="s">
        <v>203</v>
      </c>
      <c r="D199" s="8">
        <v>100000</v>
      </c>
      <c r="E199" s="8">
        <f t="shared" ref="E199:G199" si="1019">+F199-15000</f>
        <v>155000</v>
      </c>
      <c r="F199" s="8">
        <f t="shared" si="1019"/>
        <v>170000</v>
      </c>
      <c r="G199" s="8">
        <f t="shared" si="1019"/>
        <v>185000</v>
      </c>
      <c r="H199" s="8">
        <f t="shared" ref="H199:O199" si="1020">+I199-20000</f>
        <v>200000</v>
      </c>
      <c r="I199" s="8">
        <f t="shared" si="1020"/>
        <v>220000</v>
      </c>
      <c r="J199" s="8">
        <f t="shared" si="1020"/>
        <v>240000</v>
      </c>
      <c r="K199" s="8">
        <f t="shared" si="1020"/>
        <v>260000</v>
      </c>
      <c r="L199" s="8">
        <f t="shared" si="1020"/>
        <v>280000</v>
      </c>
      <c r="M199" s="8">
        <f t="shared" si="1020"/>
        <v>300000</v>
      </c>
      <c r="N199" s="8">
        <f t="shared" si="1020"/>
        <v>320000</v>
      </c>
      <c r="O199" s="8">
        <f t="shared" si="1020"/>
        <v>340000</v>
      </c>
      <c r="P199" s="8">
        <v>360000</v>
      </c>
      <c r="Q199" s="8">
        <v>300000</v>
      </c>
      <c r="R199" s="8">
        <f>+Q199+50000</f>
        <v>350000</v>
      </c>
      <c r="S199" s="8">
        <f t="shared" ref="S199:AA199" si="1021">+R199+50000</f>
        <v>400000</v>
      </c>
      <c r="T199" s="8">
        <f t="shared" si="1021"/>
        <v>450000</v>
      </c>
      <c r="U199" s="8">
        <f t="shared" si="1021"/>
        <v>500000</v>
      </c>
      <c r="V199" s="8">
        <v>0</v>
      </c>
      <c r="W199" s="8">
        <f t="shared" si="1021"/>
        <v>50000</v>
      </c>
      <c r="X199" s="8">
        <f t="shared" si="1021"/>
        <v>100000</v>
      </c>
      <c r="Y199" s="8">
        <f t="shared" si="1021"/>
        <v>150000</v>
      </c>
      <c r="Z199" s="8">
        <f t="shared" si="1021"/>
        <v>200000</v>
      </c>
      <c r="AA199" s="8">
        <f t="shared" si="1021"/>
        <v>250000</v>
      </c>
      <c r="AB199" s="8">
        <v>300000</v>
      </c>
      <c r="AC199" s="8">
        <v>550000</v>
      </c>
      <c r="AD199" s="8">
        <f>+AC199+50000</f>
        <v>600000</v>
      </c>
      <c r="AE199" s="8">
        <f t="shared" ref="AE199:AM199" si="1022">+AD199+50000</f>
        <v>650000</v>
      </c>
      <c r="AF199" s="8">
        <f t="shared" si="1022"/>
        <v>700000</v>
      </c>
      <c r="AG199" s="8">
        <f t="shared" si="1022"/>
        <v>750000</v>
      </c>
      <c r="AH199" s="8">
        <f t="shared" si="1022"/>
        <v>800000</v>
      </c>
      <c r="AI199" s="8">
        <f t="shared" si="1022"/>
        <v>850000</v>
      </c>
      <c r="AJ199" s="8">
        <f t="shared" si="1022"/>
        <v>900000</v>
      </c>
      <c r="AK199" s="8">
        <f t="shared" si="1022"/>
        <v>950000</v>
      </c>
      <c r="AL199" s="8">
        <f t="shared" si="1022"/>
        <v>1000000</v>
      </c>
      <c r="AM199" s="8">
        <f t="shared" si="1022"/>
        <v>1050000</v>
      </c>
      <c r="AN199" s="8">
        <v>1100000</v>
      </c>
      <c r="AO199" s="8">
        <f t="shared" si="714"/>
        <v>1860000</v>
      </c>
      <c r="AP199" s="16">
        <f t="shared" si="715"/>
        <v>4250</v>
      </c>
      <c r="AQ199" s="16">
        <f t="shared" si="716"/>
        <v>4750</v>
      </c>
      <c r="AR199" s="16">
        <f t="shared" si="717"/>
        <v>5250</v>
      </c>
      <c r="AS199" s="16">
        <f t="shared" si="718"/>
        <v>5750</v>
      </c>
      <c r="AT199" s="16">
        <f t="shared" si="719"/>
        <v>6250</v>
      </c>
      <c r="AU199" s="16">
        <f t="shared" si="720"/>
        <v>4000</v>
      </c>
      <c r="AV199" s="16">
        <f t="shared" si="721"/>
        <v>4500</v>
      </c>
      <c r="AW199" s="16">
        <f t="shared" si="722"/>
        <v>5000</v>
      </c>
      <c r="AX199" s="16">
        <f t="shared" si="723"/>
        <v>5500</v>
      </c>
      <c r="AY199" s="16">
        <f t="shared" si="724"/>
        <v>6000</v>
      </c>
      <c r="AZ199" s="16">
        <f t="shared" si="725"/>
        <v>6500</v>
      </c>
      <c r="BA199" s="16">
        <f t="shared" si="726"/>
        <v>7000</v>
      </c>
      <c r="BB199" s="16">
        <v>600000</v>
      </c>
      <c r="BC199" s="8">
        <v>0</v>
      </c>
      <c r="BD199" s="16">
        <f t="shared" si="893"/>
        <v>64750</v>
      </c>
      <c r="BE199" s="23">
        <f t="shared" si="894"/>
        <v>1958.4861248478035</v>
      </c>
      <c r="BF199" s="23">
        <f t="shared" si="895"/>
        <v>1963.7387770810865</v>
      </c>
      <c r="BG199" s="23">
        <f t="shared" si="896"/>
        <v>6709.4188286724229</v>
      </c>
      <c r="BH199" s="23">
        <f t="shared" si="897"/>
        <v>11608.517707277342</v>
      </c>
      <c r="BI199" s="23">
        <f t="shared" si="898"/>
        <v>9568.4176371278827</v>
      </c>
      <c r="BJ199" s="23">
        <f t="shared" si="899"/>
        <v>7121.8182799737933</v>
      </c>
      <c r="BK199" s="23">
        <f t="shared" si="900"/>
        <v>5453.3887734030259</v>
      </c>
      <c r="BL199" s="23">
        <f t="shared" si="901"/>
        <v>10484.396880411456</v>
      </c>
      <c r="BM199" s="23">
        <f t="shared" si="902"/>
        <v>11576.166331482935</v>
      </c>
      <c r="BN199" s="23">
        <f t="shared" si="903"/>
        <v>10451.331596863689</v>
      </c>
      <c r="BO199" s="23">
        <f t="shared" si="904"/>
        <v>8114.329116131591</v>
      </c>
      <c r="BP199" s="23">
        <f t="shared" si="905"/>
        <v>7587.6101403060738</v>
      </c>
      <c r="BQ199" s="22">
        <f t="shared" si="727"/>
        <v>92597.620193579103</v>
      </c>
      <c r="BR199" s="8">
        <f t="shared" si="879"/>
        <v>131032.78437505091</v>
      </c>
      <c r="BS199" s="8">
        <f t="shared" si="709"/>
        <v>223630.40456863001</v>
      </c>
      <c r="BT199" s="8">
        <f t="shared" si="880"/>
        <v>288380.40456863004</v>
      </c>
    </row>
    <row r="200" spans="1:74" ht="13.5" customHeight="1" x14ac:dyDescent="0.2">
      <c r="A200" s="15">
        <v>192</v>
      </c>
      <c r="B200" s="15">
        <v>285</v>
      </c>
      <c r="C200" s="14" t="s">
        <v>204</v>
      </c>
      <c r="D200" s="8">
        <v>100000</v>
      </c>
      <c r="E200" s="8">
        <f t="shared" ref="E200:G200" si="1023">+F200-25000</f>
        <v>275000</v>
      </c>
      <c r="F200" s="8">
        <f t="shared" si="1023"/>
        <v>300000</v>
      </c>
      <c r="G200" s="8">
        <f t="shared" si="1023"/>
        <v>325000</v>
      </c>
      <c r="H200" s="8">
        <f t="shared" ref="H200:O200" si="1024">+I200-50000</f>
        <v>350000</v>
      </c>
      <c r="I200" s="8">
        <f t="shared" si="1024"/>
        <v>400000</v>
      </c>
      <c r="J200" s="8">
        <f t="shared" si="1024"/>
        <v>450000</v>
      </c>
      <c r="K200" s="8">
        <f t="shared" si="1024"/>
        <v>500000</v>
      </c>
      <c r="L200" s="8">
        <f t="shared" si="1024"/>
        <v>550000</v>
      </c>
      <c r="M200" s="8">
        <f t="shared" si="1024"/>
        <v>600000</v>
      </c>
      <c r="N200" s="8">
        <f t="shared" si="1024"/>
        <v>650000</v>
      </c>
      <c r="O200" s="8">
        <f t="shared" si="1024"/>
        <v>700000</v>
      </c>
      <c r="P200" s="8">
        <v>750000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>
        <v>0</v>
      </c>
      <c r="AC200" s="8">
        <v>175000</v>
      </c>
      <c r="AD200" s="8">
        <v>175000</v>
      </c>
      <c r="AE200" s="8">
        <v>175000</v>
      </c>
      <c r="AF200" s="8">
        <v>175000</v>
      </c>
      <c r="AG200" s="8">
        <v>175000</v>
      </c>
      <c r="AH200" s="8">
        <v>175000</v>
      </c>
      <c r="AI200" s="8">
        <v>175000</v>
      </c>
      <c r="AJ200" s="8">
        <v>175000</v>
      </c>
      <c r="AK200" s="8">
        <v>175000</v>
      </c>
      <c r="AL200" s="8">
        <v>175000</v>
      </c>
      <c r="AM200" s="8">
        <v>175000</v>
      </c>
      <c r="AN200" s="8">
        <v>175000</v>
      </c>
      <c r="AO200" s="8">
        <f t="shared" si="714"/>
        <v>1025000</v>
      </c>
      <c r="AP200" s="16">
        <f t="shared" si="715"/>
        <v>875</v>
      </c>
      <c r="AQ200" s="16">
        <f t="shared" si="716"/>
        <v>875</v>
      </c>
      <c r="AR200" s="16">
        <f t="shared" si="717"/>
        <v>875</v>
      </c>
      <c r="AS200" s="16">
        <f t="shared" si="718"/>
        <v>875</v>
      </c>
      <c r="AT200" s="16">
        <f t="shared" si="719"/>
        <v>875</v>
      </c>
      <c r="AU200" s="16">
        <f t="shared" si="720"/>
        <v>875</v>
      </c>
      <c r="AV200" s="16">
        <f t="shared" si="721"/>
        <v>875</v>
      </c>
      <c r="AW200" s="16">
        <f t="shared" si="722"/>
        <v>875</v>
      </c>
      <c r="AX200" s="16">
        <f t="shared" si="723"/>
        <v>875</v>
      </c>
      <c r="AY200" s="16">
        <f t="shared" si="724"/>
        <v>875</v>
      </c>
      <c r="AZ200" s="16">
        <f t="shared" si="725"/>
        <v>875</v>
      </c>
      <c r="BA200" s="16">
        <f t="shared" si="726"/>
        <v>875</v>
      </c>
      <c r="BB200" s="16">
        <v>0</v>
      </c>
      <c r="BC200" s="8">
        <v>0</v>
      </c>
      <c r="BD200" s="16">
        <f t="shared" si="893"/>
        <v>10500</v>
      </c>
      <c r="BE200" s="23">
        <f t="shared" si="894"/>
        <v>974.81209834053573</v>
      </c>
      <c r="BF200" s="23">
        <f t="shared" si="895"/>
        <v>925.53262034559407</v>
      </c>
      <c r="BG200" s="23">
        <f t="shared" si="896"/>
        <v>3015.4691364819878</v>
      </c>
      <c r="BH200" s="23">
        <f t="shared" si="897"/>
        <v>5003.6714255505785</v>
      </c>
      <c r="BI200" s="23">
        <f t="shared" si="898"/>
        <v>4113.8101306123062</v>
      </c>
      <c r="BJ200" s="23">
        <f t="shared" si="899"/>
        <v>4529.2265377026315</v>
      </c>
      <c r="BK200" s="23">
        <f t="shared" si="900"/>
        <v>3354.2669042756706</v>
      </c>
      <c r="BL200" s="23">
        <f t="shared" si="901"/>
        <v>6267.8459611155449</v>
      </c>
      <c r="BM200" s="23">
        <f t="shared" si="902"/>
        <v>6752.7636933650456</v>
      </c>
      <c r="BN200" s="23">
        <f t="shared" si="903"/>
        <v>5967.5813130240203</v>
      </c>
      <c r="BO200" s="23">
        <f t="shared" si="904"/>
        <v>4546.8223495564953</v>
      </c>
      <c r="BP200" s="23">
        <f t="shared" si="905"/>
        <v>4181.344297749315</v>
      </c>
      <c r="BQ200" s="22">
        <f t="shared" si="727"/>
        <v>49633.146468119732</v>
      </c>
      <c r="BR200" s="8">
        <f t="shared" si="879"/>
        <v>0</v>
      </c>
      <c r="BS200" s="8">
        <f t="shared" si="709"/>
        <v>49633.146468119732</v>
      </c>
      <c r="BT200" s="8">
        <f t="shared" ref="BT200:BT204" si="1025">+BS200+BD200</f>
        <v>60133.146468119732</v>
      </c>
    </row>
    <row r="201" spans="1:74" s="110" customFormat="1" ht="13.5" customHeight="1" x14ac:dyDescent="0.2">
      <c r="A201" s="24">
        <v>193</v>
      </c>
      <c r="B201" s="24">
        <v>286</v>
      </c>
      <c r="C201" s="25" t="s">
        <v>205</v>
      </c>
      <c r="D201" s="26">
        <v>100000</v>
      </c>
      <c r="E201" s="26">
        <f t="shared" ref="E201:F202" si="1026">+F201-15000</f>
        <v>140000</v>
      </c>
      <c r="F201" s="26">
        <f t="shared" si="1026"/>
        <v>155000</v>
      </c>
      <c r="G201" s="26">
        <f>+H201-15000</f>
        <v>170000</v>
      </c>
      <c r="H201" s="26">
        <f t="shared" ref="H201:N202" si="1027">+I201-20000</f>
        <v>185000</v>
      </c>
      <c r="I201" s="26">
        <f t="shared" si="1027"/>
        <v>205000</v>
      </c>
      <c r="J201" s="26">
        <f t="shared" si="1027"/>
        <v>225000</v>
      </c>
      <c r="K201" s="26">
        <f t="shared" si="1027"/>
        <v>245000</v>
      </c>
      <c r="L201" s="26">
        <f t="shared" si="1027"/>
        <v>265000</v>
      </c>
      <c r="M201" s="26">
        <f t="shared" si="1027"/>
        <v>285000</v>
      </c>
      <c r="N201" s="26">
        <f t="shared" si="1027"/>
        <v>305000</v>
      </c>
      <c r="O201" s="26">
        <f>+P201-20000</f>
        <v>325000</v>
      </c>
      <c r="P201" s="26">
        <v>345000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f t="shared" ref="W201:W202" si="1028">+V201+100000</f>
        <v>100000</v>
      </c>
      <c r="X201" s="26">
        <f t="shared" ref="X201:X202" si="1029">+W201+100000</f>
        <v>200000</v>
      </c>
      <c r="Y201" s="26">
        <f t="shared" ref="Y201:Y202" si="1030">+X201+100000</f>
        <v>300000</v>
      </c>
      <c r="Z201" s="26">
        <f t="shared" ref="Z201:Z202" si="1031">+Y201+100000</f>
        <v>400000</v>
      </c>
      <c r="AA201" s="26">
        <f t="shared" ref="AA201:AA202" si="1032">+Z201+100000</f>
        <v>500000</v>
      </c>
      <c r="AB201" s="26">
        <v>600000</v>
      </c>
      <c r="AC201" s="26">
        <v>50000</v>
      </c>
      <c r="AD201" s="26">
        <v>50000</v>
      </c>
      <c r="AE201" s="26">
        <v>50000</v>
      </c>
      <c r="AF201" s="26">
        <v>50000</v>
      </c>
      <c r="AG201" s="26">
        <v>50000</v>
      </c>
      <c r="AH201" s="26">
        <v>50000</v>
      </c>
      <c r="AI201" s="26">
        <v>50000</v>
      </c>
      <c r="AJ201" s="26">
        <v>50000</v>
      </c>
      <c r="AK201" s="26">
        <v>50000</v>
      </c>
      <c r="AL201" s="26">
        <v>50000</v>
      </c>
      <c r="AM201" s="26">
        <v>50000</v>
      </c>
      <c r="AN201" s="26">
        <v>50000</v>
      </c>
      <c r="AO201" s="26">
        <f t="shared" si="714"/>
        <v>1095000</v>
      </c>
      <c r="AP201" s="27">
        <f t="shared" si="715"/>
        <v>250</v>
      </c>
      <c r="AQ201" s="27">
        <f t="shared" si="716"/>
        <v>250</v>
      </c>
      <c r="AR201" s="27">
        <f t="shared" si="717"/>
        <v>250</v>
      </c>
      <c r="AS201" s="27">
        <f t="shared" si="718"/>
        <v>250</v>
      </c>
      <c r="AT201" s="27">
        <f t="shared" si="719"/>
        <v>250</v>
      </c>
      <c r="AU201" s="27">
        <f t="shared" si="720"/>
        <v>250</v>
      </c>
      <c r="AV201" s="27">
        <f t="shared" si="721"/>
        <v>750</v>
      </c>
      <c r="AW201" s="27">
        <f t="shared" si="722"/>
        <v>1250</v>
      </c>
      <c r="AX201" s="27">
        <f t="shared" si="723"/>
        <v>1750</v>
      </c>
      <c r="AY201" s="27">
        <f t="shared" si="724"/>
        <v>2250</v>
      </c>
      <c r="AZ201" s="27">
        <f t="shared" si="725"/>
        <v>2750</v>
      </c>
      <c r="BA201" s="27">
        <f t="shared" si="726"/>
        <v>3250</v>
      </c>
      <c r="BB201" s="27">
        <v>225000</v>
      </c>
      <c r="BC201" s="26">
        <v>3500000</v>
      </c>
      <c r="BD201" s="27">
        <f t="shared" si="893"/>
        <v>13500</v>
      </c>
      <c r="BE201" s="28">
        <f t="shared" si="894"/>
        <v>513.9918336704643</v>
      </c>
      <c r="BF201" s="28">
        <f t="shared" si="895"/>
        <v>490.93469427027162</v>
      </c>
      <c r="BG201" s="28">
        <f t="shared" si="896"/>
        <v>1608.2502061237269</v>
      </c>
      <c r="BH201" s="28">
        <f t="shared" si="897"/>
        <v>2681.9678840951101</v>
      </c>
      <c r="BI201" s="28">
        <f t="shared" si="898"/>
        <v>2163.5594020257317</v>
      </c>
      <c r="BJ201" s="28">
        <f t="shared" si="899"/>
        <v>2342.7033815703267</v>
      </c>
      <c r="BK201" s="28">
        <f t="shared" si="900"/>
        <v>2142.4027324083313</v>
      </c>
      <c r="BL201" s="28">
        <f t="shared" si="901"/>
        <v>4672.3942619224972</v>
      </c>
      <c r="BM201" s="28">
        <f t="shared" si="902"/>
        <v>5672.3215024266383</v>
      </c>
      <c r="BN201" s="28">
        <f t="shared" si="903"/>
        <v>5515.9805650113913</v>
      </c>
      <c r="BO201" s="28">
        <f t="shared" si="904"/>
        <v>4546.8223495564953</v>
      </c>
      <c r="BP201" s="28">
        <f t="shared" si="905"/>
        <v>4466.8995180834145</v>
      </c>
      <c r="BQ201" s="29">
        <f t="shared" si="727"/>
        <v>36818.228331164406</v>
      </c>
      <c r="BR201" s="26">
        <f t="shared" si="879"/>
        <v>49137.294140644088</v>
      </c>
      <c r="BS201" s="26">
        <f t="shared" ref="BS201:BS204" si="1033">+BQ201+BR201</f>
        <v>85955.522471808494</v>
      </c>
      <c r="BT201" s="26">
        <f t="shared" si="1025"/>
        <v>99455.522471808494</v>
      </c>
      <c r="BU201" s="111">
        <f t="shared" ref="BU201:BU202" si="1034">AO201-100000</f>
        <v>995000</v>
      </c>
      <c r="BV201" s="110">
        <v>135</v>
      </c>
    </row>
    <row r="202" spans="1:74" s="110" customFormat="1" ht="13.5" customHeight="1" x14ac:dyDescent="0.2">
      <c r="A202" s="24">
        <v>194</v>
      </c>
      <c r="B202" s="24">
        <v>287</v>
      </c>
      <c r="C202" s="25" t="s">
        <v>206</v>
      </c>
      <c r="D202" s="26">
        <v>100000</v>
      </c>
      <c r="E202" s="26">
        <f t="shared" si="1026"/>
        <v>65000</v>
      </c>
      <c r="F202" s="26">
        <f t="shared" si="1026"/>
        <v>80000</v>
      </c>
      <c r="G202" s="26">
        <f>+H202-15000</f>
        <v>95000</v>
      </c>
      <c r="H202" s="26">
        <f t="shared" si="1027"/>
        <v>110000</v>
      </c>
      <c r="I202" s="26">
        <f t="shared" si="1027"/>
        <v>130000</v>
      </c>
      <c r="J202" s="26">
        <f t="shared" si="1027"/>
        <v>150000</v>
      </c>
      <c r="K202" s="26">
        <f t="shared" si="1027"/>
        <v>170000</v>
      </c>
      <c r="L202" s="26">
        <f t="shared" si="1027"/>
        <v>190000</v>
      </c>
      <c r="M202" s="26">
        <f t="shared" si="1027"/>
        <v>210000</v>
      </c>
      <c r="N202" s="26">
        <f t="shared" si="1027"/>
        <v>230000</v>
      </c>
      <c r="O202" s="26">
        <f>+P202-20000</f>
        <v>250000</v>
      </c>
      <c r="P202" s="26">
        <v>270000</v>
      </c>
      <c r="Q202" s="26">
        <v>300000</v>
      </c>
      <c r="R202" s="26">
        <f>+Q202+100000</f>
        <v>400000</v>
      </c>
      <c r="S202" s="26">
        <f t="shared" ref="S202:U202" si="1035">+R202+100000</f>
        <v>500000</v>
      </c>
      <c r="T202" s="26">
        <f t="shared" si="1035"/>
        <v>600000</v>
      </c>
      <c r="U202" s="26">
        <f t="shared" si="1035"/>
        <v>700000</v>
      </c>
      <c r="V202" s="26">
        <v>0</v>
      </c>
      <c r="W202" s="26">
        <f t="shared" si="1028"/>
        <v>100000</v>
      </c>
      <c r="X202" s="26">
        <f t="shared" si="1029"/>
        <v>200000</v>
      </c>
      <c r="Y202" s="26">
        <f t="shared" si="1030"/>
        <v>300000</v>
      </c>
      <c r="Z202" s="26">
        <f t="shared" si="1031"/>
        <v>400000</v>
      </c>
      <c r="AA202" s="26">
        <f t="shared" si="1032"/>
        <v>500000</v>
      </c>
      <c r="AB202" s="26">
        <v>600000</v>
      </c>
      <c r="AC202" s="26">
        <v>100000</v>
      </c>
      <c r="AD202" s="26">
        <f>+AC202+100000</f>
        <v>200000</v>
      </c>
      <c r="AE202" s="26">
        <f t="shared" ref="AE202:AJ202" si="1036">+AD202+100000</f>
        <v>300000</v>
      </c>
      <c r="AF202" s="26">
        <v>200000</v>
      </c>
      <c r="AG202" s="26">
        <f t="shared" si="1036"/>
        <v>300000</v>
      </c>
      <c r="AH202" s="26">
        <v>100000</v>
      </c>
      <c r="AI202" s="26">
        <v>0</v>
      </c>
      <c r="AJ202" s="26">
        <f t="shared" si="1036"/>
        <v>100000</v>
      </c>
      <c r="AK202" s="26">
        <v>2500000</v>
      </c>
      <c r="AL202" s="26">
        <v>2100000</v>
      </c>
      <c r="AM202" s="26">
        <v>1700000</v>
      </c>
      <c r="AN202" s="26">
        <v>1800000</v>
      </c>
      <c r="AO202" s="26">
        <f t="shared" ref="AO202:AO204" si="1037">+AN202+AB202+P202+D202</f>
        <v>2770000</v>
      </c>
      <c r="AP202" s="27">
        <f t="shared" ref="AP202:AP204" si="1038">0.5%*(Q202+AC202)</f>
        <v>2000</v>
      </c>
      <c r="AQ202" s="27">
        <f t="shared" ref="AQ202:AQ204" si="1039">0.5%*(R202+AD202)</f>
        <v>3000</v>
      </c>
      <c r="AR202" s="27">
        <f t="shared" ref="AR202:AR204" si="1040">0.5%*(S202+AE202)</f>
        <v>4000</v>
      </c>
      <c r="AS202" s="27">
        <f t="shared" ref="AS202:AS204" si="1041">0.5%*(T202+AF202)</f>
        <v>4000</v>
      </c>
      <c r="AT202" s="27">
        <f t="shared" ref="AT202:AT204" si="1042">0.5%*(U202+AG202)</f>
        <v>5000</v>
      </c>
      <c r="AU202" s="27">
        <f t="shared" ref="AU202:AU204" si="1043">0.5%*(V202+AH202)</f>
        <v>500</v>
      </c>
      <c r="AV202" s="27">
        <f t="shared" ref="AV202:AV204" si="1044">0.5%*(W202+AI202)</f>
        <v>500</v>
      </c>
      <c r="AW202" s="27">
        <f t="shared" ref="AW202:AW204" si="1045">0.5%*(X202+AJ202)</f>
        <v>1500</v>
      </c>
      <c r="AX202" s="27">
        <f t="shared" ref="AX202:AX204" si="1046">0.5%*(Y202+AK202)</f>
        <v>14000</v>
      </c>
      <c r="AY202" s="27">
        <f t="shared" ref="AY202:AY204" si="1047">0.5%*(Z202+AL202)</f>
        <v>12500</v>
      </c>
      <c r="AZ202" s="27">
        <f t="shared" ref="AZ202:AZ204" si="1048">0.5%*(AA202+AM202)</f>
        <v>11000</v>
      </c>
      <c r="BA202" s="27">
        <f t="shared" ref="BA202:BA204" si="1049">0.5%*(AB202+AN202)</f>
        <v>12000</v>
      </c>
      <c r="BB202" s="27">
        <v>225000</v>
      </c>
      <c r="BC202" s="26">
        <v>4250000</v>
      </c>
      <c r="BD202" s="27">
        <f t="shared" si="893"/>
        <v>70000</v>
      </c>
      <c r="BE202" s="28">
        <f t="shared" si="894"/>
        <v>1001.3978828407321</v>
      </c>
      <c r="BF202" s="28">
        <f t="shared" si="895"/>
        <v>1255.5051197731536</v>
      </c>
      <c r="BG202" s="28">
        <f t="shared" si="896"/>
        <v>5000.6529846659632</v>
      </c>
      <c r="BH202" s="28">
        <f t="shared" si="897"/>
        <v>8085.9330236897349</v>
      </c>
      <c r="BI202" s="28">
        <f t="shared" si="898"/>
        <v>7496.2762380046479</v>
      </c>
      <c r="BJ202" s="28">
        <f t="shared" si="899"/>
        <v>2186.5231561323048</v>
      </c>
      <c r="BK202" s="28">
        <f t="shared" si="900"/>
        <v>1601.3919413961266</v>
      </c>
      <c r="BL202" s="28">
        <f t="shared" si="901"/>
        <v>4482.4595358280867</v>
      </c>
      <c r="BM202" s="28">
        <f t="shared" si="902"/>
        <v>24001.25152727462</v>
      </c>
      <c r="BN202" s="28">
        <f t="shared" si="903"/>
        <v>18257.573098224839</v>
      </c>
      <c r="BO202" s="28">
        <f t="shared" si="904"/>
        <v>11891.689221916986</v>
      </c>
      <c r="BP202" s="28">
        <f t="shared" si="905"/>
        <v>11299.828004649369</v>
      </c>
      <c r="BQ202" s="29">
        <f t="shared" ref="BQ202:BQ204" si="1050">SUM(BE202:BP202)</f>
        <v>96560.48173439657</v>
      </c>
      <c r="BR202" s="26">
        <f t="shared" si="879"/>
        <v>49137.294140644088</v>
      </c>
      <c r="BS202" s="26">
        <f t="shared" si="1033"/>
        <v>145697.77587504065</v>
      </c>
      <c r="BT202" s="26">
        <f t="shared" si="1025"/>
        <v>215697.77587504065</v>
      </c>
      <c r="BU202" s="111">
        <f t="shared" si="1034"/>
        <v>2670000</v>
      </c>
      <c r="BV202" s="110">
        <v>136</v>
      </c>
    </row>
    <row r="203" spans="1:74" ht="13.5" customHeight="1" x14ac:dyDescent="0.2">
      <c r="A203" s="15">
        <v>195</v>
      </c>
      <c r="B203" s="15">
        <v>288</v>
      </c>
      <c r="C203" s="14" t="s">
        <v>198</v>
      </c>
      <c r="D203" s="8">
        <v>100000</v>
      </c>
      <c r="E203" s="8"/>
      <c r="F203" s="8"/>
      <c r="G203" s="8"/>
      <c r="H203" s="8"/>
      <c r="I203" s="8"/>
      <c r="J203" s="8"/>
      <c r="K203" s="8">
        <f t="shared" ref="K203:O204" si="1051">+L203-50000</f>
        <v>0</v>
      </c>
      <c r="L203" s="8">
        <f t="shared" si="1051"/>
        <v>50000</v>
      </c>
      <c r="M203" s="8">
        <f t="shared" si="1051"/>
        <v>100000</v>
      </c>
      <c r="N203" s="8">
        <f t="shared" si="1051"/>
        <v>150000</v>
      </c>
      <c r="O203" s="8">
        <f t="shared" si="1051"/>
        <v>200000</v>
      </c>
      <c r="P203" s="8">
        <v>250000</v>
      </c>
      <c r="Q203" s="8"/>
      <c r="R203" s="8"/>
      <c r="S203" s="8"/>
      <c r="T203" s="8"/>
      <c r="U203" s="8"/>
      <c r="V203" s="8"/>
      <c r="W203" s="8"/>
      <c r="X203" s="8">
        <f>150000+W203</f>
        <v>150000</v>
      </c>
      <c r="Y203" s="8">
        <f t="shared" ref="Y203:AA203" si="1052">150000+X203</f>
        <v>300000</v>
      </c>
      <c r="Z203" s="8">
        <f t="shared" si="1052"/>
        <v>450000</v>
      </c>
      <c r="AA203" s="8">
        <f t="shared" si="1052"/>
        <v>600000</v>
      </c>
      <c r="AB203" s="8">
        <v>750000</v>
      </c>
      <c r="AC203" s="8"/>
      <c r="AD203" s="8"/>
      <c r="AE203" s="8"/>
      <c r="AF203" s="8"/>
      <c r="AG203" s="8"/>
      <c r="AH203" s="8"/>
      <c r="AI203" s="8"/>
      <c r="AJ203" s="8">
        <v>200000</v>
      </c>
      <c r="AK203" s="8">
        <f>+AJ203+300000</f>
        <v>500000</v>
      </c>
      <c r="AL203" s="8">
        <f>+AK203+300000-200000</f>
        <v>600000</v>
      </c>
      <c r="AM203" s="8">
        <f t="shared" ref="AM203" si="1053">+AL203+300000</f>
        <v>900000</v>
      </c>
      <c r="AN203" s="8">
        <v>1000000</v>
      </c>
      <c r="AO203" s="8">
        <f t="shared" si="1037"/>
        <v>2100000</v>
      </c>
      <c r="AP203" s="16">
        <f t="shared" si="1038"/>
        <v>0</v>
      </c>
      <c r="AQ203" s="16">
        <f t="shared" si="1039"/>
        <v>0</v>
      </c>
      <c r="AR203" s="16">
        <f t="shared" si="1040"/>
        <v>0</v>
      </c>
      <c r="AS203" s="16">
        <f t="shared" si="1041"/>
        <v>0</v>
      </c>
      <c r="AT203" s="16">
        <f t="shared" si="1042"/>
        <v>0</v>
      </c>
      <c r="AU203" s="16">
        <f t="shared" si="1043"/>
        <v>0</v>
      </c>
      <c r="AV203" s="16">
        <f t="shared" si="1044"/>
        <v>0</v>
      </c>
      <c r="AW203" s="16">
        <f t="shared" si="1045"/>
        <v>1750</v>
      </c>
      <c r="AX203" s="16">
        <f t="shared" si="1046"/>
        <v>4000</v>
      </c>
      <c r="AY203" s="16">
        <f t="shared" si="1047"/>
        <v>5250</v>
      </c>
      <c r="AZ203" s="16">
        <f t="shared" si="1048"/>
        <v>7500</v>
      </c>
      <c r="BA203" s="16">
        <f t="shared" si="1049"/>
        <v>8750</v>
      </c>
      <c r="BB203" s="16">
        <v>330000</v>
      </c>
      <c r="BC203" s="8">
        <v>9000000</v>
      </c>
      <c r="BD203" s="16">
        <f t="shared" si="893"/>
        <v>27250</v>
      </c>
      <c r="BE203" s="23">
        <f t="shared" si="894"/>
        <v>177.23856333464286</v>
      </c>
      <c r="BF203" s="23">
        <f t="shared" si="895"/>
        <v>160.96219484271202</v>
      </c>
      <c r="BG203" s="23">
        <f t="shared" si="896"/>
        <v>502.57818941366469</v>
      </c>
      <c r="BH203" s="23">
        <f t="shared" si="897"/>
        <v>800.58742808809257</v>
      </c>
      <c r="BI203" s="23">
        <f t="shared" si="898"/>
        <v>609.45335268330473</v>
      </c>
      <c r="BJ203" s="23">
        <f t="shared" si="899"/>
        <v>624.72090175208712</v>
      </c>
      <c r="BK203" s="23">
        <f t="shared" si="900"/>
        <v>432.80863280976394</v>
      </c>
      <c r="BL203" s="23">
        <f t="shared" si="901"/>
        <v>3798.6945218882088</v>
      </c>
      <c r="BM203" s="23">
        <f t="shared" si="902"/>
        <v>7717.4442209886238</v>
      </c>
      <c r="BN203" s="23">
        <f t="shared" si="903"/>
        <v>8386.8710345202435</v>
      </c>
      <c r="BO203" s="23">
        <f t="shared" si="904"/>
        <v>8394.1335684119913</v>
      </c>
      <c r="BP203" s="23">
        <f t="shared" si="905"/>
        <v>8566.6566100229866</v>
      </c>
      <c r="BQ203" s="22">
        <f t="shared" si="1050"/>
        <v>40172.149218756327</v>
      </c>
      <c r="BR203" s="8">
        <f t="shared" si="879"/>
        <v>72068.031406277994</v>
      </c>
      <c r="BS203" s="8">
        <f t="shared" si="1033"/>
        <v>112240.18062503432</v>
      </c>
      <c r="BT203" s="8">
        <f t="shared" si="1025"/>
        <v>139490.18062503432</v>
      </c>
    </row>
    <row r="204" spans="1:74" ht="13.5" customHeight="1" x14ac:dyDescent="0.2">
      <c r="A204" s="15">
        <v>196</v>
      </c>
      <c r="B204" s="15">
        <v>289</v>
      </c>
      <c r="C204" s="14" t="s">
        <v>199</v>
      </c>
      <c r="D204" s="8">
        <v>100000</v>
      </c>
      <c r="E204" s="8"/>
      <c r="F204" s="8"/>
      <c r="G204" s="8"/>
      <c r="H204" s="8"/>
      <c r="I204" s="8"/>
      <c r="J204" s="8"/>
      <c r="K204" s="8">
        <f t="shared" si="1051"/>
        <v>0</v>
      </c>
      <c r="L204" s="8">
        <f t="shared" si="1051"/>
        <v>50000</v>
      </c>
      <c r="M204" s="8">
        <f t="shared" si="1051"/>
        <v>100000</v>
      </c>
      <c r="N204" s="8">
        <f t="shared" si="1051"/>
        <v>150000</v>
      </c>
      <c r="O204" s="8">
        <f t="shared" si="1051"/>
        <v>200000</v>
      </c>
      <c r="P204" s="8">
        <v>250000</v>
      </c>
      <c r="Q204" s="8"/>
      <c r="R204" s="8"/>
      <c r="S204" s="8"/>
      <c r="T204" s="8"/>
      <c r="U204" s="8"/>
      <c r="V204" s="8"/>
      <c r="W204" s="8"/>
      <c r="X204" s="8">
        <f>50000+W204</f>
        <v>50000</v>
      </c>
      <c r="Y204" s="8">
        <f t="shared" ref="Y204:AA204" si="1054">50000+X204</f>
        <v>100000</v>
      </c>
      <c r="Z204" s="8">
        <f t="shared" si="1054"/>
        <v>150000</v>
      </c>
      <c r="AA204" s="8">
        <f t="shared" si="1054"/>
        <v>200000</v>
      </c>
      <c r="AB204" s="8">
        <v>250000</v>
      </c>
      <c r="AC204" s="8"/>
      <c r="AD204" s="8"/>
      <c r="AE204" s="8"/>
      <c r="AF204" s="8"/>
      <c r="AG204" s="8"/>
      <c r="AH204" s="8"/>
      <c r="AI204" s="8"/>
      <c r="AJ204" s="8">
        <f>50000+AI204</f>
        <v>50000</v>
      </c>
      <c r="AK204" s="8">
        <f t="shared" ref="AK204:AM204" si="1055">50000+AJ204</f>
        <v>100000</v>
      </c>
      <c r="AL204" s="8">
        <f t="shared" si="1055"/>
        <v>150000</v>
      </c>
      <c r="AM204" s="8">
        <f t="shared" si="1055"/>
        <v>200000</v>
      </c>
      <c r="AN204" s="8">
        <v>250000</v>
      </c>
      <c r="AO204" s="8">
        <f t="shared" si="1037"/>
        <v>850000</v>
      </c>
      <c r="AP204" s="16">
        <f t="shared" si="1038"/>
        <v>0</v>
      </c>
      <c r="AQ204" s="16">
        <f t="shared" si="1039"/>
        <v>0</v>
      </c>
      <c r="AR204" s="16">
        <f t="shared" si="1040"/>
        <v>0</v>
      </c>
      <c r="AS204" s="16">
        <f t="shared" si="1041"/>
        <v>0</v>
      </c>
      <c r="AT204" s="16">
        <f t="shared" si="1042"/>
        <v>0</v>
      </c>
      <c r="AU204" s="16">
        <f t="shared" si="1043"/>
        <v>0</v>
      </c>
      <c r="AV204" s="16">
        <f t="shared" si="1044"/>
        <v>0</v>
      </c>
      <c r="AW204" s="16">
        <f t="shared" si="1045"/>
        <v>500</v>
      </c>
      <c r="AX204" s="16">
        <f t="shared" si="1046"/>
        <v>1000</v>
      </c>
      <c r="AY204" s="16">
        <f t="shared" si="1047"/>
        <v>1500</v>
      </c>
      <c r="AZ204" s="16">
        <f t="shared" si="1048"/>
        <v>2000</v>
      </c>
      <c r="BA204" s="16">
        <f t="shared" si="1049"/>
        <v>2500</v>
      </c>
      <c r="BB204" s="16"/>
      <c r="BC204" s="8"/>
      <c r="BD204" s="16">
        <f t="shared" si="893"/>
        <v>7500</v>
      </c>
      <c r="BE204" s="23">
        <f t="shared" si="894"/>
        <v>177.23856333464286</v>
      </c>
      <c r="BF204" s="23">
        <f t="shared" si="895"/>
        <v>160.96219484271202</v>
      </c>
      <c r="BG204" s="23">
        <f t="shared" si="896"/>
        <v>502.57818941366469</v>
      </c>
      <c r="BH204" s="23">
        <f t="shared" si="897"/>
        <v>800.58742808809257</v>
      </c>
      <c r="BI204" s="23">
        <f t="shared" si="898"/>
        <v>609.45335268330473</v>
      </c>
      <c r="BJ204" s="23">
        <f t="shared" si="899"/>
        <v>624.72090175208712</v>
      </c>
      <c r="BK204" s="23">
        <f t="shared" si="900"/>
        <v>432.80863280976394</v>
      </c>
      <c r="BL204" s="23">
        <f t="shared" si="901"/>
        <v>1899.3472609441044</v>
      </c>
      <c r="BM204" s="23">
        <f t="shared" si="902"/>
        <v>3086.9776883954496</v>
      </c>
      <c r="BN204" s="23">
        <f t="shared" si="903"/>
        <v>3548.2915915277958</v>
      </c>
      <c r="BO204" s="23">
        <f t="shared" si="904"/>
        <v>3264.385276604663</v>
      </c>
      <c r="BP204" s="23">
        <f t="shared" si="905"/>
        <v>3467.456246914066</v>
      </c>
      <c r="BQ204" s="22">
        <f t="shared" si="1050"/>
        <v>18574.807327310347</v>
      </c>
      <c r="BR204" s="8">
        <f t="shared" si="879"/>
        <v>0</v>
      </c>
      <c r="BS204" s="8">
        <f t="shared" si="1033"/>
        <v>18574.807327310347</v>
      </c>
      <c r="BT204" s="8">
        <f t="shared" si="1025"/>
        <v>26074.807327310347</v>
      </c>
    </row>
    <row r="205" spans="1:74" ht="14.25" customHeight="1" x14ac:dyDescent="0.2">
      <c r="A205" s="15"/>
      <c r="B205" s="15"/>
      <c r="C205" s="15" t="s">
        <v>5</v>
      </c>
      <c r="D205" s="8">
        <f t="shared" ref="D205:AO205" si="1056">SUM(D8:D204)</f>
        <v>19600000</v>
      </c>
      <c r="E205" s="8">
        <f t="shared" si="1056"/>
        <v>282073000</v>
      </c>
      <c r="F205" s="8">
        <f t="shared" si="1056"/>
        <v>285843000</v>
      </c>
      <c r="G205" s="8">
        <f t="shared" si="1056"/>
        <v>289613000</v>
      </c>
      <c r="H205" s="8">
        <f t="shared" si="1056"/>
        <v>293383000</v>
      </c>
      <c r="I205" s="8">
        <f t="shared" si="1056"/>
        <v>299843000</v>
      </c>
      <c r="J205" s="8">
        <f t="shared" si="1056"/>
        <v>306303000</v>
      </c>
      <c r="K205" s="8">
        <f t="shared" si="1056"/>
        <v>312763000</v>
      </c>
      <c r="L205" s="8">
        <f t="shared" si="1056"/>
        <v>319323000</v>
      </c>
      <c r="M205" s="8">
        <f t="shared" si="1056"/>
        <v>325883000</v>
      </c>
      <c r="N205" s="8">
        <f t="shared" si="1056"/>
        <v>332443000</v>
      </c>
      <c r="O205" s="8">
        <f t="shared" si="1056"/>
        <v>339003000</v>
      </c>
      <c r="P205" s="8">
        <f t="shared" si="1056"/>
        <v>345563000</v>
      </c>
      <c r="Q205" s="8">
        <f t="shared" si="1056"/>
        <v>165486000</v>
      </c>
      <c r="R205" s="8">
        <f t="shared" si="1056"/>
        <v>192173500</v>
      </c>
      <c r="S205" s="8">
        <f t="shared" si="1056"/>
        <v>218611000</v>
      </c>
      <c r="T205" s="8">
        <f t="shared" si="1056"/>
        <v>245078500</v>
      </c>
      <c r="U205" s="8">
        <f t="shared" si="1056"/>
        <v>272081000</v>
      </c>
      <c r="V205" s="8">
        <f t="shared" si="1056"/>
        <v>0</v>
      </c>
      <c r="W205" s="8">
        <f t="shared" si="1056"/>
        <v>34565000</v>
      </c>
      <c r="X205" s="8">
        <f t="shared" si="1056"/>
        <v>66927500</v>
      </c>
      <c r="Y205" s="8">
        <f t="shared" si="1056"/>
        <v>98980000</v>
      </c>
      <c r="Z205" s="8">
        <f t="shared" si="1056"/>
        <v>130547500</v>
      </c>
      <c r="AA205" s="8">
        <f t="shared" si="1056"/>
        <v>161310000</v>
      </c>
      <c r="AB205" s="8">
        <f t="shared" si="1056"/>
        <v>191617500</v>
      </c>
      <c r="AC205" s="8">
        <f t="shared" si="1056"/>
        <v>266659293</v>
      </c>
      <c r="AD205" s="8">
        <f t="shared" si="1056"/>
        <v>289701293</v>
      </c>
      <c r="AE205" s="8">
        <f t="shared" si="1056"/>
        <v>305572293</v>
      </c>
      <c r="AF205" s="8">
        <f t="shared" si="1056"/>
        <v>306411293</v>
      </c>
      <c r="AG205" s="8">
        <f t="shared" si="1056"/>
        <v>318219293</v>
      </c>
      <c r="AH205" s="8">
        <f t="shared" si="1056"/>
        <v>310729893</v>
      </c>
      <c r="AI205" s="8">
        <f t="shared" si="1056"/>
        <v>298267893</v>
      </c>
      <c r="AJ205" s="8">
        <f t="shared" si="1056"/>
        <v>297373393</v>
      </c>
      <c r="AK205" s="8">
        <f t="shared" si="1056"/>
        <v>297468893</v>
      </c>
      <c r="AL205" s="8">
        <f t="shared" si="1056"/>
        <v>309269393</v>
      </c>
      <c r="AM205" s="8">
        <f t="shared" si="1056"/>
        <v>371301893</v>
      </c>
      <c r="AN205" s="8">
        <f t="shared" si="1056"/>
        <v>390357893</v>
      </c>
      <c r="AO205" s="8">
        <f t="shared" si="1056"/>
        <v>947138393</v>
      </c>
      <c r="AP205" s="8">
        <f t="shared" ref="AP205:BT205" si="1057">SUM(AP8:AP204)</f>
        <v>2160726.4649999999</v>
      </c>
      <c r="AQ205" s="8">
        <f t="shared" si="1057"/>
        <v>2409373.9649999999</v>
      </c>
      <c r="AR205" s="8">
        <f t="shared" si="1057"/>
        <v>2620916.4649999999</v>
      </c>
      <c r="AS205" s="8">
        <f t="shared" si="1057"/>
        <v>2757448.9649999999</v>
      </c>
      <c r="AT205" s="8">
        <f t="shared" si="1057"/>
        <v>2951501.4649999999</v>
      </c>
      <c r="AU205" s="8">
        <f t="shared" si="1057"/>
        <v>1553649.4649999999</v>
      </c>
      <c r="AV205" s="8">
        <f t="shared" si="1057"/>
        <v>1664164.4649999999</v>
      </c>
      <c r="AW205" s="8">
        <f t="shared" si="1057"/>
        <v>1821504.4649999999</v>
      </c>
      <c r="AX205" s="8">
        <f t="shared" si="1057"/>
        <v>1982244.4649999999</v>
      </c>
      <c r="AY205" s="8">
        <f t="shared" si="1057"/>
        <v>2199084.4649999999</v>
      </c>
      <c r="AZ205" s="8">
        <f t="shared" si="1057"/>
        <v>2663059.4649999999</v>
      </c>
      <c r="BA205" s="8">
        <f t="shared" si="1057"/>
        <v>2909876.9649999999</v>
      </c>
      <c r="BB205" s="8">
        <f>SUM(BB8:BB204)</f>
        <v>184167000</v>
      </c>
      <c r="BC205" s="8">
        <f>SUM(BC8:BC204)</f>
        <v>575230000</v>
      </c>
      <c r="BD205" s="8">
        <f>SUM(BD8:BD204)</f>
        <v>27693851.079999998</v>
      </c>
      <c r="BE205" s="8">
        <f t="shared" si="1057"/>
        <v>1300608.9999999995</v>
      </c>
      <c r="BF205" s="8">
        <f t="shared" si="1057"/>
        <v>1267284.0000000007</v>
      </c>
      <c r="BG205" s="8">
        <f t="shared" si="1057"/>
        <v>4188468</v>
      </c>
      <c r="BH205" s="8">
        <f t="shared" si="1057"/>
        <v>6920860.4999999944</v>
      </c>
      <c r="BI205" s="8">
        <f t="shared" si="1057"/>
        <v>5544460.9999999944</v>
      </c>
      <c r="BJ205" s="8">
        <f t="shared" si="1057"/>
        <v>3977178.75</v>
      </c>
      <c r="BK205" s="8">
        <f t="shared" si="1057"/>
        <v>2879025.25</v>
      </c>
      <c r="BL205" s="8">
        <f t="shared" si="1057"/>
        <v>5342665.5000000009</v>
      </c>
      <c r="BM205" s="8">
        <f t="shared" si="1057"/>
        <v>5725818.0000000009</v>
      </c>
      <c r="BN205" s="8">
        <f t="shared" si="1057"/>
        <v>5108635.9999999963</v>
      </c>
      <c r="BO205" s="8">
        <f t="shared" si="1057"/>
        <v>4156098.25</v>
      </c>
      <c r="BP205" s="8">
        <f t="shared" si="1057"/>
        <v>3863718.7500000014</v>
      </c>
      <c r="BQ205" s="8">
        <f t="shared" si="1057"/>
        <v>50274823.000000037</v>
      </c>
      <c r="BR205" s="8">
        <f t="shared" si="1057"/>
        <v>40219858.000000052</v>
      </c>
      <c r="BS205" s="8">
        <f t="shared" si="1057"/>
        <v>90494680.99999994</v>
      </c>
      <c r="BT205" s="8">
        <f t="shared" si="1057"/>
        <v>118188532.07999995</v>
      </c>
    </row>
    <row r="206" spans="1:74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R206" s="6"/>
      <c r="U206" s="6"/>
      <c r="AB206" s="2"/>
      <c r="AC206" s="2"/>
      <c r="AD206" s="2"/>
      <c r="AE206" s="7">
        <f>+AE205-305572293</f>
        <v>0</v>
      </c>
      <c r="AF206" s="7">
        <f>+AF205-306411293</f>
        <v>0</v>
      </c>
      <c r="AG206" s="7">
        <f>+AG205-318219293</f>
        <v>0</v>
      </c>
      <c r="AH206" s="7">
        <f>+AH205-310729893</f>
        <v>0</v>
      </c>
      <c r="AI206" s="7">
        <f>+AI205-298267893</f>
        <v>0</v>
      </c>
      <c r="AJ206" s="7">
        <f>+AJ205-297373393</f>
        <v>0</v>
      </c>
      <c r="AK206" s="7">
        <f>+AK205-297468893</f>
        <v>0</v>
      </c>
      <c r="AL206" s="7">
        <f>+AL205-309269393</f>
        <v>0</v>
      </c>
      <c r="AM206" s="7">
        <f>+AM205-371301893</f>
        <v>0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Q206" s="2"/>
      <c r="BR206" s="2"/>
    </row>
    <row r="207" spans="1:74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7">
        <f>+AC205-266659293</f>
        <v>0</v>
      </c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2"/>
    </row>
    <row r="208" spans="1:74" x14ac:dyDescent="0.2">
      <c r="A208" s="1"/>
      <c r="B208" s="2"/>
      <c r="C208" s="17"/>
      <c r="D208" s="18">
        <v>19600000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>
        <v>345563000</v>
      </c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9">
        <v>191617500</v>
      </c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8">
        <v>390417893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1:70" x14ac:dyDescent="0.2">
      <c r="A209" s="1"/>
      <c r="B209" s="2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7"/>
      <c r="BD209" s="7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1:70" x14ac:dyDescent="0.2">
      <c r="A210" s="1"/>
      <c r="B210" s="2"/>
      <c r="C210" s="17"/>
      <c r="D210" s="18">
        <f>+D205-D208</f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>
        <f>+P205-P208</f>
        <v>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>
        <f t="shared" ref="AB210" si="1058">+AB205-AB208</f>
        <v>0</v>
      </c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>
        <f>+AN205-AN208</f>
        <v>-60000</v>
      </c>
      <c r="BC210" s="7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1:70" x14ac:dyDescent="0.2">
      <c r="A211" s="1"/>
      <c r="B211" s="2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7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1:70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1:70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7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1:70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1:70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1:70" x14ac:dyDescent="0.2">
      <c r="A216" s="1"/>
      <c r="B216" s="2"/>
      <c r="C216" s="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1:70" x14ac:dyDescent="0.2">
      <c r="A217" s="1"/>
      <c r="B217" s="2"/>
      <c r="C217" s="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1:70" x14ac:dyDescent="0.2">
      <c r="A218" s="1"/>
      <c r="B218" s="2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1:70" x14ac:dyDescent="0.2">
      <c r="A219" s="1"/>
      <c r="B219" s="2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1:70" x14ac:dyDescent="0.2">
      <c r="A220" s="1"/>
      <c r="B220" s="2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1:70" x14ac:dyDescent="0.2">
      <c r="A221" s="1"/>
      <c r="B221" s="2"/>
      <c r="C221" s="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1:70" x14ac:dyDescent="0.2">
      <c r="A222" s="1"/>
      <c r="B222" s="2"/>
      <c r="C222" s="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1:70" x14ac:dyDescent="0.2">
      <c r="A223" s="1"/>
      <c r="B223" s="2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1:70" x14ac:dyDescent="0.2">
      <c r="A224" s="1"/>
      <c r="B224" s="2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11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1:70" x14ac:dyDescent="0.2">
      <c r="A225" s="1"/>
      <c r="B225" s="2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1:70" x14ac:dyDescent="0.2">
      <c r="A226" s="1"/>
      <c r="B226" s="2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1:70" x14ac:dyDescent="0.2">
      <c r="A227" s="1"/>
      <c r="B227" s="2"/>
      <c r="C227" s="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2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2"/>
      <c r="BR227" s="2"/>
    </row>
    <row r="228" spans="1:70" x14ac:dyDescent="0.2">
      <c r="A228" s="1"/>
      <c r="B228" s="2"/>
      <c r="C228" s="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1:70" x14ac:dyDescent="0.2">
      <c r="A229" s="1"/>
      <c r="B229" s="2"/>
      <c r="C229" s="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9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1:70" x14ac:dyDescent="0.2">
      <c r="A230" s="1"/>
      <c r="B230" s="2"/>
      <c r="C230" s="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1:70" x14ac:dyDescent="0.2">
      <c r="A231" s="1"/>
      <c r="B231" s="2"/>
      <c r="C231" s="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70" x14ac:dyDescent="0.2">
      <c r="A232" s="1"/>
      <c r="B232" s="2"/>
      <c r="C232" s="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70" x14ac:dyDescent="0.2">
      <c r="A233" s="1"/>
      <c r="B233" s="2"/>
      <c r="C233" s="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70" x14ac:dyDescent="0.2">
      <c r="A234" s="1"/>
      <c r="B234" s="2"/>
      <c r="C234" s="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70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70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70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70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70" x14ac:dyDescent="0.2">
      <c r="A239" s="1"/>
    </row>
  </sheetData>
  <mergeCells count="16">
    <mergeCell ref="BX76:BY76"/>
    <mergeCell ref="A1:BT1"/>
    <mergeCell ref="A2:BT2"/>
    <mergeCell ref="A3:BT3"/>
    <mergeCell ref="A4:BT4"/>
    <mergeCell ref="BT6:BT7"/>
    <mergeCell ref="BB6:BB7"/>
    <mergeCell ref="BQ6:BQ7"/>
    <mergeCell ref="BR6:BR7"/>
    <mergeCell ref="BS6:BS7"/>
    <mergeCell ref="BS5:BT5"/>
    <mergeCell ref="D6:AO6"/>
    <mergeCell ref="A6:B6"/>
    <mergeCell ref="C6:C7"/>
    <mergeCell ref="BC6:BC7"/>
    <mergeCell ref="BD6:BD7"/>
  </mergeCells>
  <phoneticPr fontId="4" type="noConversion"/>
  <printOptions horizontalCentered="1"/>
  <pageMargins left="0.19685039370078741" right="0.19685039370078741" top="0.47244094488188981" bottom="0.39370078740157483" header="0.23622047244094491" footer="0.31496062992125984"/>
  <pageSetup paperSize="9" scale="85" fitToHeight="0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3" zoomScaleNormal="100" workbookViewId="0">
      <selection activeCell="D79" sqref="D79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3" style="47" customWidth="1"/>
    <col min="5" max="5" width="13.140625" style="47" customWidth="1"/>
    <col min="6" max="6" width="9.140625" style="47"/>
    <col min="7" max="7" width="15" style="47" bestFit="1" customWidth="1"/>
    <col min="8" max="16384" width="9.140625" style="47"/>
  </cols>
  <sheetData>
    <row r="1" spans="1:5" x14ac:dyDescent="0.25">
      <c r="A1" s="153" t="s">
        <v>171</v>
      </c>
      <c r="B1" s="153"/>
      <c r="C1" s="153"/>
      <c r="D1" s="153"/>
      <c r="E1" s="153"/>
    </row>
    <row r="2" spans="1:5" x14ac:dyDescent="0.25">
      <c r="A2" s="153" t="s">
        <v>522</v>
      </c>
      <c r="B2" s="153"/>
      <c r="C2" s="153"/>
      <c r="D2" s="153"/>
      <c r="E2" s="153"/>
    </row>
    <row r="3" spans="1:5" x14ac:dyDescent="0.25">
      <c r="A3" s="153" t="s">
        <v>235</v>
      </c>
      <c r="B3" s="153"/>
      <c r="C3" s="153"/>
      <c r="D3" s="153"/>
      <c r="E3" s="153"/>
    </row>
    <row r="4" spans="1:5" x14ac:dyDescent="0.25">
      <c r="A4" s="48"/>
      <c r="B4" s="48"/>
      <c r="C4" s="48"/>
      <c r="D4" s="48"/>
      <c r="E4" s="48"/>
    </row>
    <row r="5" spans="1:5" x14ac:dyDescent="0.25">
      <c r="D5" s="157" t="s">
        <v>415</v>
      </c>
      <c r="E5" s="157"/>
    </row>
    <row r="6" spans="1:5" x14ac:dyDescent="0.25">
      <c r="A6" s="149" t="s">
        <v>237</v>
      </c>
      <c r="B6" s="149"/>
      <c r="C6" s="149" t="s">
        <v>238</v>
      </c>
      <c r="D6" s="149" t="s">
        <v>239</v>
      </c>
      <c r="E6" s="149"/>
    </row>
    <row r="7" spans="1:5" ht="17.25" customHeight="1" x14ac:dyDescent="0.25">
      <c r="A7" s="50" t="s">
        <v>6</v>
      </c>
      <c r="B7" s="50" t="s">
        <v>240</v>
      </c>
      <c r="C7" s="149"/>
      <c r="D7" s="149"/>
      <c r="E7" s="149"/>
    </row>
    <row r="8" spans="1:5" ht="24.75" customHeight="1" x14ac:dyDescent="0.25">
      <c r="A8" s="51">
        <v>1</v>
      </c>
      <c r="B8" s="51">
        <v>75</v>
      </c>
      <c r="C8" s="52" t="s">
        <v>416</v>
      </c>
      <c r="D8" s="52" t="s">
        <v>242</v>
      </c>
      <c r="E8" s="52"/>
    </row>
    <row r="9" spans="1:5" x14ac:dyDescent="0.25">
      <c r="A9" s="53">
        <v>2</v>
      </c>
      <c r="B9" s="53">
        <v>76</v>
      </c>
      <c r="C9" s="54" t="s">
        <v>417</v>
      </c>
      <c r="D9" s="54"/>
      <c r="E9" s="54" t="s">
        <v>244</v>
      </c>
    </row>
    <row r="10" spans="1:5" x14ac:dyDescent="0.25">
      <c r="A10" s="53">
        <v>3</v>
      </c>
      <c r="B10" s="53">
        <v>95</v>
      </c>
      <c r="C10" s="54" t="s">
        <v>418</v>
      </c>
      <c r="D10" s="54" t="s">
        <v>246</v>
      </c>
      <c r="E10" s="54"/>
    </row>
    <row r="11" spans="1:5" x14ac:dyDescent="0.25">
      <c r="A11" s="53">
        <v>4</v>
      </c>
      <c r="B11" s="53">
        <v>98</v>
      </c>
      <c r="C11" s="54" t="s">
        <v>419</v>
      </c>
      <c r="D11" s="54"/>
      <c r="E11" s="54" t="s">
        <v>248</v>
      </c>
    </row>
    <row r="12" spans="1:5" x14ac:dyDescent="0.25">
      <c r="A12" s="53">
        <v>5</v>
      </c>
      <c r="B12" s="53">
        <v>102</v>
      </c>
      <c r="C12" s="54" t="s">
        <v>420</v>
      </c>
      <c r="D12" s="54" t="s">
        <v>250</v>
      </c>
      <c r="E12" s="54"/>
    </row>
    <row r="13" spans="1:5" x14ac:dyDescent="0.25">
      <c r="A13" s="73">
        <v>6</v>
      </c>
      <c r="B13" s="73">
        <v>106</v>
      </c>
      <c r="C13" s="74" t="s">
        <v>421</v>
      </c>
      <c r="D13" s="74"/>
      <c r="E13" s="74" t="s">
        <v>252</v>
      </c>
    </row>
    <row r="14" spans="1:5" x14ac:dyDescent="0.25">
      <c r="A14" s="73">
        <v>7</v>
      </c>
      <c r="B14" s="73">
        <v>117</v>
      </c>
      <c r="C14" s="74" t="s">
        <v>422</v>
      </c>
      <c r="D14" s="74" t="s">
        <v>254</v>
      </c>
      <c r="E14" s="74"/>
    </row>
    <row r="15" spans="1:5" x14ac:dyDescent="0.25">
      <c r="A15" s="73">
        <v>8</v>
      </c>
      <c r="B15" s="73">
        <v>118</v>
      </c>
      <c r="C15" s="74" t="s">
        <v>423</v>
      </c>
      <c r="D15" s="54"/>
      <c r="E15" s="54" t="s">
        <v>256</v>
      </c>
    </row>
    <row r="16" spans="1:5" x14ac:dyDescent="0.25">
      <c r="A16" s="73">
        <v>9</v>
      </c>
      <c r="B16" s="73">
        <v>119</v>
      </c>
      <c r="C16" s="74" t="s">
        <v>424</v>
      </c>
      <c r="D16" s="54" t="s">
        <v>258</v>
      </c>
      <c r="E16" s="54"/>
    </row>
    <row r="17" spans="1:5" x14ac:dyDescent="0.25">
      <c r="A17" s="73">
        <v>10</v>
      </c>
      <c r="B17" s="73">
        <v>123</v>
      </c>
      <c r="C17" s="74" t="s">
        <v>425</v>
      </c>
      <c r="D17" s="54"/>
      <c r="E17" s="54" t="s">
        <v>260</v>
      </c>
    </row>
    <row r="18" spans="1:5" x14ac:dyDescent="0.25">
      <c r="A18" s="73">
        <v>11</v>
      </c>
      <c r="B18" s="73">
        <v>124</v>
      </c>
      <c r="C18" s="74" t="s">
        <v>426</v>
      </c>
      <c r="D18" s="54" t="s">
        <v>262</v>
      </c>
      <c r="E18" s="54"/>
    </row>
    <row r="19" spans="1:5" x14ac:dyDescent="0.25">
      <c r="A19" s="73">
        <v>12</v>
      </c>
      <c r="B19" s="73">
        <v>129</v>
      </c>
      <c r="C19" s="74" t="s">
        <v>427</v>
      </c>
      <c r="D19" s="74"/>
      <c r="E19" s="74" t="s">
        <v>264</v>
      </c>
    </row>
    <row r="20" spans="1:5" x14ac:dyDescent="0.25">
      <c r="A20" s="73">
        <v>13</v>
      </c>
      <c r="B20" s="73">
        <v>130</v>
      </c>
      <c r="C20" s="74" t="s">
        <v>428</v>
      </c>
      <c r="D20" s="74" t="s">
        <v>266</v>
      </c>
      <c r="E20" s="74"/>
    </row>
    <row r="21" spans="1:5" x14ac:dyDescent="0.25">
      <c r="A21" s="73">
        <v>14</v>
      </c>
      <c r="B21" s="73">
        <v>143</v>
      </c>
      <c r="C21" s="74" t="s">
        <v>429</v>
      </c>
      <c r="D21" s="54"/>
      <c r="E21" s="54" t="s">
        <v>268</v>
      </c>
    </row>
    <row r="22" spans="1:5" x14ac:dyDescent="0.25">
      <c r="A22" s="73">
        <v>15</v>
      </c>
      <c r="B22" s="73">
        <v>150</v>
      </c>
      <c r="C22" s="74" t="s">
        <v>430</v>
      </c>
      <c r="D22" s="54" t="s">
        <v>269</v>
      </c>
      <c r="E22" s="54"/>
    </row>
    <row r="23" spans="1:5" x14ac:dyDescent="0.25">
      <c r="A23" s="73">
        <v>16</v>
      </c>
      <c r="B23" s="73">
        <v>151</v>
      </c>
      <c r="C23" s="74" t="s">
        <v>431</v>
      </c>
      <c r="D23" s="54"/>
      <c r="E23" s="54" t="s">
        <v>271</v>
      </c>
    </row>
    <row r="24" spans="1:5" x14ac:dyDescent="0.25">
      <c r="A24" s="73">
        <v>17</v>
      </c>
      <c r="B24" s="73">
        <v>152</v>
      </c>
      <c r="C24" s="74" t="s">
        <v>432</v>
      </c>
      <c r="D24" s="54" t="s">
        <v>273</v>
      </c>
      <c r="E24" s="54"/>
    </row>
    <row r="25" spans="1:5" x14ac:dyDescent="0.25">
      <c r="A25" s="73">
        <v>18</v>
      </c>
      <c r="B25" s="73">
        <v>153</v>
      </c>
      <c r="C25" s="74" t="s">
        <v>433</v>
      </c>
      <c r="D25" s="74"/>
      <c r="E25" s="74" t="s">
        <v>275</v>
      </c>
    </row>
    <row r="26" spans="1:5" x14ac:dyDescent="0.25">
      <c r="A26" s="73">
        <v>19</v>
      </c>
      <c r="B26" s="73">
        <v>155</v>
      </c>
      <c r="C26" s="74" t="s">
        <v>434</v>
      </c>
      <c r="D26" s="74" t="s">
        <v>277</v>
      </c>
      <c r="E26" s="74"/>
    </row>
    <row r="27" spans="1:5" x14ac:dyDescent="0.25">
      <c r="A27" s="73">
        <v>20</v>
      </c>
      <c r="B27" s="73">
        <v>159</v>
      </c>
      <c r="C27" s="74" t="s">
        <v>435</v>
      </c>
      <c r="D27" s="54"/>
      <c r="E27" s="54" t="s">
        <v>279</v>
      </c>
    </row>
    <row r="28" spans="1:5" x14ac:dyDescent="0.25">
      <c r="A28" s="73">
        <v>21</v>
      </c>
      <c r="B28" s="73">
        <v>161</v>
      </c>
      <c r="C28" s="74" t="s">
        <v>436</v>
      </c>
      <c r="D28" s="54" t="s">
        <v>281</v>
      </c>
      <c r="E28" s="54"/>
    </row>
    <row r="29" spans="1:5" x14ac:dyDescent="0.25">
      <c r="A29" s="73">
        <v>22</v>
      </c>
      <c r="B29" s="73">
        <v>164</v>
      </c>
      <c r="C29" s="74" t="s">
        <v>437</v>
      </c>
      <c r="D29" s="54"/>
      <c r="E29" s="54" t="s">
        <v>283</v>
      </c>
    </row>
    <row r="30" spans="1:5" x14ac:dyDescent="0.25">
      <c r="A30" s="73">
        <v>23</v>
      </c>
      <c r="B30" s="73">
        <v>166</v>
      </c>
      <c r="C30" s="74" t="s">
        <v>438</v>
      </c>
      <c r="D30" s="54" t="s">
        <v>285</v>
      </c>
      <c r="E30" s="54"/>
    </row>
    <row r="31" spans="1:5" x14ac:dyDescent="0.25">
      <c r="A31" s="73">
        <v>24</v>
      </c>
      <c r="B31" s="73">
        <v>167</v>
      </c>
      <c r="C31" s="74" t="s">
        <v>439</v>
      </c>
      <c r="D31" s="74"/>
      <c r="E31" s="74" t="s">
        <v>287</v>
      </c>
    </row>
    <row r="32" spans="1:5" x14ac:dyDescent="0.25">
      <c r="A32" s="73">
        <v>25</v>
      </c>
      <c r="B32" s="73">
        <v>169</v>
      </c>
      <c r="C32" s="74" t="s">
        <v>440</v>
      </c>
      <c r="D32" s="74" t="s">
        <v>289</v>
      </c>
      <c r="E32" s="74"/>
    </row>
    <row r="33" spans="1:5" x14ac:dyDescent="0.25">
      <c r="A33" s="73">
        <v>26</v>
      </c>
      <c r="B33" s="73">
        <v>175</v>
      </c>
      <c r="C33" s="74" t="s">
        <v>441</v>
      </c>
      <c r="D33" s="54"/>
      <c r="E33" s="54" t="s">
        <v>291</v>
      </c>
    </row>
    <row r="34" spans="1:5" x14ac:dyDescent="0.25">
      <c r="A34" s="73">
        <v>27</v>
      </c>
      <c r="B34" s="73">
        <v>176</v>
      </c>
      <c r="C34" s="74" t="s">
        <v>442</v>
      </c>
      <c r="D34" s="54" t="s">
        <v>293</v>
      </c>
      <c r="E34" s="54"/>
    </row>
    <row r="35" spans="1:5" x14ac:dyDescent="0.25">
      <c r="A35" s="73">
        <v>28</v>
      </c>
      <c r="B35" s="73">
        <v>178</v>
      </c>
      <c r="C35" s="74" t="s">
        <v>443</v>
      </c>
      <c r="D35" s="54"/>
      <c r="E35" s="54" t="s">
        <v>295</v>
      </c>
    </row>
    <row r="36" spans="1:5" x14ac:dyDescent="0.25">
      <c r="A36" s="73">
        <v>29</v>
      </c>
      <c r="B36" s="73">
        <v>194</v>
      </c>
      <c r="C36" s="74" t="s">
        <v>444</v>
      </c>
      <c r="D36" s="54" t="s">
        <v>297</v>
      </c>
      <c r="E36" s="54"/>
    </row>
    <row r="37" spans="1:5" x14ac:dyDescent="0.25">
      <c r="A37" s="73">
        <v>30</v>
      </c>
      <c r="B37" s="73">
        <v>197</v>
      </c>
      <c r="C37" s="74" t="s">
        <v>445</v>
      </c>
      <c r="D37" s="74"/>
      <c r="E37" s="74" t="s">
        <v>299</v>
      </c>
    </row>
    <row r="38" spans="1:5" x14ac:dyDescent="0.25">
      <c r="A38" s="73">
        <v>31</v>
      </c>
      <c r="B38" s="73">
        <v>199</v>
      </c>
      <c r="C38" s="74" t="s">
        <v>446</v>
      </c>
      <c r="D38" s="74" t="s">
        <v>301</v>
      </c>
      <c r="E38" s="74"/>
    </row>
    <row r="39" spans="1:5" x14ac:dyDescent="0.25">
      <c r="A39" s="73">
        <v>32</v>
      </c>
      <c r="B39" s="73">
        <v>200</v>
      </c>
      <c r="C39" s="74" t="s">
        <v>447</v>
      </c>
      <c r="D39" s="54"/>
      <c r="E39" s="54" t="s">
        <v>303</v>
      </c>
    </row>
    <row r="40" spans="1:5" x14ac:dyDescent="0.25">
      <c r="A40" s="73">
        <v>33</v>
      </c>
      <c r="B40" s="73">
        <v>201</v>
      </c>
      <c r="C40" s="74" t="s">
        <v>448</v>
      </c>
      <c r="D40" s="54" t="s">
        <v>305</v>
      </c>
      <c r="E40" s="54"/>
    </row>
    <row r="41" spans="1:5" x14ac:dyDescent="0.25">
      <c r="A41" s="73">
        <v>34</v>
      </c>
      <c r="B41" s="73">
        <v>202</v>
      </c>
      <c r="C41" s="74" t="s">
        <v>449</v>
      </c>
      <c r="D41" s="54"/>
      <c r="E41" s="54" t="s">
        <v>307</v>
      </c>
    </row>
    <row r="42" spans="1:5" x14ac:dyDescent="0.25">
      <c r="A42" s="73">
        <v>35</v>
      </c>
      <c r="B42" s="73">
        <v>203</v>
      </c>
      <c r="C42" s="74" t="s">
        <v>450</v>
      </c>
      <c r="D42" s="54" t="s">
        <v>309</v>
      </c>
      <c r="E42" s="54"/>
    </row>
    <row r="43" spans="1:5" x14ac:dyDescent="0.25">
      <c r="A43" s="73">
        <v>36</v>
      </c>
      <c r="B43" s="73">
        <v>204</v>
      </c>
      <c r="C43" s="74" t="s">
        <v>451</v>
      </c>
      <c r="D43" s="74"/>
      <c r="E43" s="74" t="s">
        <v>311</v>
      </c>
    </row>
    <row r="44" spans="1:5" x14ac:dyDescent="0.25">
      <c r="A44" s="73">
        <v>37</v>
      </c>
      <c r="B44" s="73">
        <v>205</v>
      </c>
      <c r="C44" s="74" t="s">
        <v>452</v>
      </c>
      <c r="D44" s="74" t="s">
        <v>313</v>
      </c>
      <c r="E44" s="74"/>
    </row>
    <row r="45" spans="1:5" x14ac:dyDescent="0.25">
      <c r="A45" s="73">
        <v>38</v>
      </c>
      <c r="B45" s="73">
        <v>206</v>
      </c>
      <c r="C45" s="74" t="s">
        <v>453</v>
      </c>
      <c r="D45" s="54"/>
      <c r="E45" s="54" t="s">
        <v>315</v>
      </c>
    </row>
    <row r="46" spans="1:5" x14ac:dyDescent="0.25">
      <c r="A46" s="73">
        <v>39</v>
      </c>
      <c r="B46" s="73">
        <v>208</v>
      </c>
      <c r="C46" s="74" t="s">
        <v>454</v>
      </c>
      <c r="D46" s="54" t="s">
        <v>317</v>
      </c>
      <c r="E46" s="54"/>
    </row>
    <row r="47" spans="1:5" x14ac:dyDescent="0.25">
      <c r="A47" s="73">
        <v>40</v>
      </c>
      <c r="B47" s="73">
        <v>210</v>
      </c>
      <c r="C47" s="74" t="s">
        <v>455</v>
      </c>
      <c r="D47" s="54"/>
      <c r="E47" s="54" t="s">
        <v>319</v>
      </c>
    </row>
    <row r="48" spans="1:5" x14ac:dyDescent="0.25">
      <c r="A48" s="73">
        <v>41</v>
      </c>
      <c r="B48" s="73">
        <v>216</v>
      </c>
      <c r="C48" s="74" t="s">
        <v>456</v>
      </c>
      <c r="D48" s="54" t="s">
        <v>321</v>
      </c>
      <c r="E48" s="54"/>
    </row>
    <row r="49" spans="1:5" x14ac:dyDescent="0.25">
      <c r="A49" s="73">
        <v>42</v>
      </c>
      <c r="B49" s="73">
        <v>217</v>
      </c>
      <c r="C49" s="74" t="s">
        <v>457</v>
      </c>
      <c r="D49" s="74"/>
      <c r="E49" s="74" t="s">
        <v>323</v>
      </c>
    </row>
    <row r="50" spans="1:5" x14ac:dyDescent="0.25">
      <c r="A50" s="73">
        <v>43</v>
      </c>
      <c r="B50" s="73">
        <v>218</v>
      </c>
      <c r="C50" s="74" t="s">
        <v>458</v>
      </c>
      <c r="D50" s="74" t="s">
        <v>325</v>
      </c>
      <c r="E50" s="74"/>
    </row>
    <row r="51" spans="1:5" x14ac:dyDescent="0.25">
      <c r="A51" s="73">
        <v>44</v>
      </c>
      <c r="B51" s="73">
        <v>222</v>
      </c>
      <c r="C51" s="74" t="s">
        <v>459</v>
      </c>
      <c r="D51" s="54"/>
      <c r="E51" s="54" t="s">
        <v>327</v>
      </c>
    </row>
    <row r="52" spans="1:5" x14ac:dyDescent="0.25">
      <c r="A52" s="73">
        <v>45</v>
      </c>
      <c r="B52" s="73">
        <v>226</v>
      </c>
      <c r="C52" s="74" t="s">
        <v>517</v>
      </c>
      <c r="D52" s="54" t="s">
        <v>329</v>
      </c>
      <c r="E52" s="54"/>
    </row>
    <row r="53" spans="1:5" x14ac:dyDescent="0.25">
      <c r="A53" s="73">
        <v>46</v>
      </c>
      <c r="B53" s="73">
        <v>227</v>
      </c>
      <c r="C53" s="74" t="s">
        <v>460</v>
      </c>
      <c r="D53" s="54"/>
      <c r="E53" s="54" t="s">
        <v>331</v>
      </c>
    </row>
    <row r="54" spans="1:5" x14ac:dyDescent="0.25">
      <c r="A54" s="73">
        <v>47</v>
      </c>
      <c r="B54" s="73">
        <v>229</v>
      </c>
      <c r="C54" s="74" t="s">
        <v>461</v>
      </c>
      <c r="D54" s="54" t="s">
        <v>333</v>
      </c>
      <c r="E54" s="54"/>
    </row>
    <row r="55" spans="1:5" x14ac:dyDescent="0.25">
      <c r="A55" s="73">
        <v>48</v>
      </c>
      <c r="B55" s="73">
        <v>230</v>
      </c>
      <c r="C55" s="74" t="s">
        <v>462</v>
      </c>
      <c r="D55" s="74"/>
      <c r="E55" s="74" t="s">
        <v>335</v>
      </c>
    </row>
    <row r="56" spans="1:5" x14ac:dyDescent="0.25">
      <c r="A56" s="73">
        <v>49</v>
      </c>
      <c r="B56" s="73">
        <v>231</v>
      </c>
      <c r="C56" s="74" t="s">
        <v>463</v>
      </c>
      <c r="D56" s="74" t="s">
        <v>337</v>
      </c>
      <c r="E56" s="74"/>
    </row>
    <row r="57" spans="1:5" x14ac:dyDescent="0.25">
      <c r="A57" s="73">
        <v>50</v>
      </c>
      <c r="B57" s="73">
        <v>232</v>
      </c>
      <c r="C57" s="74" t="s">
        <v>464</v>
      </c>
      <c r="D57" s="54"/>
      <c r="E57" s="54" t="s">
        <v>339</v>
      </c>
    </row>
    <row r="58" spans="1:5" x14ac:dyDescent="0.25">
      <c r="A58" s="75">
        <v>51</v>
      </c>
      <c r="B58" s="75">
        <v>233</v>
      </c>
      <c r="C58" s="76" t="s">
        <v>465</v>
      </c>
      <c r="D58" s="56" t="s">
        <v>341</v>
      </c>
      <c r="E58" s="56"/>
    </row>
    <row r="59" spans="1:5" x14ac:dyDescent="0.25">
      <c r="A59" s="73">
        <v>52</v>
      </c>
      <c r="B59" s="73">
        <v>235</v>
      </c>
      <c r="C59" s="74" t="s">
        <v>466</v>
      </c>
      <c r="D59" s="54"/>
      <c r="E59" s="54" t="s">
        <v>343</v>
      </c>
    </row>
    <row r="60" spans="1:5" x14ac:dyDescent="0.25">
      <c r="A60" s="73">
        <v>53</v>
      </c>
      <c r="B60" s="73">
        <v>236</v>
      </c>
      <c r="C60" s="74" t="s">
        <v>467</v>
      </c>
      <c r="D60" s="54" t="s">
        <v>345</v>
      </c>
      <c r="E60" s="54"/>
    </row>
    <row r="61" spans="1:5" ht="15" customHeight="1" x14ac:dyDescent="0.25">
      <c r="A61" s="73">
        <v>54</v>
      </c>
      <c r="B61" s="73">
        <v>239</v>
      </c>
      <c r="C61" s="74" t="s">
        <v>468</v>
      </c>
      <c r="D61" s="74"/>
      <c r="E61" s="74" t="s">
        <v>347</v>
      </c>
    </row>
    <row r="62" spans="1:5" ht="15" customHeight="1" x14ac:dyDescent="0.25">
      <c r="A62" s="73">
        <v>55</v>
      </c>
      <c r="B62" s="77">
        <v>244</v>
      </c>
      <c r="C62" s="78" t="s">
        <v>469</v>
      </c>
      <c r="D62" s="74" t="s">
        <v>349</v>
      </c>
      <c r="E62" s="74"/>
    </row>
    <row r="63" spans="1:5" x14ac:dyDescent="0.25">
      <c r="A63" s="73">
        <v>56</v>
      </c>
      <c r="B63" s="73">
        <v>245</v>
      </c>
      <c r="C63" s="74" t="s">
        <v>470</v>
      </c>
      <c r="D63" s="54"/>
      <c r="E63" s="54" t="s">
        <v>351</v>
      </c>
    </row>
    <row r="64" spans="1:5" x14ac:dyDescent="0.25">
      <c r="A64" s="73">
        <v>57</v>
      </c>
      <c r="B64" s="73">
        <v>246</v>
      </c>
      <c r="C64" s="74" t="s">
        <v>471</v>
      </c>
      <c r="D64" s="54" t="s">
        <v>353</v>
      </c>
      <c r="E64" s="54"/>
    </row>
    <row r="65" spans="1:5" x14ac:dyDescent="0.25">
      <c r="A65" s="73">
        <v>58</v>
      </c>
      <c r="B65" s="73">
        <v>247</v>
      </c>
      <c r="C65" s="74" t="s">
        <v>472</v>
      </c>
      <c r="D65" s="54"/>
      <c r="E65" s="54" t="s">
        <v>355</v>
      </c>
    </row>
    <row r="66" spans="1:5" x14ac:dyDescent="0.25">
      <c r="A66" s="73">
        <v>59</v>
      </c>
      <c r="B66" s="73">
        <v>248</v>
      </c>
      <c r="C66" s="74" t="s">
        <v>473</v>
      </c>
      <c r="D66" s="54" t="s">
        <v>357</v>
      </c>
      <c r="E66" s="54"/>
    </row>
    <row r="67" spans="1:5" x14ac:dyDescent="0.25">
      <c r="A67" s="73">
        <v>60</v>
      </c>
      <c r="B67" s="73">
        <v>249</v>
      </c>
      <c r="C67" s="74" t="s">
        <v>290</v>
      </c>
      <c r="D67" s="74"/>
      <c r="E67" s="74" t="s">
        <v>359</v>
      </c>
    </row>
    <row r="68" spans="1:5" x14ac:dyDescent="0.25">
      <c r="A68" s="73">
        <v>61</v>
      </c>
      <c r="B68" s="73">
        <v>251</v>
      </c>
      <c r="C68" s="74" t="s">
        <v>474</v>
      </c>
      <c r="D68" s="74" t="s">
        <v>361</v>
      </c>
      <c r="E68" s="74"/>
    </row>
    <row r="69" spans="1:5" x14ac:dyDescent="0.25">
      <c r="A69" s="73">
        <v>62</v>
      </c>
      <c r="B69" s="73">
        <v>253</v>
      </c>
      <c r="C69" s="74" t="s">
        <v>475</v>
      </c>
      <c r="D69" s="54"/>
      <c r="E69" s="54" t="s">
        <v>363</v>
      </c>
    </row>
    <row r="70" spans="1:5" x14ac:dyDescent="0.25">
      <c r="A70" s="73">
        <v>63</v>
      </c>
      <c r="B70" s="73">
        <v>254</v>
      </c>
      <c r="C70" s="74" t="s">
        <v>476</v>
      </c>
      <c r="D70" s="54" t="s">
        <v>365</v>
      </c>
      <c r="E70" s="54"/>
    </row>
    <row r="71" spans="1:5" x14ac:dyDescent="0.25">
      <c r="A71" s="73">
        <v>64</v>
      </c>
      <c r="B71" s="73">
        <v>264</v>
      </c>
      <c r="C71" s="74" t="s">
        <v>477</v>
      </c>
      <c r="D71" s="54"/>
      <c r="E71" s="54" t="s">
        <v>367</v>
      </c>
    </row>
    <row r="72" spans="1:5" x14ac:dyDescent="0.25">
      <c r="A72" s="73">
        <v>65</v>
      </c>
      <c r="B72" s="73">
        <v>265</v>
      </c>
      <c r="C72" s="74" t="s">
        <v>478</v>
      </c>
      <c r="D72" s="54" t="s">
        <v>369</v>
      </c>
      <c r="E72" s="54"/>
    </row>
    <row r="73" spans="1:5" x14ac:dyDescent="0.25">
      <c r="A73" s="73">
        <v>66</v>
      </c>
      <c r="B73" s="73">
        <v>266</v>
      </c>
      <c r="C73" s="74" t="s">
        <v>479</v>
      </c>
      <c r="D73" s="74"/>
      <c r="E73" s="74" t="s">
        <v>371</v>
      </c>
    </row>
    <row r="74" spans="1:5" x14ac:dyDescent="0.25">
      <c r="A74" s="73">
        <v>67</v>
      </c>
      <c r="B74" s="73">
        <v>267</v>
      </c>
      <c r="C74" s="74" t="s">
        <v>480</v>
      </c>
      <c r="D74" s="74" t="s">
        <v>373</v>
      </c>
      <c r="E74" s="74"/>
    </row>
    <row r="75" spans="1:5" x14ac:dyDescent="0.25">
      <c r="A75" s="73">
        <v>68</v>
      </c>
      <c r="B75" s="73">
        <v>268</v>
      </c>
      <c r="C75" s="74" t="s">
        <v>481</v>
      </c>
      <c r="D75" s="54"/>
      <c r="E75" s="54" t="s">
        <v>375</v>
      </c>
    </row>
    <row r="76" spans="1:5" x14ac:dyDescent="0.25">
      <c r="A76" s="73">
        <v>69</v>
      </c>
      <c r="B76" s="73">
        <v>270</v>
      </c>
      <c r="C76" s="74" t="s">
        <v>482</v>
      </c>
      <c r="D76" s="54" t="s">
        <v>377</v>
      </c>
      <c r="E76" s="54"/>
    </row>
    <row r="77" spans="1:5" x14ac:dyDescent="0.25">
      <c r="A77" s="73">
        <v>70</v>
      </c>
      <c r="B77" s="73">
        <v>274</v>
      </c>
      <c r="C77" s="74" t="s">
        <v>483</v>
      </c>
      <c r="D77" s="54"/>
      <c r="E77" s="54" t="s">
        <v>379</v>
      </c>
    </row>
    <row r="78" spans="1:5" x14ac:dyDescent="0.25">
      <c r="A78" s="73">
        <v>71</v>
      </c>
      <c r="B78" s="73">
        <v>275</v>
      </c>
      <c r="C78" s="74" t="s">
        <v>484</v>
      </c>
      <c r="D78" s="54" t="s">
        <v>381</v>
      </c>
      <c r="E78" s="54"/>
    </row>
    <row r="79" spans="1:5" x14ac:dyDescent="0.25">
      <c r="A79" s="73">
        <v>72</v>
      </c>
      <c r="B79" s="73">
        <v>276</v>
      </c>
      <c r="C79" s="74" t="s">
        <v>485</v>
      </c>
      <c r="D79" s="74"/>
      <c r="E79" s="74" t="s">
        <v>383</v>
      </c>
    </row>
    <row r="80" spans="1:5" x14ac:dyDescent="0.25">
      <c r="A80" s="73">
        <v>73</v>
      </c>
      <c r="B80" s="73">
        <v>277</v>
      </c>
      <c r="C80" s="74" t="s">
        <v>486</v>
      </c>
      <c r="D80" s="74" t="s">
        <v>385</v>
      </c>
      <c r="E80" s="74"/>
    </row>
    <row r="81" spans="1:5" x14ac:dyDescent="0.25">
      <c r="A81" s="73">
        <v>74</v>
      </c>
      <c r="B81" s="73">
        <v>278</v>
      </c>
      <c r="C81" s="74" t="s">
        <v>487</v>
      </c>
      <c r="D81" s="54"/>
      <c r="E81" s="54" t="s">
        <v>387</v>
      </c>
    </row>
    <row r="82" spans="1:5" x14ac:dyDescent="0.25">
      <c r="A82" s="73">
        <v>75</v>
      </c>
      <c r="B82" s="61">
        <v>282</v>
      </c>
      <c r="C82" s="62" t="s">
        <v>201</v>
      </c>
      <c r="D82" s="54" t="s">
        <v>389</v>
      </c>
      <c r="E82" s="54"/>
    </row>
    <row r="83" spans="1:5" x14ac:dyDescent="0.25">
      <c r="A83" s="73">
        <v>76</v>
      </c>
      <c r="B83" s="61">
        <v>283</v>
      </c>
      <c r="C83" s="62" t="s">
        <v>202</v>
      </c>
      <c r="D83" s="54"/>
      <c r="E83" s="54" t="s">
        <v>391</v>
      </c>
    </row>
    <row r="84" spans="1:5" x14ac:dyDescent="0.25">
      <c r="A84" s="73">
        <v>77</v>
      </c>
      <c r="B84" s="61">
        <v>284</v>
      </c>
      <c r="C84" s="62" t="s">
        <v>203</v>
      </c>
      <c r="D84" s="54" t="s">
        <v>393</v>
      </c>
      <c r="E84" s="54"/>
    </row>
    <row r="85" spans="1:5" x14ac:dyDescent="0.25">
      <c r="A85" s="73">
        <v>78</v>
      </c>
      <c r="B85" s="61">
        <v>286</v>
      </c>
      <c r="C85" s="62" t="s">
        <v>205</v>
      </c>
      <c r="D85" s="74"/>
      <c r="E85" s="74" t="s">
        <v>395</v>
      </c>
    </row>
    <row r="86" spans="1:5" x14ac:dyDescent="0.25">
      <c r="A86" s="75">
        <v>79</v>
      </c>
      <c r="B86" s="63">
        <v>287</v>
      </c>
      <c r="C86" s="64" t="s">
        <v>206</v>
      </c>
      <c r="D86" s="76" t="s">
        <v>397</v>
      </c>
      <c r="E86" s="76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zoomScaleNormal="100" workbookViewId="0">
      <selection activeCell="B8" sqref="B8:C36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85546875" style="47" customWidth="1"/>
    <col min="5" max="5" width="14.140625" style="47" customWidth="1"/>
    <col min="6" max="16384" width="9.140625" style="47"/>
  </cols>
  <sheetData>
    <row r="1" spans="1:5" x14ac:dyDescent="0.25">
      <c r="A1" s="153" t="s">
        <v>171</v>
      </c>
      <c r="B1" s="153"/>
      <c r="C1" s="153"/>
      <c r="D1" s="153"/>
      <c r="E1" s="153"/>
    </row>
    <row r="2" spans="1:5" x14ac:dyDescent="0.25">
      <c r="A2" s="153" t="s">
        <v>522</v>
      </c>
      <c r="B2" s="153"/>
      <c r="C2" s="153"/>
      <c r="D2" s="153"/>
      <c r="E2" s="153"/>
    </row>
    <row r="3" spans="1:5" x14ac:dyDescent="0.25">
      <c r="A3" s="153" t="s">
        <v>235</v>
      </c>
      <c r="B3" s="153"/>
      <c r="C3" s="153"/>
      <c r="D3" s="153"/>
      <c r="E3" s="153"/>
    </row>
    <row r="4" spans="1:5" x14ac:dyDescent="0.25">
      <c r="A4" s="48"/>
      <c r="B4" s="48"/>
      <c r="C4" s="48"/>
      <c r="D4" s="48"/>
      <c r="E4" s="48"/>
    </row>
    <row r="5" spans="1:5" x14ac:dyDescent="0.25">
      <c r="D5" s="154" t="s">
        <v>488</v>
      </c>
      <c r="E5" s="154"/>
    </row>
    <row r="6" spans="1:5" x14ac:dyDescent="0.25">
      <c r="A6" s="149" t="s">
        <v>237</v>
      </c>
      <c r="B6" s="149"/>
      <c r="C6" s="149" t="s">
        <v>238</v>
      </c>
      <c r="D6" s="149" t="s">
        <v>239</v>
      </c>
      <c r="E6" s="149"/>
    </row>
    <row r="7" spans="1:5" ht="17.25" customHeight="1" x14ac:dyDescent="0.25">
      <c r="A7" s="50" t="s">
        <v>6</v>
      </c>
      <c r="B7" s="50" t="s">
        <v>240</v>
      </c>
      <c r="C7" s="149"/>
      <c r="D7" s="149"/>
      <c r="E7" s="149"/>
    </row>
    <row r="8" spans="1:5" ht="24.75" customHeight="1" x14ac:dyDescent="0.25">
      <c r="A8" s="51">
        <v>1</v>
      </c>
      <c r="B8" s="51">
        <v>70</v>
      </c>
      <c r="C8" s="52" t="s">
        <v>489</v>
      </c>
      <c r="D8" s="52" t="s">
        <v>242</v>
      </c>
      <c r="E8" s="52"/>
    </row>
    <row r="9" spans="1:5" x14ac:dyDescent="0.25">
      <c r="A9" s="53">
        <v>2</v>
      </c>
      <c r="B9" s="53">
        <v>73</v>
      </c>
      <c r="C9" s="54" t="s">
        <v>490</v>
      </c>
      <c r="D9" s="54"/>
      <c r="E9" s="54" t="s">
        <v>244</v>
      </c>
    </row>
    <row r="10" spans="1:5" x14ac:dyDescent="0.25">
      <c r="A10" s="53">
        <v>3</v>
      </c>
      <c r="B10" s="53">
        <v>79</v>
      </c>
      <c r="C10" s="54" t="s">
        <v>491</v>
      </c>
      <c r="D10" s="54" t="s">
        <v>246</v>
      </c>
      <c r="E10" s="54"/>
    </row>
    <row r="11" spans="1:5" x14ac:dyDescent="0.25">
      <c r="A11" s="53">
        <v>4</v>
      </c>
      <c r="B11" s="53">
        <v>80</v>
      </c>
      <c r="C11" s="54" t="s">
        <v>492</v>
      </c>
      <c r="D11" s="54"/>
      <c r="E11" s="54" t="s">
        <v>248</v>
      </c>
    </row>
    <row r="12" spans="1:5" x14ac:dyDescent="0.25">
      <c r="A12" s="53">
        <v>5</v>
      </c>
      <c r="B12" s="53">
        <v>82</v>
      </c>
      <c r="C12" s="54" t="s">
        <v>493</v>
      </c>
      <c r="D12" s="54" t="s">
        <v>250</v>
      </c>
      <c r="E12" s="54"/>
    </row>
    <row r="13" spans="1:5" x14ac:dyDescent="0.25">
      <c r="A13" s="53">
        <v>6</v>
      </c>
      <c r="B13" s="53">
        <v>83</v>
      </c>
      <c r="C13" s="54" t="s">
        <v>494</v>
      </c>
      <c r="D13" s="74"/>
      <c r="E13" s="74" t="s">
        <v>252</v>
      </c>
    </row>
    <row r="14" spans="1:5" x14ac:dyDescent="0.25">
      <c r="A14" s="53">
        <v>7</v>
      </c>
      <c r="B14" s="53">
        <v>88</v>
      </c>
      <c r="C14" s="54" t="s">
        <v>495</v>
      </c>
      <c r="D14" s="74" t="s">
        <v>254</v>
      </c>
      <c r="E14" s="74"/>
    </row>
    <row r="15" spans="1:5" x14ac:dyDescent="0.25">
      <c r="A15" s="53">
        <v>8</v>
      </c>
      <c r="B15" s="53">
        <v>107</v>
      </c>
      <c r="C15" s="54" t="s">
        <v>496</v>
      </c>
      <c r="D15" s="54"/>
      <c r="E15" s="54" t="s">
        <v>256</v>
      </c>
    </row>
    <row r="16" spans="1:5" x14ac:dyDescent="0.25">
      <c r="A16" s="53">
        <v>9</v>
      </c>
      <c r="B16" s="53">
        <v>116</v>
      </c>
      <c r="C16" s="54" t="s">
        <v>497</v>
      </c>
      <c r="D16" s="54" t="s">
        <v>258</v>
      </c>
      <c r="E16" s="54"/>
    </row>
    <row r="17" spans="1:5" x14ac:dyDescent="0.25">
      <c r="A17" s="53">
        <v>10</v>
      </c>
      <c r="B17" s="53">
        <v>122</v>
      </c>
      <c r="C17" s="54" t="s">
        <v>498</v>
      </c>
      <c r="D17" s="54"/>
      <c r="E17" s="54" t="s">
        <v>260</v>
      </c>
    </row>
    <row r="18" spans="1:5" x14ac:dyDescent="0.25">
      <c r="A18" s="53">
        <v>11</v>
      </c>
      <c r="B18" s="53">
        <v>149</v>
      </c>
      <c r="C18" s="54" t="s">
        <v>499</v>
      </c>
      <c r="D18" s="54" t="s">
        <v>262</v>
      </c>
      <c r="E18" s="54"/>
    </row>
    <row r="19" spans="1:5" x14ac:dyDescent="0.25">
      <c r="A19" s="53">
        <v>12</v>
      </c>
      <c r="B19" s="53">
        <v>131</v>
      </c>
      <c r="C19" s="54" t="s">
        <v>500</v>
      </c>
      <c r="D19" s="74"/>
      <c r="E19" s="74" t="s">
        <v>264</v>
      </c>
    </row>
    <row r="20" spans="1:5" x14ac:dyDescent="0.25">
      <c r="A20" s="53">
        <v>13</v>
      </c>
      <c r="B20" s="53">
        <v>132</v>
      </c>
      <c r="C20" s="54" t="s">
        <v>501</v>
      </c>
      <c r="D20" s="74" t="s">
        <v>266</v>
      </c>
      <c r="E20" s="74"/>
    </row>
    <row r="21" spans="1:5" x14ac:dyDescent="0.25">
      <c r="A21" s="53">
        <v>14</v>
      </c>
      <c r="B21" s="53">
        <v>138</v>
      </c>
      <c r="C21" s="54" t="s">
        <v>502</v>
      </c>
      <c r="D21" s="54"/>
      <c r="E21" s="54" t="s">
        <v>268</v>
      </c>
    </row>
    <row r="22" spans="1:5" x14ac:dyDescent="0.25">
      <c r="A22" s="53">
        <v>15</v>
      </c>
      <c r="B22" s="53">
        <v>156</v>
      </c>
      <c r="C22" s="54" t="s">
        <v>503</v>
      </c>
      <c r="D22" s="54" t="s">
        <v>269</v>
      </c>
      <c r="E22" s="54"/>
    </row>
    <row r="23" spans="1:5" x14ac:dyDescent="0.25">
      <c r="A23" s="53">
        <v>16</v>
      </c>
      <c r="B23" s="53">
        <v>158</v>
      </c>
      <c r="C23" s="54" t="s">
        <v>504</v>
      </c>
      <c r="D23" s="54"/>
      <c r="E23" s="54" t="s">
        <v>271</v>
      </c>
    </row>
    <row r="24" spans="1:5" x14ac:dyDescent="0.25">
      <c r="A24" s="53">
        <v>17</v>
      </c>
      <c r="B24" s="53">
        <v>184</v>
      </c>
      <c r="C24" s="54" t="s">
        <v>505</v>
      </c>
      <c r="D24" s="54" t="s">
        <v>273</v>
      </c>
      <c r="E24" s="54"/>
    </row>
    <row r="25" spans="1:5" x14ac:dyDescent="0.25">
      <c r="A25" s="53">
        <v>18</v>
      </c>
      <c r="B25" s="53">
        <v>186</v>
      </c>
      <c r="C25" s="54" t="s">
        <v>506</v>
      </c>
      <c r="D25" s="74"/>
      <c r="E25" s="74" t="s">
        <v>275</v>
      </c>
    </row>
    <row r="26" spans="1:5" x14ac:dyDescent="0.25">
      <c r="A26" s="53">
        <v>19</v>
      </c>
      <c r="B26" s="53">
        <v>211</v>
      </c>
      <c r="C26" s="54" t="s">
        <v>507</v>
      </c>
      <c r="D26" s="74" t="s">
        <v>277</v>
      </c>
      <c r="E26" s="74"/>
    </row>
    <row r="27" spans="1:5" x14ac:dyDescent="0.25">
      <c r="A27" s="53">
        <v>20</v>
      </c>
      <c r="B27" s="53">
        <v>212</v>
      </c>
      <c r="C27" s="54" t="s">
        <v>508</v>
      </c>
      <c r="D27" s="54"/>
      <c r="E27" s="54" t="s">
        <v>279</v>
      </c>
    </row>
    <row r="28" spans="1:5" x14ac:dyDescent="0.25">
      <c r="A28" s="53">
        <v>21</v>
      </c>
      <c r="B28" s="53">
        <v>238</v>
      </c>
      <c r="C28" s="54" t="s">
        <v>509</v>
      </c>
      <c r="D28" s="54" t="s">
        <v>281</v>
      </c>
      <c r="E28" s="54"/>
    </row>
    <row r="29" spans="1:5" x14ac:dyDescent="0.25">
      <c r="A29" s="53">
        <v>22</v>
      </c>
      <c r="B29" s="53">
        <v>241</v>
      </c>
      <c r="C29" s="54" t="s">
        <v>510</v>
      </c>
      <c r="D29" s="54"/>
      <c r="E29" s="54" t="s">
        <v>283</v>
      </c>
    </row>
    <row r="30" spans="1:5" x14ac:dyDescent="0.25">
      <c r="A30" s="53">
        <v>23</v>
      </c>
      <c r="B30" s="53">
        <v>255</v>
      </c>
      <c r="C30" s="54" t="s">
        <v>511</v>
      </c>
      <c r="D30" s="54" t="s">
        <v>285</v>
      </c>
      <c r="E30" s="54"/>
    </row>
    <row r="31" spans="1:5" x14ac:dyDescent="0.25">
      <c r="A31" s="53">
        <v>24</v>
      </c>
      <c r="B31" s="53">
        <v>256</v>
      </c>
      <c r="C31" s="54" t="s">
        <v>512</v>
      </c>
      <c r="D31" s="74"/>
      <c r="E31" s="74" t="s">
        <v>287</v>
      </c>
    </row>
    <row r="32" spans="1:5" x14ac:dyDescent="0.25">
      <c r="A32" s="53">
        <v>25</v>
      </c>
      <c r="B32" s="53">
        <v>262</v>
      </c>
      <c r="C32" s="54" t="s">
        <v>513</v>
      </c>
      <c r="D32" s="74" t="s">
        <v>289</v>
      </c>
      <c r="E32" s="74"/>
    </row>
    <row r="33" spans="1:5" x14ac:dyDescent="0.25">
      <c r="A33" s="53">
        <v>26</v>
      </c>
      <c r="B33" s="53">
        <v>271</v>
      </c>
      <c r="C33" s="54" t="s">
        <v>514</v>
      </c>
      <c r="D33" s="54"/>
      <c r="E33" s="54" t="s">
        <v>291</v>
      </c>
    </row>
    <row r="34" spans="1:5" x14ac:dyDescent="0.25">
      <c r="A34" s="53">
        <v>27</v>
      </c>
      <c r="B34" s="53">
        <v>272</v>
      </c>
      <c r="C34" s="54" t="s">
        <v>515</v>
      </c>
      <c r="D34" s="54" t="s">
        <v>293</v>
      </c>
      <c r="E34" s="54"/>
    </row>
    <row r="35" spans="1:5" x14ac:dyDescent="0.25">
      <c r="A35" s="53">
        <v>28</v>
      </c>
      <c r="B35" s="53">
        <v>273</v>
      </c>
      <c r="C35" s="54" t="s">
        <v>516</v>
      </c>
      <c r="D35" s="54"/>
      <c r="E35" s="54" t="s">
        <v>295</v>
      </c>
    </row>
    <row r="36" spans="1:5" x14ac:dyDescent="0.25">
      <c r="A36" s="70">
        <v>29</v>
      </c>
      <c r="B36" s="55">
        <v>281</v>
      </c>
      <c r="C36" s="56" t="s">
        <v>518</v>
      </c>
      <c r="D36" s="72" t="s">
        <v>297</v>
      </c>
      <c r="E36" s="56"/>
    </row>
    <row r="39" spans="1:5" x14ac:dyDescent="0.25">
      <c r="D39" s="83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Normal="100" workbookViewId="0">
      <selection activeCell="B3" sqref="B3"/>
    </sheetView>
  </sheetViews>
  <sheetFormatPr defaultRowHeight="15" x14ac:dyDescent="0.25"/>
  <cols>
    <col min="1" max="1" width="8.42578125" style="49" customWidth="1"/>
    <col min="2" max="2" width="20" style="47" customWidth="1"/>
    <col min="3" max="3" width="9.140625" style="47"/>
    <col min="4" max="4" width="20.7109375" style="47" customWidth="1"/>
    <col min="5" max="5" width="9.140625" style="47"/>
    <col min="6" max="6" width="22.140625" style="47" bestFit="1" customWidth="1"/>
    <col min="7" max="16384" width="9.140625" style="47"/>
  </cols>
  <sheetData>
    <row r="1" spans="1:6" ht="39.75" customHeight="1" x14ac:dyDescent="0.25">
      <c r="A1" s="158" t="s">
        <v>415</v>
      </c>
      <c r="B1" s="158"/>
      <c r="C1" s="158" t="s">
        <v>236</v>
      </c>
      <c r="D1" s="158"/>
      <c r="E1" s="158" t="s">
        <v>488</v>
      </c>
      <c r="F1" s="158"/>
    </row>
    <row r="3" spans="1:6" ht="69.95" customHeight="1" x14ac:dyDescent="0.25">
      <c r="A3" s="85">
        <v>75</v>
      </c>
      <c r="B3" s="92" t="s">
        <v>416</v>
      </c>
      <c r="C3" s="85">
        <v>2</v>
      </c>
      <c r="D3" s="92" t="s">
        <v>241</v>
      </c>
      <c r="E3" s="85">
        <v>70</v>
      </c>
      <c r="F3" s="86" t="s">
        <v>489</v>
      </c>
    </row>
    <row r="4" spans="1:6" ht="69.95" customHeight="1" x14ac:dyDescent="0.25">
      <c r="A4" s="85">
        <v>76</v>
      </c>
      <c r="B4" s="92" t="s">
        <v>417</v>
      </c>
      <c r="C4" s="85">
        <v>250</v>
      </c>
      <c r="D4" s="92" t="s">
        <v>243</v>
      </c>
      <c r="E4" s="85">
        <v>73</v>
      </c>
      <c r="F4" s="86" t="s">
        <v>490</v>
      </c>
    </row>
    <row r="5" spans="1:6" ht="69.95" customHeight="1" x14ac:dyDescent="0.25">
      <c r="A5" s="85">
        <v>95</v>
      </c>
      <c r="B5" s="92" t="s">
        <v>418</v>
      </c>
      <c r="C5" s="85">
        <v>4</v>
      </c>
      <c r="D5" s="92" t="s">
        <v>245</v>
      </c>
      <c r="E5" s="85">
        <v>79</v>
      </c>
      <c r="F5" s="86" t="s">
        <v>491</v>
      </c>
    </row>
    <row r="6" spans="1:6" ht="69.95" customHeight="1" x14ac:dyDescent="0.25">
      <c r="A6" s="85">
        <v>98</v>
      </c>
      <c r="B6" s="92" t="s">
        <v>419</v>
      </c>
      <c r="C6" s="85">
        <v>148</v>
      </c>
      <c r="D6" s="92" t="s">
        <v>247</v>
      </c>
      <c r="E6" s="85">
        <v>80</v>
      </c>
      <c r="F6" s="86" t="s">
        <v>492</v>
      </c>
    </row>
    <row r="7" spans="1:6" ht="69.95" customHeight="1" x14ac:dyDescent="0.25">
      <c r="A7" s="85">
        <v>102</v>
      </c>
      <c r="B7" s="92" t="s">
        <v>420</v>
      </c>
      <c r="C7" s="85">
        <v>5</v>
      </c>
      <c r="D7" s="92" t="s">
        <v>249</v>
      </c>
      <c r="E7" s="85">
        <v>82</v>
      </c>
      <c r="F7" s="86" t="s">
        <v>493</v>
      </c>
    </row>
    <row r="8" spans="1:6" ht="69.95" customHeight="1" x14ac:dyDescent="0.25">
      <c r="A8" s="90">
        <v>106</v>
      </c>
      <c r="B8" s="91" t="s">
        <v>421</v>
      </c>
      <c r="C8" s="85">
        <v>141</v>
      </c>
      <c r="D8" s="92" t="s">
        <v>251</v>
      </c>
      <c r="E8" s="85">
        <v>83</v>
      </c>
      <c r="F8" s="86" t="s">
        <v>494</v>
      </c>
    </row>
    <row r="9" spans="1:6" ht="69.95" customHeight="1" x14ac:dyDescent="0.25">
      <c r="A9" s="90">
        <v>117</v>
      </c>
      <c r="B9" s="91" t="s">
        <v>422</v>
      </c>
      <c r="C9" s="85">
        <v>7</v>
      </c>
      <c r="D9" s="92" t="s">
        <v>253</v>
      </c>
      <c r="E9" s="85">
        <v>88</v>
      </c>
      <c r="F9" s="86" t="s">
        <v>495</v>
      </c>
    </row>
    <row r="10" spans="1:6" ht="69.95" customHeight="1" x14ac:dyDescent="0.25">
      <c r="A10" s="90">
        <v>118</v>
      </c>
      <c r="B10" s="91" t="s">
        <v>423</v>
      </c>
      <c r="C10" s="85">
        <v>10</v>
      </c>
      <c r="D10" s="92" t="s">
        <v>255</v>
      </c>
      <c r="E10" s="85">
        <v>107</v>
      </c>
      <c r="F10" s="86" t="s">
        <v>496</v>
      </c>
    </row>
    <row r="11" spans="1:6" ht="69.95" customHeight="1" x14ac:dyDescent="0.25">
      <c r="A11" s="90">
        <v>119</v>
      </c>
      <c r="B11" s="91" t="s">
        <v>424</v>
      </c>
      <c r="C11" s="85">
        <v>160</v>
      </c>
      <c r="D11" s="92" t="s">
        <v>257</v>
      </c>
      <c r="E11" s="85">
        <v>116</v>
      </c>
      <c r="F11" s="86" t="s">
        <v>497</v>
      </c>
    </row>
    <row r="12" spans="1:6" ht="69.95" customHeight="1" x14ac:dyDescent="0.25">
      <c r="A12" s="90">
        <v>123</v>
      </c>
      <c r="B12" s="91" t="s">
        <v>425</v>
      </c>
      <c r="C12" s="85">
        <v>11</v>
      </c>
      <c r="D12" s="92" t="s">
        <v>259</v>
      </c>
      <c r="E12" s="85">
        <v>122</v>
      </c>
      <c r="F12" s="86" t="s">
        <v>498</v>
      </c>
    </row>
    <row r="13" spans="1:6" ht="69.95" customHeight="1" x14ac:dyDescent="0.25">
      <c r="A13" s="90">
        <v>124</v>
      </c>
      <c r="B13" s="91" t="s">
        <v>426</v>
      </c>
      <c r="C13" s="85">
        <v>18</v>
      </c>
      <c r="D13" s="92" t="s">
        <v>261</v>
      </c>
      <c r="E13" s="85">
        <v>149</v>
      </c>
      <c r="F13" s="86" t="s">
        <v>499</v>
      </c>
    </row>
    <row r="14" spans="1:6" ht="69.95" customHeight="1" x14ac:dyDescent="0.25">
      <c r="A14" s="90">
        <v>129</v>
      </c>
      <c r="B14" s="91" t="s">
        <v>427</v>
      </c>
      <c r="C14" s="85">
        <v>145</v>
      </c>
      <c r="D14" s="92" t="s">
        <v>263</v>
      </c>
      <c r="E14" s="85">
        <v>131</v>
      </c>
      <c r="F14" s="86" t="s">
        <v>500</v>
      </c>
    </row>
    <row r="15" spans="1:6" ht="69.95" customHeight="1" x14ac:dyDescent="0.25">
      <c r="A15" s="90">
        <v>130</v>
      </c>
      <c r="B15" s="91" t="s">
        <v>428</v>
      </c>
      <c r="C15" s="85">
        <v>19</v>
      </c>
      <c r="D15" s="92" t="s">
        <v>265</v>
      </c>
      <c r="E15" s="85">
        <v>132</v>
      </c>
      <c r="F15" s="86" t="s">
        <v>501</v>
      </c>
    </row>
    <row r="16" spans="1:6" ht="69.95" customHeight="1" x14ac:dyDescent="0.25">
      <c r="A16" s="90">
        <v>143</v>
      </c>
      <c r="B16" s="91" t="s">
        <v>429</v>
      </c>
      <c r="C16" s="85">
        <v>234</v>
      </c>
      <c r="D16" s="92" t="s">
        <v>267</v>
      </c>
      <c r="E16" s="85">
        <v>138</v>
      </c>
      <c r="F16" s="86" t="s">
        <v>502</v>
      </c>
    </row>
    <row r="17" spans="1:6" ht="69.95" customHeight="1" x14ac:dyDescent="0.25">
      <c r="A17" s="90">
        <v>150</v>
      </c>
      <c r="B17" s="91" t="s">
        <v>430</v>
      </c>
      <c r="C17" s="85">
        <v>59</v>
      </c>
      <c r="D17" s="92" t="s">
        <v>270</v>
      </c>
      <c r="E17" s="85">
        <v>156</v>
      </c>
      <c r="F17" s="86" t="s">
        <v>503</v>
      </c>
    </row>
    <row r="18" spans="1:6" ht="69.95" customHeight="1" x14ac:dyDescent="0.25">
      <c r="A18" s="90">
        <v>151</v>
      </c>
      <c r="B18" s="91" t="s">
        <v>431</v>
      </c>
      <c r="C18" s="85">
        <v>21</v>
      </c>
      <c r="D18" s="92" t="s">
        <v>272</v>
      </c>
      <c r="E18" s="85">
        <v>158</v>
      </c>
      <c r="F18" s="86" t="s">
        <v>504</v>
      </c>
    </row>
    <row r="19" spans="1:6" ht="69.95" customHeight="1" x14ac:dyDescent="0.25">
      <c r="A19" s="90">
        <v>152</v>
      </c>
      <c r="B19" s="91" t="s">
        <v>432</v>
      </c>
      <c r="C19" s="85">
        <v>22</v>
      </c>
      <c r="D19" s="92" t="s">
        <v>274</v>
      </c>
      <c r="E19" s="85">
        <v>184</v>
      </c>
      <c r="F19" s="86" t="s">
        <v>505</v>
      </c>
    </row>
    <row r="20" spans="1:6" ht="69.95" customHeight="1" x14ac:dyDescent="0.25">
      <c r="A20" s="90">
        <v>153</v>
      </c>
      <c r="B20" s="91" t="s">
        <v>433</v>
      </c>
      <c r="C20" s="85">
        <v>23</v>
      </c>
      <c r="D20" s="92" t="s">
        <v>276</v>
      </c>
      <c r="E20" s="85">
        <v>186</v>
      </c>
      <c r="F20" s="86" t="s">
        <v>506</v>
      </c>
    </row>
    <row r="21" spans="1:6" ht="69.95" customHeight="1" x14ac:dyDescent="0.25">
      <c r="A21" s="90">
        <v>155</v>
      </c>
      <c r="B21" s="91" t="s">
        <v>434</v>
      </c>
      <c r="C21" s="85">
        <v>34</v>
      </c>
      <c r="D21" s="92" t="s">
        <v>278</v>
      </c>
      <c r="E21" s="85">
        <v>211</v>
      </c>
      <c r="F21" s="86" t="s">
        <v>507</v>
      </c>
    </row>
    <row r="22" spans="1:6" ht="69.95" customHeight="1" x14ac:dyDescent="0.25">
      <c r="A22" s="90">
        <v>159</v>
      </c>
      <c r="B22" s="91" t="s">
        <v>435</v>
      </c>
      <c r="C22" s="85">
        <v>24</v>
      </c>
      <c r="D22" s="92" t="s">
        <v>280</v>
      </c>
      <c r="E22" s="85">
        <v>212</v>
      </c>
      <c r="F22" s="86" t="s">
        <v>508</v>
      </c>
    </row>
    <row r="23" spans="1:6" ht="69.95" customHeight="1" x14ac:dyDescent="0.25">
      <c r="A23" s="90">
        <v>161</v>
      </c>
      <c r="B23" s="91" t="s">
        <v>436</v>
      </c>
      <c r="C23" s="85">
        <v>25</v>
      </c>
      <c r="D23" s="92" t="s">
        <v>282</v>
      </c>
      <c r="E23" s="85">
        <v>238</v>
      </c>
      <c r="F23" s="86" t="s">
        <v>509</v>
      </c>
    </row>
    <row r="24" spans="1:6" ht="69.95" customHeight="1" x14ac:dyDescent="0.25">
      <c r="A24" s="90">
        <v>164</v>
      </c>
      <c r="B24" s="91" t="s">
        <v>437</v>
      </c>
      <c r="C24" s="85">
        <v>26</v>
      </c>
      <c r="D24" s="92" t="s">
        <v>284</v>
      </c>
      <c r="E24" s="85">
        <v>241</v>
      </c>
      <c r="F24" s="86" t="s">
        <v>510</v>
      </c>
    </row>
    <row r="25" spans="1:6" ht="69.95" customHeight="1" x14ac:dyDescent="0.25">
      <c r="A25" s="90">
        <v>166</v>
      </c>
      <c r="B25" s="91" t="s">
        <v>438</v>
      </c>
      <c r="C25" s="85">
        <v>27</v>
      </c>
      <c r="D25" s="92" t="s">
        <v>286</v>
      </c>
      <c r="E25" s="85">
        <v>255</v>
      </c>
      <c r="F25" s="86" t="s">
        <v>511</v>
      </c>
    </row>
    <row r="26" spans="1:6" ht="69.95" customHeight="1" x14ac:dyDescent="0.25">
      <c r="A26" s="90">
        <v>167</v>
      </c>
      <c r="B26" s="91" t="s">
        <v>439</v>
      </c>
      <c r="C26" s="85">
        <v>190</v>
      </c>
      <c r="D26" s="92" t="s">
        <v>288</v>
      </c>
      <c r="E26" s="85">
        <v>256</v>
      </c>
      <c r="F26" s="86" t="s">
        <v>512</v>
      </c>
    </row>
    <row r="27" spans="1:6" ht="69.95" customHeight="1" x14ac:dyDescent="0.25">
      <c r="A27" s="90">
        <v>169</v>
      </c>
      <c r="B27" s="91" t="s">
        <v>440</v>
      </c>
      <c r="C27" s="85">
        <v>28</v>
      </c>
      <c r="D27" s="92" t="s">
        <v>290</v>
      </c>
      <c r="E27" s="85">
        <v>262</v>
      </c>
      <c r="F27" s="86" t="s">
        <v>513</v>
      </c>
    </row>
    <row r="28" spans="1:6" ht="69.95" customHeight="1" x14ac:dyDescent="0.25">
      <c r="A28" s="90">
        <v>175</v>
      </c>
      <c r="B28" s="91" t="s">
        <v>441</v>
      </c>
      <c r="C28" s="85">
        <v>50</v>
      </c>
      <c r="D28" s="92" t="s">
        <v>292</v>
      </c>
      <c r="E28" s="85">
        <v>271</v>
      </c>
      <c r="F28" s="86" t="s">
        <v>514</v>
      </c>
    </row>
    <row r="29" spans="1:6" ht="69.95" customHeight="1" x14ac:dyDescent="0.25">
      <c r="A29" s="90">
        <v>176</v>
      </c>
      <c r="B29" s="91" t="s">
        <v>442</v>
      </c>
      <c r="C29" s="85">
        <v>29</v>
      </c>
      <c r="D29" s="92" t="s">
        <v>294</v>
      </c>
      <c r="E29" s="85">
        <v>272</v>
      </c>
      <c r="F29" s="86" t="s">
        <v>515</v>
      </c>
    </row>
    <row r="30" spans="1:6" ht="69.95" customHeight="1" x14ac:dyDescent="0.25">
      <c r="A30" s="90">
        <v>178</v>
      </c>
      <c r="B30" s="91" t="s">
        <v>443</v>
      </c>
      <c r="C30" s="85">
        <v>137</v>
      </c>
      <c r="D30" s="92" t="s">
        <v>296</v>
      </c>
      <c r="E30" s="85">
        <v>273</v>
      </c>
      <c r="F30" s="86" t="s">
        <v>516</v>
      </c>
    </row>
    <row r="31" spans="1:6" ht="69.95" customHeight="1" x14ac:dyDescent="0.25">
      <c r="A31" s="90">
        <v>194</v>
      </c>
      <c r="B31" s="91" t="s">
        <v>444</v>
      </c>
      <c r="C31" s="85">
        <v>31</v>
      </c>
      <c r="D31" s="92" t="s">
        <v>298</v>
      </c>
      <c r="E31" s="85">
        <v>281</v>
      </c>
      <c r="F31" s="86" t="s">
        <v>518</v>
      </c>
    </row>
    <row r="32" spans="1:6" ht="69.95" customHeight="1" x14ac:dyDescent="0.25">
      <c r="A32" s="90">
        <v>197</v>
      </c>
      <c r="B32" s="91" t="s">
        <v>445</v>
      </c>
      <c r="C32" s="85">
        <v>33</v>
      </c>
      <c r="D32" s="86" t="s">
        <v>300</v>
      </c>
      <c r="E32" s="93"/>
      <c r="F32" s="93"/>
    </row>
    <row r="33" spans="1:6" ht="69.95" customHeight="1" x14ac:dyDescent="0.25">
      <c r="A33" s="90">
        <v>199</v>
      </c>
      <c r="B33" s="91" t="s">
        <v>446</v>
      </c>
      <c r="C33" s="85">
        <v>183</v>
      </c>
      <c r="D33" s="86" t="s">
        <v>302</v>
      </c>
      <c r="E33" s="93"/>
      <c r="F33" s="93"/>
    </row>
    <row r="34" spans="1:6" ht="69.95" customHeight="1" x14ac:dyDescent="0.25">
      <c r="A34" s="90">
        <v>200</v>
      </c>
      <c r="B34" s="91" t="s">
        <v>447</v>
      </c>
      <c r="C34" s="85">
        <v>35</v>
      </c>
      <c r="D34" s="86" t="s">
        <v>304</v>
      </c>
      <c r="E34" s="93"/>
      <c r="F34" s="93"/>
    </row>
    <row r="35" spans="1:6" ht="69.95" customHeight="1" x14ac:dyDescent="0.25">
      <c r="A35" s="90">
        <v>201</v>
      </c>
      <c r="B35" s="91" t="s">
        <v>448</v>
      </c>
      <c r="C35" s="85">
        <v>36</v>
      </c>
      <c r="D35" s="86" t="s">
        <v>306</v>
      </c>
      <c r="E35" s="93"/>
      <c r="F35" s="93"/>
    </row>
    <row r="36" spans="1:6" ht="69.95" customHeight="1" x14ac:dyDescent="0.25">
      <c r="A36" s="90">
        <v>202</v>
      </c>
      <c r="B36" s="91" t="s">
        <v>449</v>
      </c>
      <c r="C36" s="85">
        <v>163</v>
      </c>
      <c r="D36" s="86" t="s">
        <v>308</v>
      </c>
      <c r="E36" s="93"/>
      <c r="F36" s="93"/>
    </row>
    <row r="37" spans="1:6" ht="69.95" customHeight="1" x14ac:dyDescent="0.25">
      <c r="A37" s="90">
        <v>203</v>
      </c>
      <c r="B37" s="91" t="s">
        <v>450</v>
      </c>
      <c r="C37" s="85">
        <v>37</v>
      </c>
      <c r="D37" s="86" t="s">
        <v>310</v>
      </c>
      <c r="E37" s="93"/>
      <c r="F37" s="93"/>
    </row>
    <row r="38" spans="1:6" ht="69.95" customHeight="1" x14ac:dyDescent="0.25">
      <c r="A38" s="90">
        <v>204</v>
      </c>
      <c r="B38" s="91" t="s">
        <v>451</v>
      </c>
      <c r="C38" s="85">
        <v>207</v>
      </c>
      <c r="D38" s="86" t="s">
        <v>312</v>
      </c>
      <c r="E38" s="93"/>
      <c r="F38" s="93"/>
    </row>
    <row r="39" spans="1:6" ht="69.95" customHeight="1" x14ac:dyDescent="0.25">
      <c r="A39" s="90">
        <v>205</v>
      </c>
      <c r="B39" s="91" t="s">
        <v>452</v>
      </c>
      <c r="C39" s="85">
        <v>38</v>
      </c>
      <c r="D39" s="86" t="s">
        <v>314</v>
      </c>
      <c r="E39" s="93"/>
      <c r="F39" s="93"/>
    </row>
    <row r="40" spans="1:6" ht="69.95" customHeight="1" x14ac:dyDescent="0.25">
      <c r="A40" s="90">
        <v>206</v>
      </c>
      <c r="B40" s="91" t="s">
        <v>453</v>
      </c>
      <c r="C40" s="85">
        <v>195</v>
      </c>
      <c r="D40" s="86" t="s">
        <v>316</v>
      </c>
      <c r="E40" s="93"/>
      <c r="F40" s="93"/>
    </row>
    <row r="41" spans="1:6" ht="69.95" customHeight="1" x14ac:dyDescent="0.25">
      <c r="A41" s="90">
        <v>208</v>
      </c>
      <c r="B41" s="91" t="s">
        <v>454</v>
      </c>
      <c r="C41" s="85">
        <v>39</v>
      </c>
      <c r="D41" s="86" t="s">
        <v>318</v>
      </c>
      <c r="E41" s="93"/>
      <c r="F41" s="93"/>
    </row>
    <row r="42" spans="1:6" ht="69.95" customHeight="1" x14ac:dyDescent="0.25">
      <c r="A42" s="90">
        <v>210</v>
      </c>
      <c r="B42" s="91" t="s">
        <v>455</v>
      </c>
      <c r="C42" s="85">
        <v>172</v>
      </c>
      <c r="D42" s="86" t="s">
        <v>320</v>
      </c>
      <c r="E42" s="93"/>
      <c r="F42" s="93"/>
    </row>
    <row r="43" spans="1:6" ht="69.95" customHeight="1" x14ac:dyDescent="0.25">
      <c r="A43" s="90">
        <v>216</v>
      </c>
      <c r="B43" s="91" t="s">
        <v>456</v>
      </c>
      <c r="C43" s="85">
        <v>40</v>
      </c>
      <c r="D43" s="86" t="s">
        <v>322</v>
      </c>
      <c r="E43" s="93"/>
      <c r="F43" s="93"/>
    </row>
    <row r="44" spans="1:6" ht="69.95" customHeight="1" x14ac:dyDescent="0.25">
      <c r="A44" s="90">
        <v>217</v>
      </c>
      <c r="B44" s="91" t="s">
        <v>457</v>
      </c>
      <c r="C44" s="85">
        <v>41</v>
      </c>
      <c r="D44" s="86" t="s">
        <v>324</v>
      </c>
      <c r="E44" s="93"/>
      <c r="F44" s="93"/>
    </row>
    <row r="45" spans="1:6" ht="69.95" customHeight="1" x14ac:dyDescent="0.25">
      <c r="A45" s="90">
        <v>218</v>
      </c>
      <c r="B45" s="91" t="s">
        <v>458</v>
      </c>
      <c r="C45" s="85">
        <v>181</v>
      </c>
      <c r="D45" s="86" t="s">
        <v>326</v>
      </c>
      <c r="E45" s="93"/>
      <c r="F45" s="93"/>
    </row>
    <row r="46" spans="1:6" ht="69.95" customHeight="1" x14ac:dyDescent="0.25">
      <c r="A46" s="90">
        <v>222</v>
      </c>
      <c r="B46" s="91" t="s">
        <v>459</v>
      </c>
      <c r="C46" s="85">
        <v>45</v>
      </c>
      <c r="D46" s="86" t="s">
        <v>328</v>
      </c>
      <c r="E46" s="93"/>
      <c r="F46" s="93"/>
    </row>
    <row r="47" spans="1:6" ht="69.95" customHeight="1" x14ac:dyDescent="0.25">
      <c r="A47" s="90">
        <v>226</v>
      </c>
      <c r="B47" s="91" t="s">
        <v>517</v>
      </c>
      <c r="C47" s="85">
        <v>171</v>
      </c>
      <c r="D47" s="86" t="s">
        <v>330</v>
      </c>
      <c r="E47" s="93"/>
      <c r="F47" s="93"/>
    </row>
    <row r="48" spans="1:6" ht="69.95" customHeight="1" x14ac:dyDescent="0.25">
      <c r="A48" s="90">
        <v>227</v>
      </c>
      <c r="B48" s="91" t="s">
        <v>460</v>
      </c>
      <c r="C48" s="85">
        <v>46</v>
      </c>
      <c r="D48" s="86" t="s">
        <v>332</v>
      </c>
      <c r="E48" s="93"/>
      <c r="F48" s="93"/>
    </row>
    <row r="49" spans="1:6" ht="69.95" customHeight="1" x14ac:dyDescent="0.25">
      <c r="A49" s="90">
        <v>229</v>
      </c>
      <c r="B49" s="91" t="s">
        <v>461</v>
      </c>
      <c r="C49" s="85">
        <v>188</v>
      </c>
      <c r="D49" s="86" t="s">
        <v>334</v>
      </c>
      <c r="E49" s="93"/>
      <c r="F49" s="93"/>
    </row>
    <row r="50" spans="1:6" ht="69.95" customHeight="1" x14ac:dyDescent="0.25">
      <c r="A50" s="90">
        <v>230</v>
      </c>
      <c r="B50" s="91" t="s">
        <v>462</v>
      </c>
      <c r="C50" s="85">
        <v>47</v>
      </c>
      <c r="D50" s="86" t="s">
        <v>336</v>
      </c>
      <c r="E50" s="93"/>
      <c r="F50" s="93"/>
    </row>
    <row r="51" spans="1:6" ht="69.95" customHeight="1" x14ac:dyDescent="0.25">
      <c r="A51" s="90">
        <v>231</v>
      </c>
      <c r="B51" s="91" t="s">
        <v>463</v>
      </c>
      <c r="C51" s="85">
        <v>48</v>
      </c>
      <c r="D51" s="86" t="s">
        <v>338</v>
      </c>
      <c r="E51" s="93"/>
      <c r="F51" s="93"/>
    </row>
    <row r="52" spans="1:6" ht="69.95" customHeight="1" x14ac:dyDescent="0.25">
      <c r="A52" s="90">
        <v>232</v>
      </c>
      <c r="B52" s="91" t="s">
        <v>464</v>
      </c>
      <c r="C52" s="85">
        <v>51</v>
      </c>
      <c r="D52" s="86" t="s">
        <v>340</v>
      </c>
      <c r="E52" s="93"/>
      <c r="F52" s="93"/>
    </row>
    <row r="53" spans="1:6" ht="69.95" customHeight="1" x14ac:dyDescent="0.25">
      <c r="A53" s="90">
        <v>233</v>
      </c>
      <c r="B53" s="91" t="s">
        <v>465</v>
      </c>
      <c r="C53" s="85">
        <v>221</v>
      </c>
      <c r="D53" s="86" t="s">
        <v>342</v>
      </c>
      <c r="E53" s="93"/>
      <c r="F53" s="93"/>
    </row>
    <row r="54" spans="1:6" ht="69.95" customHeight="1" x14ac:dyDescent="0.25">
      <c r="A54" s="90">
        <v>235</v>
      </c>
      <c r="B54" s="91" t="s">
        <v>466</v>
      </c>
      <c r="C54" s="85">
        <v>52</v>
      </c>
      <c r="D54" s="86" t="s">
        <v>344</v>
      </c>
      <c r="E54" s="93"/>
      <c r="F54" s="93"/>
    </row>
    <row r="55" spans="1:6" ht="69.95" customHeight="1" x14ac:dyDescent="0.25">
      <c r="A55" s="90">
        <v>236</v>
      </c>
      <c r="B55" s="91" t="s">
        <v>467</v>
      </c>
      <c r="C55" s="85">
        <v>53</v>
      </c>
      <c r="D55" s="86" t="s">
        <v>346</v>
      </c>
      <c r="E55" s="93"/>
      <c r="F55" s="93"/>
    </row>
    <row r="56" spans="1:6" ht="69.95" customHeight="1" x14ac:dyDescent="0.25">
      <c r="A56" s="90">
        <v>239</v>
      </c>
      <c r="B56" s="91" t="s">
        <v>468</v>
      </c>
      <c r="C56" s="85">
        <v>54</v>
      </c>
      <c r="D56" s="86" t="s">
        <v>348</v>
      </c>
      <c r="E56" s="93"/>
      <c r="F56" s="93"/>
    </row>
    <row r="57" spans="1:6" ht="69.95" customHeight="1" x14ac:dyDescent="0.25">
      <c r="A57" s="90">
        <v>244</v>
      </c>
      <c r="B57" s="91" t="s">
        <v>469</v>
      </c>
      <c r="C57" s="85">
        <v>220</v>
      </c>
      <c r="D57" s="86" t="s">
        <v>350</v>
      </c>
      <c r="E57" s="93"/>
      <c r="F57" s="93"/>
    </row>
    <row r="58" spans="1:6" ht="69.95" customHeight="1" x14ac:dyDescent="0.25">
      <c r="A58" s="90">
        <v>245</v>
      </c>
      <c r="B58" s="91" t="s">
        <v>470</v>
      </c>
      <c r="C58" s="85">
        <v>55</v>
      </c>
      <c r="D58" s="86" t="s">
        <v>352</v>
      </c>
      <c r="E58" s="93"/>
      <c r="F58" s="93"/>
    </row>
    <row r="59" spans="1:6" ht="69.95" customHeight="1" x14ac:dyDescent="0.25">
      <c r="A59" s="90">
        <v>246</v>
      </c>
      <c r="B59" s="91" t="s">
        <v>471</v>
      </c>
      <c r="C59" s="85">
        <v>56</v>
      </c>
      <c r="D59" s="86" t="s">
        <v>354</v>
      </c>
      <c r="E59" s="93"/>
      <c r="F59" s="93"/>
    </row>
    <row r="60" spans="1:6" ht="69.95" customHeight="1" x14ac:dyDescent="0.25">
      <c r="A60" s="90">
        <v>247</v>
      </c>
      <c r="B60" s="91" t="s">
        <v>472</v>
      </c>
      <c r="C60" s="85">
        <v>67</v>
      </c>
      <c r="D60" s="86" t="s">
        <v>356</v>
      </c>
      <c r="E60" s="93"/>
      <c r="F60" s="93"/>
    </row>
    <row r="61" spans="1:6" ht="69.95" customHeight="1" x14ac:dyDescent="0.25">
      <c r="A61" s="90">
        <v>248</v>
      </c>
      <c r="B61" s="91" t="s">
        <v>473</v>
      </c>
      <c r="C61" s="85">
        <v>58</v>
      </c>
      <c r="D61" s="86" t="s">
        <v>358</v>
      </c>
      <c r="E61" s="93"/>
      <c r="F61" s="93"/>
    </row>
    <row r="62" spans="1:6" ht="69.95" customHeight="1" x14ac:dyDescent="0.25">
      <c r="A62" s="90">
        <v>249</v>
      </c>
      <c r="B62" s="91" t="s">
        <v>290</v>
      </c>
      <c r="C62" s="85">
        <v>224</v>
      </c>
      <c r="D62" s="86" t="s">
        <v>360</v>
      </c>
      <c r="E62" s="93"/>
      <c r="F62" s="93"/>
    </row>
    <row r="63" spans="1:6" ht="69.95" customHeight="1" x14ac:dyDescent="0.25">
      <c r="A63" s="90">
        <v>251</v>
      </c>
      <c r="B63" s="91" t="s">
        <v>474</v>
      </c>
      <c r="C63" s="85">
        <v>60</v>
      </c>
      <c r="D63" s="86" t="s">
        <v>362</v>
      </c>
      <c r="E63" s="93"/>
      <c r="F63" s="93"/>
    </row>
    <row r="64" spans="1:6" ht="69.95" customHeight="1" x14ac:dyDescent="0.25">
      <c r="A64" s="90">
        <v>253</v>
      </c>
      <c r="B64" s="91" t="s">
        <v>475</v>
      </c>
      <c r="C64" s="85">
        <v>146</v>
      </c>
      <c r="D64" s="86" t="s">
        <v>364</v>
      </c>
      <c r="E64" s="93"/>
      <c r="F64" s="93"/>
    </row>
    <row r="65" spans="1:6" ht="69.95" customHeight="1" x14ac:dyDescent="0.25">
      <c r="A65" s="90">
        <v>254</v>
      </c>
      <c r="B65" s="91" t="s">
        <v>476</v>
      </c>
      <c r="C65" s="85">
        <v>61</v>
      </c>
      <c r="D65" s="86" t="s">
        <v>366</v>
      </c>
      <c r="E65" s="93"/>
      <c r="F65" s="93"/>
    </row>
    <row r="66" spans="1:6" ht="69.95" customHeight="1" x14ac:dyDescent="0.25">
      <c r="A66" s="90">
        <v>264</v>
      </c>
      <c r="B66" s="91" t="s">
        <v>477</v>
      </c>
      <c r="C66" s="85">
        <v>225</v>
      </c>
      <c r="D66" s="86" t="s">
        <v>368</v>
      </c>
      <c r="E66" s="93"/>
      <c r="F66" s="93"/>
    </row>
    <row r="67" spans="1:6" ht="69.95" customHeight="1" x14ac:dyDescent="0.25">
      <c r="A67" s="90">
        <v>265</v>
      </c>
      <c r="B67" s="91" t="s">
        <v>478</v>
      </c>
      <c r="C67" s="85">
        <v>62</v>
      </c>
      <c r="D67" s="86" t="s">
        <v>370</v>
      </c>
      <c r="E67" s="93"/>
      <c r="F67" s="93"/>
    </row>
    <row r="68" spans="1:6" ht="69.95" customHeight="1" x14ac:dyDescent="0.25">
      <c r="A68" s="90">
        <v>266</v>
      </c>
      <c r="B68" s="91" t="s">
        <v>479</v>
      </c>
      <c r="C68" s="85">
        <v>228</v>
      </c>
      <c r="D68" s="86" t="s">
        <v>372</v>
      </c>
      <c r="E68" s="93"/>
      <c r="F68" s="93"/>
    </row>
    <row r="69" spans="1:6" ht="69.95" customHeight="1" x14ac:dyDescent="0.25">
      <c r="A69" s="90">
        <v>267</v>
      </c>
      <c r="B69" s="91" t="s">
        <v>480</v>
      </c>
      <c r="C69" s="85">
        <v>63</v>
      </c>
      <c r="D69" s="86" t="s">
        <v>374</v>
      </c>
      <c r="E69" s="93"/>
      <c r="F69" s="93"/>
    </row>
    <row r="70" spans="1:6" ht="69.95" customHeight="1" x14ac:dyDescent="0.25">
      <c r="A70" s="90">
        <v>268</v>
      </c>
      <c r="B70" s="91" t="s">
        <v>481</v>
      </c>
      <c r="C70" s="85">
        <v>187</v>
      </c>
      <c r="D70" s="86" t="s">
        <v>376</v>
      </c>
      <c r="E70" s="93"/>
      <c r="F70" s="93"/>
    </row>
    <row r="71" spans="1:6" ht="69.95" customHeight="1" x14ac:dyDescent="0.25">
      <c r="A71" s="90">
        <v>270</v>
      </c>
      <c r="B71" s="91" t="s">
        <v>482</v>
      </c>
      <c r="C71" s="85">
        <v>64</v>
      </c>
      <c r="D71" s="86" t="s">
        <v>378</v>
      </c>
      <c r="E71" s="93"/>
      <c r="F71" s="93"/>
    </row>
    <row r="72" spans="1:6" ht="69.95" customHeight="1" x14ac:dyDescent="0.25">
      <c r="A72" s="90">
        <v>274</v>
      </c>
      <c r="B72" s="91" t="s">
        <v>483</v>
      </c>
      <c r="C72" s="85">
        <v>196</v>
      </c>
      <c r="D72" s="86" t="s">
        <v>380</v>
      </c>
      <c r="E72" s="93"/>
      <c r="F72" s="93"/>
    </row>
    <row r="73" spans="1:6" ht="69.95" customHeight="1" x14ac:dyDescent="0.25">
      <c r="A73" s="90">
        <v>275</v>
      </c>
      <c r="B73" s="91" t="s">
        <v>484</v>
      </c>
      <c r="C73" s="85">
        <v>65</v>
      </c>
      <c r="D73" s="86" t="s">
        <v>382</v>
      </c>
      <c r="E73" s="93"/>
      <c r="F73" s="93"/>
    </row>
    <row r="74" spans="1:6" ht="69.95" customHeight="1" x14ac:dyDescent="0.25">
      <c r="A74" s="90">
        <v>276</v>
      </c>
      <c r="B74" s="91" t="s">
        <v>485</v>
      </c>
      <c r="C74" s="85">
        <v>162</v>
      </c>
      <c r="D74" s="86" t="s">
        <v>384</v>
      </c>
      <c r="E74" s="93"/>
      <c r="F74" s="93"/>
    </row>
    <row r="75" spans="1:6" ht="69.95" customHeight="1" x14ac:dyDescent="0.25">
      <c r="A75" s="90">
        <v>277</v>
      </c>
      <c r="B75" s="91" t="s">
        <v>486</v>
      </c>
      <c r="C75" s="85">
        <v>66</v>
      </c>
      <c r="D75" s="86" t="s">
        <v>386</v>
      </c>
      <c r="E75" s="93"/>
      <c r="F75" s="93"/>
    </row>
    <row r="76" spans="1:6" ht="69.95" customHeight="1" x14ac:dyDescent="0.25">
      <c r="A76" s="90">
        <v>278</v>
      </c>
      <c r="B76" s="91" t="s">
        <v>487</v>
      </c>
      <c r="C76" s="85">
        <v>189</v>
      </c>
      <c r="D76" s="86" t="s">
        <v>388</v>
      </c>
      <c r="E76" s="93"/>
      <c r="F76" s="93"/>
    </row>
    <row r="77" spans="1:6" ht="69.95" customHeight="1" x14ac:dyDescent="0.25">
      <c r="A77" s="88">
        <v>282</v>
      </c>
      <c r="B77" s="94" t="s">
        <v>201</v>
      </c>
      <c r="C77" s="85">
        <v>120</v>
      </c>
      <c r="D77" s="86" t="s">
        <v>390</v>
      </c>
      <c r="E77" s="93"/>
      <c r="F77" s="93"/>
    </row>
    <row r="78" spans="1:6" ht="69.95" customHeight="1" x14ac:dyDescent="0.25">
      <c r="A78" s="88">
        <v>283</v>
      </c>
      <c r="B78" s="94" t="s">
        <v>202</v>
      </c>
      <c r="C78" s="85">
        <v>192</v>
      </c>
      <c r="D78" s="86" t="s">
        <v>392</v>
      </c>
      <c r="E78" s="93"/>
      <c r="F78" s="93"/>
    </row>
    <row r="79" spans="1:6" ht="69.95" customHeight="1" x14ac:dyDescent="0.25">
      <c r="A79" s="88">
        <v>284</v>
      </c>
      <c r="B79" s="94" t="s">
        <v>203</v>
      </c>
      <c r="C79" s="85">
        <v>215</v>
      </c>
      <c r="D79" s="86" t="s">
        <v>394</v>
      </c>
      <c r="E79" s="93"/>
      <c r="F79" s="93"/>
    </row>
    <row r="80" spans="1:6" ht="69.95" customHeight="1" x14ac:dyDescent="0.25">
      <c r="A80" s="88">
        <v>286</v>
      </c>
      <c r="B80" s="94" t="s">
        <v>205</v>
      </c>
      <c r="C80" s="85">
        <v>261</v>
      </c>
      <c r="D80" s="86" t="s">
        <v>396</v>
      </c>
      <c r="E80" s="93"/>
      <c r="F80" s="93"/>
    </row>
    <row r="81" spans="1:6" ht="69.95" customHeight="1" x14ac:dyDescent="0.25">
      <c r="A81" s="88">
        <v>287</v>
      </c>
      <c r="B81" s="94" t="s">
        <v>206</v>
      </c>
      <c r="C81" s="85">
        <v>240</v>
      </c>
      <c r="D81" s="86" t="s">
        <v>398</v>
      </c>
      <c r="E81" s="93"/>
      <c r="F81" s="93"/>
    </row>
    <row r="82" spans="1:6" ht="69.95" customHeight="1" x14ac:dyDescent="0.25">
      <c r="A82" s="95"/>
      <c r="B82" s="93"/>
      <c r="C82" s="85">
        <v>257</v>
      </c>
      <c r="D82" s="86" t="s">
        <v>400</v>
      </c>
      <c r="E82" s="93"/>
      <c r="F82" s="93"/>
    </row>
    <row r="83" spans="1:6" ht="69.95" customHeight="1" x14ac:dyDescent="0.25">
      <c r="A83" s="95"/>
      <c r="B83" s="93"/>
      <c r="C83" s="85">
        <v>285</v>
      </c>
      <c r="D83" s="87" t="s">
        <v>519</v>
      </c>
      <c r="E83" s="93"/>
      <c r="F83" s="93"/>
    </row>
    <row r="84" spans="1:6" ht="69.95" customHeight="1" x14ac:dyDescent="0.25">
      <c r="A84" s="95"/>
      <c r="B84" s="93"/>
      <c r="C84" s="85">
        <v>258</v>
      </c>
      <c r="D84" s="86" t="s">
        <v>402</v>
      </c>
      <c r="E84" s="93"/>
      <c r="F84" s="93"/>
    </row>
    <row r="85" spans="1:6" ht="69.95" customHeight="1" x14ac:dyDescent="0.25">
      <c r="A85" s="95"/>
      <c r="B85" s="93"/>
      <c r="C85" s="85">
        <v>260</v>
      </c>
      <c r="D85" s="86" t="s">
        <v>404</v>
      </c>
      <c r="E85" s="93"/>
      <c r="F85" s="93"/>
    </row>
    <row r="86" spans="1:6" ht="69.95" customHeight="1" x14ac:dyDescent="0.25">
      <c r="A86" s="95"/>
      <c r="B86" s="93"/>
      <c r="C86" s="85">
        <v>279</v>
      </c>
      <c r="D86" s="86" t="s">
        <v>406</v>
      </c>
      <c r="E86" s="93"/>
      <c r="F86" s="93"/>
    </row>
    <row r="87" spans="1:6" ht="69.95" customHeight="1" x14ac:dyDescent="0.25">
      <c r="A87" s="95"/>
      <c r="B87" s="93"/>
      <c r="C87" s="85">
        <v>263</v>
      </c>
      <c r="D87" s="86" t="s">
        <v>408</v>
      </c>
      <c r="E87" s="93"/>
      <c r="F87" s="93"/>
    </row>
    <row r="88" spans="1:6" ht="69.95" customHeight="1" x14ac:dyDescent="0.25">
      <c r="A88" s="95"/>
      <c r="B88" s="93"/>
      <c r="C88" s="85">
        <v>280</v>
      </c>
      <c r="D88" s="86" t="s">
        <v>195</v>
      </c>
      <c r="E88" s="93"/>
      <c r="F88" s="93"/>
    </row>
    <row r="89" spans="1:6" ht="69.95" customHeight="1" x14ac:dyDescent="0.25">
      <c r="A89" s="95"/>
      <c r="B89" s="93"/>
      <c r="C89" s="88">
        <v>288</v>
      </c>
      <c r="D89" s="89" t="s">
        <v>198</v>
      </c>
      <c r="E89" s="93"/>
      <c r="F89" s="93"/>
    </row>
    <row r="90" spans="1:6" ht="69.95" customHeight="1" x14ac:dyDescent="0.25">
      <c r="A90" s="95"/>
      <c r="B90" s="93"/>
      <c r="C90" s="88">
        <v>289</v>
      </c>
      <c r="D90" s="89" t="s">
        <v>199</v>
      </c>
      <c r="E90" s="93"/>
      <c r="F90" s="93"/>
    </row>
  </sheetData>
  <mergeCells count="3">
    <mergeCell ref="A1:B1"/>
    <mergeCell ref="C1:D1"/>
    <mergeCell ref="E1:F1"/>
  </mergeCells>
  <printOptions horizontalCentered="1"/>
  <pageMargins left="0.19685039370078741" right="0.19685039370078741" top="0.19685039370078741" bottom="7.874015748031496E-2" header="0.15748031496062992" footer="0.31496062992125984"/>
  <pageSetup paperSize="256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opLeftCell="A185" zoomScaleNormal="100" workbookViewId="0">
      <selection activeCell="C195" sqref="C19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32.42578125" style="47" customWidth="1"/>
    <col min="4" max="4" width="13" style="47" customWidth="1"/>
    <col min="5" max="5" width="13.140625" style="47" customWidth="1"/>
    <col min="6" max="6" width="9.140625" style="47"/>
    <col min="7" max="7" width="15" style="47" bestFit="1" customWidth="1"/>
    <col min="8" max="16384" width="9.140625" style="47"/>
  </cols>
  <sheetData>
    <row r="1" spans="1:5" x14ac:dyDescent="0.25">
      <c r="A1" s="153" t="s">
        <v>171</v>
      </c>
      <c r="B1" s="153"/>
      <c r="C1" s="153"/>
      <c r="D1" s="153"/>
      <c r="E1" s="153"/>
    </row>
    <row r="2" spans="1:5" x14ac:dyDescent="0.25">
      <c r="A2" s="153" t="s">
        <v>523</v>
      </c>
      <c r="B2" s="153"/>
      <c r="C2" s="153"/>
      <c r="D2" s="153"/>
      <c r="E2" s="153"/>
    </row>
    <row r="3" spans="1:5" x14ac:dyDescent="0.25">
      <c r="A3" s="153" t="s">
        <v>235</v>
      </c>
      <c r="B3" s="153"/>
      <c r="C3" s="153"/>
      <c r="D3" s="153"/>
      <c r="E3" s="153"/>
    </row>
    <row r="4" spans="1:5" x14ac:dyDescent="0.25">
      <c r="A4" s="48"/>
      <c r="B4" s="48"/>
      <c r="C4" s="48"/>
      <c r="D4" s="48"/>
      <c r="E4" s="48"/>
    </row>
    <row r="5" spans="1:5" x14ac:dyDescent="0.25">
      <c r="D5" s="157"/>
      <c r="E5" s="157"/>
    </row>
    <row r="6" spans="1:5" x14ac:dyDescent="0.25">
      <c r="A6" s="149" t="s">
        <v>237</v>
      </c>
      <c r="B6" s="149"/>
      <c r="C6" s="149" t="s">
        <v>238</v>
      </c>
      <c r="D6" s="149" t="s">
        <v>239</v>
      </c>
      <c r="E6" s="149"/>
    </row>
    <row r="7" spans="1:5" ht="17.25" customHeight="1" x14ac:dyDescent="0.25">
      <c r="A7" s="50" t="s">
        <v>6</v>
      </c>
      <c r="B7" s="50" t="s">
        <v>240</v>
      </c>
      <c r="C7" s="149"/>
      <c r="D7" s="149"/>
      <c r="E7" s="149"/>
    </row>
    <row r="8" spans="1:5" ht="24.75" customHeight="1" x14ac:dyDescent="0.25">
      <c r="A8" s="96">
        <v>1</v>
      </c>
      <c r="B8" s="96"/>
      <c r="C8" s="97"/>
      <c r="D8" s="52" t="s">
        <v>242</v>
      </c>
      <c r="E8" s="52"/>
    </row>
    <row r="9" spans="1:5" x14ac:dyDescent="0.25">
      <c r="A9" s="98">
        <v>2</v>
      </c>
      <c r="B9" s="98"/>
      <c r="C9" s="99"/>
      <c r="D9" s="54"/>
      <c r="E9" s="54" t="s">
        <v>244</v>
      </c>
    </row>
    <row r="10" spans="1:5" x14ac:dyDescent="0.25">
      <c r="A10" s="98">
        <v>3</v>
      </c>
      <c r="B10" s="98"/>
      <c r="C10" s="99"/>
      <c r="D10" s="54" t="s">
        <v>246</v>
      </c>
      <c r="E10" s="54"/>
    </row>
    <row r="11" spans="1:5" x14ac:dyDescent="0.25">
      <c r="A11" s="98">
        <v>4</v>
      </c>
      <c r="B11" s="98"/>
      <c r="C11" s="99"/>
      <c r="D11" s="54"/>
      <c r="E11" s="54" t="s">
        <v>248</v>
      </c>
    </row>
    <row r="12" spans="1:5" x14ac:dyDescent="0.25">
      <c r="A12" s="98">
        <v>5</v>
      </c>
      <c r="B12" s="98"/>
      <c r="C12" s="99"/>
      <c r="D12" s="54" t="s">
        <v>250</v>
      </c>
      <c r="E12" s="54"/>
    </row>
    <row r="13" spans="1:5" x14ac:dyDescent="0.25">
      <c r="A13" s="100">
        <v>6</v>
      </c>
      <c r="B13" s="100"/>
      <c r="C13" s="101"/>
      <c r="D13" s="74"/>
      <c r="E13" s="74" t="s">
        <v>252</v>
      </c>
    </row>
    <row r="14" spans="1:5" x14ac:dyDescent="0.25">
      <c r="A14" s="100">
        <v>7</v>
      </c>
      <c r="B14" s="100"/>
      <c r="C14" s="101"/>
      <c r="D14" s="74" t="s">
        <v>254</v>
      </c>
      <c r="E14" s="74"/>
    </row>
    <row r="15" spans="1:5" x14ac:dyDescent="0.25">
      <c r="A15" s="100">
        <v>8</v>
      </c>
      <c r="B15" s="100"/>
      <c r="C15" s="101"/>
      <c r="D15" s="54"/>
      <c r="E15" s="54" t="s">
        <v>256</v>
      </c>
    </row>
    <row r="16" spans="1:5" x14ac:dyDescent="0.25">
      <c r="A16" s="100">
        <v>9</v>
      </c>
      <c r="B16" s="100"/>
      <c r="C16" s="101"/>
      <c r="D16" s="54" t="s">
        <v>258</v>
      </c>
      <c r="E16" s="54"/>
    </row>
    <row r="17" spans="1:5" x14ac:dyDescent="0.25">
      <c r="A17" s="100">
        <v>10</v>
      </c>
      <c r="B17" s="100"/>
      <c r="C17" s="101"/>
      <c r="D17" s="54"/>
      <c r="E17" s="54" t="s">
        <v>260</v>
      </c>
    </row>
    <row r="18" spans="1:5" x14ac:dyDescent="0.25">
      <c r="A18" s="100">
        <v>11</v>
      </c>
      <c r="B18" s="100"/>
      <c r="C18" s="101"/>
      <c r="D18" s="54" t="s">
        <v>262</v>
      </c>
      <c r="E18" s="54"/>
    </row>
    <row r="19" spans="1:5" x14ac:dyDescent="0.25">
      <c r="A19" s="100">
        <v>12</v>
      </c>
      <c r="B19" s="100"/>
      <c r="C19" s="101"/>
      <c r="D19" s="74"/>
      <c r="E19" s="74" t="s">
        <v>264</v>
      </c>
    </row>
    <row r="20" spans="1:5" x14ac:dyDescent="0.25">
      <c r="A20" s="100">
        <v>13</v>
      </c>
      <c r="B20" s="100"/>
      <c r="C20" s="101"/>
      <c r="D20" s="74" t="s">
        <v>266</v>
      </c>
      <c r="E20" s="74"/>
    </row>
    <row r="21" spans="1:5" x14ac:dyDescent="0.25">
      <c r="A21" s="100">
        <v>14</v>
      </c>
      <c r="B21" s="100"/>
      <c r="C21" s="101"/>
      <c r="D21" s="54"/>
      <c r="E21" s="54" t="s">
        <v>268</v>
      </c>
    </row>
    <row r="22" spans="1:5" x14ac:dyDescent="0.25">
      <c r="A22" s="100">
        <v>15</v>
      </c>
      <c r="B22" s="100"/>
      <c r="C22" s="101"/>
      <c r="D22" s="54" t="s">
        <v>269</v>
      </c>
      <c r="E22" s="54"/>
    </row>
    <row r="23" spans="1:5" x14ac:dyDescent="0.25">
      <c r="A23" s="100">
        <v>16</v>
      </c>
      <c r="B23" s="100"/>
      <c r="C23" s="101"/>
      <c r="D23" s="54"/>
      <c r="E23" s="54" t="s">
        <v>271</v>
      </c>
    </row>
    <row r="24" spans="1:5" x14ac:dyDescent="0.25">
      <c r="A24" s="100">
        <v>17</v>
      </c>
      <c r="B24" s="100"/>
      <c r="C24" s="101"/>
      <c r="D24" s="54" t="s">
        <v>273</v>
      </c>
      <c r="E24" s="54"/>
    </row>
    <row r="25" spans="1:5" x14ac:dyDescent="0.25">
      <c r="A25" s="100">
        <v>18</v>
      </c>
      <c r="B25" s="100"/>
      <c r="C25" s="101"/>
      <c r="D25" s="74"/>
      <c r="E25" s="74" t="s">
        <v>275</v>
      </c>
    </row>
    <row r="26" spans="1:5" x14ac:dyDescent="0.25">
      <c r="A26" s="100">
        <v>19</v>
      </c>
      <c r="B26" s="100"/>
      <c r="C26" s="101"/>
      <c r="D26" s="74" t="s">
        <v>277</v>
      </c>
      <c r="E26" s="74"/>
    </row>
    <row r="27" spans="1:5" x14ac:dyDescent="0.25">
      <c r="A27" s="100">
        <v>20</v>
      </c>
      <c r="B27" s="100"/>
      <c r="C27" s="101"/>
      <c r="D27" s="54"/>
      <c r="E27" s="54" t="s">
        <v>279</v>
      </c>
    </row>
    <row r="28" spans="1:5" x14ac:dyDescent="0.25">
      <c r="A28" s="100">
        <v>21</v>
      </c>
      <c r="B28" s="100"/>
      <c r="C28" s="101"/>
      <c r="D28" s="54" t="s">
        <v>281</v>
      </c>
      <c r="E28" s="54"/>
    </row>
    <row r="29" spans="1:5" x14ac:dyDescent="0.25">
      <c r="A29" s="100">
        <v>22</v>
      </c>
      <c r="B29" s="100"/>
      <c r="C29" s="101"/>
      <c r="D29" s="54"/>
      <c r="E29" s="54" t="s">
        <v>283</v>
      </c>
    </row>
    <row r="30" spans="1:5" x14ac:dyDescent="0.25">
      <c r="A30" s="100">
        <v>23</v>
      </c>
      <c r="B30" s="100"/>
      <c r="C30" s="101"/>
      <c r="D30" s="54" t="s">
        <v>285</v>
      </c>
      <c r="E30" s="54"/>
    </row>
    <row r="31" spans="1:5" x14ac:dyDescent="0.25">
      <c r="A31" s="100">
        <v>24</v>
      </c>
      <c r="B31" s="100"/>
      <c r="C31" s="101"/>
      <c r="D31" s="74"/>
      <c r="E31" s="74" t="s">
        <v>287</v>
      </c>
    </row>
    <row r="32" spans="1:5" x14ac:dyDescent="0.25">
      <c r="A32" s="100">
        <v>25</v>
      </c>
      <c r="B32" s="100"/>
      <c r="C32" s="101"/>
      <c r="D32" s="74" t="s">
        <v>289</v>
      </c>
      <c r="E32" s="74"/>
    </row>
    <row r="33" spans="1:5" x14ac:dyDescent="0.25">
      <c r="A33" s="100">
        <v>26</v>
      </c>
      <c r="B33" s="100"/>
      <c r="C33" s="101"/>
      <c r="D33" s="54"/>
      <c r="E33" s="54" t="s">
        <v>291</v>
      </c>
    </row>
    <row r="34" spans="1:5" x14ac:dyDescent="0.25">
      <c r="A34" s="100">
        <v>27</v>
      </c>
      <c r="B34" s="100"/>
      <c r="C34" s="101"/>
      <c r="D34" s="54" t="s">
        <v>293</v>
      </c>
      <c r="E34" s="54"/>
    </row>
    <row r="35" spans="1:5" x14ac:dyDescent="0.25">
      <c r="A35" s="100">
        <v>28</v>
      </c>
      <c r="B35" s="100"/>
      <c r="C35" s="101"/>
      <c r="D35" s="54"/>
      <c r="E35" s="54" t="s">
        <v>295</v>
      </c>
    </row>
    <row r="36" spans="1:5" x14ac:dyDescent="0.25">
      <c r="A36" s="100">
        <v>29</v>
      </c>
      <c r="B36" s="100"/>
      <c r="C36" s="101"/>
      <c r="D36" s="54" t="s">
        <v>297</v>
      </c>
      <c r="E36" s="54"/>
    </row>
    <row r="37" spans="1:5" x14ac:dyDescent="0.25">
      <c r="A37" s="100">
        <v>30</v>
      </c>
      <c r="B37" s="100"/>
      <c r="C37" s="101"/>
      <c r="D37" s="74"/>
      <c r="E37" s="74" t="s">
        <v>299</v>
      </c>
    </row>
    <row r="38" spans="1:5" x14ac:dyDescent="0.25">
      <c r="A38" s="100">
        <v>31</v>
      </c>
      <c r="B38" s="100"/>
      <c r="C38" s="101"/>
      <c r="D38" s="74" t="s">
        <v>301</v>
      </c>
      <c r="E38" s="74"/>
    </row>
    <row r="39" spans="1:5" x14ac:dyDescent="0.25">
      <c r="A39" s="100">
        <v>32</v>
      </c>
      <c r="B39" s="100"/>
      <c r="C39" s="101"/>
      <c r="D39" s="54"/>
      <c r="E39" s="54" t="s">
        <v>303</v>
      </c>
    </row>
    <row r="40" spans="1:5" x14ac:dyDescent="0.25">
      <c r="A40" s="100">
        <v>33</v>
      </c>
      <c r="B40" s="100"/>
      <c r="C40" s="101"/>
      <c r="D40" s="54" t="s">
        <v>305</v>
      </c>
      <c r="E40" s="54"/>
    </row>
    <row r="41" spans="1:5" x14ac:dyDescent="0.25">
      <c r="A41" s="100">
        <v>34</v>
      </c>
      <c r="B41" s="100"/>
      <c r="C41" s="101"/>
      <c r="D41" s="54"/>
      <c r="E41" s="54" t="s">
        <v>307</v>
      </c>
    </row>
    <row r="42" spans="1:5" x14ac:dyDescent="0.25">
      <c r="A42" s="100">
        <v>35</v>
      </c>
      <c r="B42" s="100"/>
      <c r="C42" s="101"/>
      <c r="D42" s="54" t="s">
        <v>309</v>
      </c>
      <c r="E42" s="54"/>
    </row>
    <row r="43" spans="1:5" x14ac:dyDescent="0.25">
      <c r="A43" s="100">
        <v>36</v>
      </c>
      <c r="B43" s="100"/>
      <c r="C43" s="101"/>
      <c r="D43" s="74"/>
      <c r="E43" s="74" t="s">
        <v>311</v>
      </c>
    </row>
    <row r="44" spans="1:5" x14ac:dyDescent="0.25">
      <c r="A44" s="100">
        <v>37</v>
      </c>
      <c r="B44" s="100"/>
      <c r="C44" s="101"/>
      <c r="D44" s="74" t="s">
        <v>313</v>
      </c>
      <c r="E44" s="74"/>
    </row>
    <row r="45" spans="1:5" x14ac:dyDescent="0.25">
      <c r="A45" s="100">
        <v>38</v>
      </c>
      <c r="B45" s="100"/>
      <c r="C45" s="101"/>
      <c r="D45" s="54"/>
      <c r="E45" s="54" t="s">
        <v>315</v>
      </c>
    </row>
    <row r="46" spans="1:5" x14ac:dyDescent="0.25">
      <c r="A46" s="100">
        <v>39</v>
      </c>
      <c r="B46" s="100"/>
      <c r="C46" s="101"/>
      <c r="D46" s="54" t="s">
        <v>317</v>
      </c>
      <c r="E46" s="54"/>
    </row>
    <row r="47" spans="1:5" x14ac:dyDescent="0.25">
      <c r="A47" s="100">
        <v>40</v>
      </c>
      <c r="B47" s="100"/>
      <c r="C47" s="101"/>
      <c r="D47" s="54"/>
      <c r="E47" s="54" t="s">
        <v>319</v>
      </c>
    </row>
    <row r="48" spans="1:5" x14ac:dyDescent="0.25">
      <c r="A48" s="100">
        <v>41</v>
      </c>
      <c r="B48" s="100"/>
      <c r="C48" s="101"/>
      <c r="D48" s="54" t="s">
        <v>321</v>
      </c>
      <c r="E48" s="54"/>
    </row>
    <row r="49" spans="1:5" x14ac:dyDescent="0.25">
      <c r="A49" s="100">
        <v>42</v>
      </c>
      <c r="B49" s="100"/>
      <c r="C49" s="101"/>
      <c r="D49" s="74"/>
      <c r="E49" s="74" t="s">
        <v>323</v>
      </c>
    </row>
    <row r="50" spans="1:5" x14ac:dyDescent="0.25">
      <c r="A50" s="100">
        <v>43</v>
      </c>
      <c r="B50" s="100"/>
      <c r="C50" s="101"/>
      <c r="D50" s="74" t="s">
        <v>325</v>
      </c>
      <c r="E50" s="74"/>
    </row>
    <row r="51" spans="1:5" x14ac:dyDescent="0.25">
      <c r="A51" s="100">
        <v>44</v>
      </c>
      <c r="B51" s="100"/>
      <c r="C51" s="101"/>
      <c r="D51" s="54"/>
      <c r="E51" s="54" t="s">
        <v>327</v>
      </c>
    </row>
    <row r="52" spans="1:5" x14ac:dyDescent="0.25">
      <c r="A52" s="100">
        <v>45</v>
      </c>
      <c r="B52" s="100"/>
      <c r="C52" s="101"/>
      <c r="D52" s="54" t="s">
        <v>329</v>
      </c>
      <c r="E52" s="54"/>
    </row>
    <row r="53" spans="1:5" x14ac:dyDescent="0.25">
      <c r="A53" s="100">
        <v>46</v>
      </c>
      <c r="B53" s="100"/>
      <c r="C53" s="101"/>
      <c r="D53" s="54"/>
      <c r="E53" s="54" t="s">
        <v>331</v>
      </c>
    </row>
    <row r="54" spans="1:5" x14ac:dyDescent="0.25">
      <c r="A54" s="100">
        <v>47</v>
      </c>
      <c r="B54" s="100"/>
      <c r="C54" s="101"/>
      <c r="D54" s="54" t="s">
        <v>333</v>
      </c>
      <c r="E54" s="54"/>
    </row>
    <row r="55" spans="1:5" x14ac:dyDescent="0.25">
      <c r="A55" s="100">
        <v>48</v>
      </c>
      <c r="B55" s="100"/>
      <c r="C55" s="101"/>
      <c r="D55" s="74"/>
      <c r="E55" s="74" t="s">
        <v>335</v>
      </c>
    </row>
    <row r="56" spans="1:5" x14ac:dyDescent="0.25">
      <c r="A56" s="100">
        <v>49</v>
      </c>
      <c r="B56" s="100"/>
      <c r="C56" s="101"/>
      <c r="D56" s="74" t="s">
        <v>337</v>
      </c>
      <c r="E56" s="74"/>
    </row>
    <row r="57" spans="1:5" x14ac:dyDescent="0.25">
      <c r="A57" s="100">
        <v>50</v>
      </c>
      <c r="B57" s="100"/>
      <c r="C57" s="101"/>
      <c r="D57" s="54"/>
      <c r="E57" s="54" t="s">
        <v>339</v>
      </c>
    </row>
    <row r="58" spans="1:5" x14ac:dyDescent="0.25">
      <c r="A58" s="104">
        <v>51</v>
      </c>
      <c r="B58" s="104"/>
      <c r="C58" s="106"/>
      <c r="D58" s="56" t="s">
        <v>341</v>
      </c>
      <c r="E58" s="56"/>
    </row>
    <row r="59" spans="1:5" x14ac:dyDescent="0.25">
      <c r="A59" s="107">
        <v>52</v>
      </c>
      <c r="B59" s="107"/>
      <c r="C59" s="108"/>
      <c r="D59" s="54"/>
      <c r="E59" s="54" t="s">
        <v>343</v>
      </c>
    </row>
    <row r="60" spans="1:5" x14ac:dyDescent="0.25">
      <c r="A60" s="100">
        <v>53</v>
      </c>
      <c r="B60" s="100"/>
      <c r="C60" s="101"/>
      <c r="D60" s="54" t="s">
        <v>345</v>
      </c>
      <c r="E60" s="54"/>
    </row>
    <row r="61" spans="1:5" ht="15" customHeight="1" x14ac:dyDescent="0.25">
      <c r="A61" s="100">
        <v>54</v>
      </c>
      <c r="B61" s="100"/>
      <c r="C61" s="101"/>
      <c r="D61" s="74"/>
      <c r="E61" s="74" t="s">
        <v>347</v>
      </c>
    </row>
    <row r="62" spans="1:5" ht="15" customHeight="1" x14ac:dyDescent="0.25">
      <c r="A62" s="100">
        <v>55</v>
      </c>
      <c r="B62" s="102"/>
      <c r="C62" s="101"/>
      <c r="D62" s="74" t="s">
        <v>349</v>
      </c>
      <c r="E62" s="74"/>
    </row>
    <row r="63" spans="1:5" x14ac:dyDescent="0.25">
      <c r="A63" s="100">
        <v>56</v>
      </c>
      <c r="B63" s="100"/>
      <c r="C63" s="101"/>
      <c r="D63" s="54"/>
      <c r="E63" s="54" t="s">
        <v>351</v>
      </c>
    </row>
    <row r="64" spans="1:5" x14ac:dyDescent="0.25">
      <c r="A64" s="100">
        <v>57</v>
      </c>
      <c r="B64" s="100"/>
      <c r="C64" s="101"/>
      <c r="D64" s="54" t="s">
        <v>353</v>
      </c>
      <c r="E64" s="54"/>
    </row>
    <row r="65" spans="1:5" x14ac:dyDescent="0.25">
      <c r="A65" s="100">
        <v>58</v>
      </c>
      <c r="B65" s="100"/>
      <c r="C65" s="101"/>
      <c r="D65" s="54"/>
      <c r="E65" s="54" t="s">
        <v>355</v>
      </c>
    </row>
    <row r="66" spans="1:5" x14ac:dyDescent="0.25">
      <c r="A66" s="100">
        <v>59</v>
      </c>
      <c r="B66" s="100"/>
      <c r="C66" s="101"/>
      <c r="D66" s="54" t="s">
        <v>357</v>
      </c>
      <c r="E66" s="54"/>
    </row>
    <row r="67" spans="1:5" x14ac:dyDescent="0.25">
      <c r="A67" s="100">
        <v>60</v>
      </c>
      <c r="B67" s="100"/>
      <c r="C67" s="101"/>
      <c r="D67" s="74"/>
      <c r="E67" s="74" t="s">
        <v>359</v>
      </c>
    </row>
    <row r="68" spans="1:5" x14ac:dyDescent="0.25">
      <c r="A68" s="100">
        <v>61</v>
      </c>
      <c r="B68" s="100"/>
      <c r="C68" s="101"/>
      <c r="D68" s="74" t="s">
        <v>361</v>
      </c>
      <c r="E68" s="74"/>
    </row>
    <row r="69" spans="1:5" x14ac:dyDescent="0.25">
      <c r="A69" s="100">
        <v>62</v>
      </c>
      <c r="B69" s="100"/>
      <c r="C69" s="101"/>
      <c r="D69" s="54"/>
      <c r="E69" s="54" t="s">
        <v>363</v>
      </c>
    </row>
    <row r="70" spans="1:5" x14ac:dyDescent="0.25">
      <c r="A70" s="100">
        <v>63</v>
      </c>
      <c r="B70" s="100"/>
      <c r="C70" s="101"/>
      <c r="D70" s="54" t="s">
        <v>365</v>
      </c>
      <c r="E70" s="54"/>
    </row>
    <row r="71" spans="1:5" x14ac:dyDescent="0.25">
      <c r="A71" s="100">
        <v>64</v>
      </c>
      <c r="B71" s="100"/>
      <c r="C71" s="101"/>
      <c r="D71" s="54"/>
      <c r="E71" s="54" t="s">
        <v>367</v>
      </c>
    </row>
    <row r="72" spans="1:5" x14ac:dyDescent="0.25">
      <c r="A72" s="100">
        <v>65</v>
      </c>
      <c r="B72" s="100"/>
      <c r="C72" s="101"/>
      <c r="D72" s="54" t="s">
        <v>369</v>
      </c>
      <c r="E72" s="54"/>
    </row>
    <row r="73" spans="1:5" x14ac:dyDescent="0.25">
      <c r="A73" s="100">
        <v>66</v>
      </c>
      <c r="B73" s="100"/>
      <c r="C73" s="101"/>
      <c r="D73" s="74"/>
      <c r="E73" s="74" t="s">
        <v>371</v>
      </c>
    </row>
    <row r="74" spans="1:5" x14ac:dyDescent="0.25">
      <c r="A74" s="100">
        <v>67</v>
      </c>
      <c r="B74" s="100"/>
      <c r="C74" s="101"/>
      <c r="D74" s="74" t="s">
        <v>373</v>
      </c>
      <c r="E74" s="74"/>
    </row>
    <row r="75" spans="1:5" x14ac:dyDescent="0.25">
      <c r="A75" s="100">
        <v>68</v>
      </c>
      <c r="B75" s="100"/>
      <c r="C75" s="101"/>
      <c r="D75" s="54"/>
      <c r="E75" s="54" t="s">
        <v>375</v>
      </c>
    </row>
    <row r="76" spans="1:5" x14ac:dyDescent="0.25">
      <c r="A76" s="100">
        <v>69</v>
      </c>
      <c r="B76" s="100"/>
      <c r="C76" s="101"/>
      <c r="D76" s="54" t="s">
        <v>377</v>
      </c>
      <c r="E76" s="54"/>
    </row>
    <row r="77" spans="1:5" x14ac:dyDescent="0.25">
      <c r="A77" s="100">
        <v>70</v>
      </c>
      <c r="B77" s="100"/>
      <c r="C77" s="101"/>
      <c r="D77" s="54"/>
      <c r="E77" s="54" t="s">
        <v>379</v>
      </c>
    </row>
    <row r="78" spans="1:5" x14ac:dyDescent="0.25">
      <c r="A78" s="100">
        <v>71</v>
      </c>
      <c r="B78" s="100"/>
      <c r="C78" s="101"/>
      <c r="D78" s="54" t="s">
        <v>381</v>
      </c>
      <c r="E78" s="54"/>
    </row>
    <row r="79" spans="1:5" x14ac:dyDescent="0.25">
      <c r="A79" s="100">
        <v>72</v>
      </c>
      <c r="B79" s="100"/>
      <c r="C79" s="101"/>
      <c r="D79" s="74"/>
      <c r="E79" s="74" t="s">
        <v>383</v>
      </c>
    </row>
    <row r="80" spans="1:5" x14ac:dyDescent="0.25">
      <c r="A80" s="100">
        <v>73</v>
      </c>
      <c r="B80" s="100"/>
      <c r="C80" s="101"/>
      <c r="D80" s="74" t="s">
        <v>385</v>
      </c>
      <c r="E80" s="74"/>
    </row>
    <row r="81" spans="1:5" x14ac:dyDescent="0.25">
      <c r="A81" s="100">
        <v>74</v>
      </c>
      <c r="B81" s="100"/>
      <c r="C81" s="101"/>
      <c r="D81" s="54"/>
      <c r="E81" s="54" t="s">
        <v>387</v>
      </c>
    </row>
    <row r="82" spans="1:5" x14ac:dyDescent="0.25">
      <c r="A82" s="100">
        <v>75</v>
      </c>
      <c r="B82" s="103"/>
      <c r="C82" s="101"/>
      <c r="D82" s="54" t="s">
        <v>389</v>
      </c>
      <c r="E82" s="54"/>
    </row>
    <row r="83" spans="1:5" x14ac:dyDescent="0.25">
      <c r="A83" s="100">
        <v>76</v>
      </c>
      <c r="B83" s="103"/>
      <c r="C83" s="101"/>
      <c r="D83" s="54"/>
      <c r="E83" s="54" t="s">
        <v>391</v>
      </c>
    </row>
    <row r="84" spans="1:5" x14ac:dyDescent="0.25">
      <c r="A84" s="100">
        <v>77</v>
      </c>
      <c r="B84" s="103"/>
      <c r="C84" s="101"/>
      <c r="D84" s="54" t="s">
        <v>393</v>
      </c>
      <c r="E84" s="54"/>
    </row>
    <row r="85" spans="1:5" x14ac:dyDescent="0.25">
      <c r="A85" s="100">
        <v>78</v>
      </c>
      <c r="B85" s="103"/>
      <c r="C85" s="101"/>
      <c r="D85" s="74"/>
      <c r="E85" s="74" t="s">
        <v>395</v>
      </c>
    </row>
    <row r="86" spans="1:5" x14ac:dyDescent="0.25">
      <c r="A86" s="100">
        <v>79</v>
      </c>
      <c r="B86" s="103"/>
      <c r="C86" s="101"/>
      <c r="D86" s="74" t="s">
        <v>397</v>
      </c>
      <c r="E86" s="74"/>
    </row>
    <row r="87" spans="1:5" x14ac:dyDescent="0.25">
      <c r="A87" s="100">
        <v>80</v>
      </c>
      <c r="B87" s="103"/>
      <c r="C87" s="101"/>
      <c r="D87" s="54"/>
      <c r="E87" s="54" t="s">
        <v>399</v>
      </c>
    </row>
    <row r="88" spans="1:5" x14ac:dyDescent="0.25">
      <c r="A88" s="100">
        <v>81</v>
      </c>
      <c r="B88" s="103"/>
      <c r="C88" s="101"/>
      <c r="D88" s="54" t="s">
        <v>401</v>
      </c>
      <c r="E88" s="54"/>
    </row>
    <row r="89" spans="1:5" x14ac:dyDescent="0.25">
      <c r="A89" s="100">
        <v>82</v>
      </c>
      <c r="B89" s="103"/>
      <c r="C89" s="101"/>
      <c r="D89" s="54"/>
      <c r="E89" s="54" t="s">
        <v>403</v>
      </c>
    </row>
    <row r="90" spans="1:5" x14ac:dyDescent="0.25">
      <c r="A90" s="100">
        <v>83</v>
      </c>
      <c r="B90" s="103"/>
      <c r="C90" s="101"/>
      <c r="D90" s="54" t="s">
        <v>405</v>
      </c>
      <c r="E90" s="54"/>
    </row>
    <row r="91" spans="1:5" x14ac:dyDescent="0.25">
      <c r="A91" s="100">
        <v>84</v>
      </c>
      <c r="B91" s="103"/>
      <c r="C91" s="101"/>
      <c r="D91" s="74"/>
      <c r="E91" s="74" t="s">
        <v>407</v>
      </c>
    </row>
    <row r="92" spans="1:5" x14ac:dyDescent="0.25">
      <c r="A92" s="100">
        <v>85</v>
      </c>
      <c r="B92" s="103"/>
      <c r="C92" s="101"/>
      <c r="D92" s="74" t="s">
        <v>409</v>
      </c>
      <c r="E92" s="74"/>
    </row>
    <row r="93" spans="1:5" x14ac:dyDescent="0.25">
      <c r="A93" s="100">
        <v>86</v>
      </c>
      <c r="B93" s="103"/>
      <c r="C93" s="101"/>
      <c r="D93" s="54"/>
      <c r="E93" s="54" t="s">
        <v>410</v>
      </c>
    </row>
    <row r="94" spans="1:5" x14ac:dyDescent="0.25">
      <c r="A94" s="100">
        <v>87</v>
      </c>
      <c r="B94" s="103"/>
      <c r="C94" s="101"/>
      <c r="D94" s="54" t="s">
        <v>411</v>
      </c>
      <c r="E94" s="54"/>
    </row>
    <row r="95" spans="1:5" x14ac:dyDescent="0.25">
      <c r="A95" s="100">
        <v>88</v>
      </c>
      <c r="B95" s="103"/>
      <c r="C95" s="101"/>
      <c r="D95" s="54"/>
      <c r="E95" s="54" t="s">
        <v>520</v>
      </c>
    </row>
    <row r="96" spans="1:5" x14ac:dyDescent="0.25">
      <c r="A96" s="100">
        <v>89</v>
      </c>
      <c r="B96" s="103"/>
      <c r="C96" s="101"/>
      <c r="D96" s="54" t="s">
        <v>524</v>
      </c>
      <c r="E96" s="54"/>
    </row>
    <row r="97" spans="1:5" x14ac:dyDescent="0.25">
      <c r="A97" s="100">
        <v>90</v>
      </c>
      <c r="B97" s="103"/>
      <c r="C97" s="101"/>
      <c r="D97" s="74"/>
      <c r="E97" s="74" t="s">
        <v>525</v>
      </c>
    </row>
    <row r="98" spans="1:5" x14ac:dyDescent="0.25">
      <c r="A98" s="100">
        <v>91</v>
      </c>
      <c r="B98" s="103"/>
      <c r="C98" s="101"/>
      <c r="D98" s="74" t="s">
        <v>526</v>
      </c>
      <c r="E98" s="74"/>
    </row>
    <row r="99" spans="1:5" x14ac:dyDescent="0.25">
      <c r="A99" s="100">
        <v>92</v>
      </c>
      <c r="B99" s="103"/>
      <c r="C99" s="101"/>
      <c r="D99" s="54"/>
      <c r="E99" s="54" t="s">
        <v>527</v>
      </c>
    </row>
    <row r="100" spans="1:5" x14ac:dyDescent="0.25">
      <c r="A100" s="100">
        <v>93</v>
      </c>
      <c r="B100" s="103"/>
      <c r="C100" s="101"/>
      <c r="D100" s="54" t="s">
        <v>528</v>
      </c>
      <c r="E100" s="54"/>
    </row>
    <row r="101" spans="1:5" x14ac:dyDescent="0.25">
      <c r="A101" s="100">
        <v>94</v>
      </c>
      <c r="B101" s="103"/>
      <c r="C101" s="101"/>
      <c r="D101" s="54"/>
      <c r="E101" s="54" t="s">
        <v>529</v>
      </c>
    </row>
    <row r="102" spans="1:5" x14ac:dyDescent="0.25">
      <c r="A102" s="100">
        <v>95</v>
      </c>
      <c r="B102" s="103"/>
      <c r="C102" s="101"/>
      <c r="D102" s="54" t="s">
        <v>530</v>
      </c>
      <c r="E102" s="54"/>
    </row>
    <row r="103" spans="1:5" x14ac:dyDescent="0.25">
      <c r="A103" s="100">
        <v>96</v>
      </c>
      <c r="B103" s="103"/>
      <c r="C103" s="101"/>
      <c r="D103" s="74"/>
      <c r="E103" s="74" t="s">
        <v>531</v>
      </c>
    </row>
    <row r="104" spans="1:5" x14ac:dyDescent="0.25">
      <c r="A104" s="100">
        <v>97</v>
      </c>
      <c r="B104" s="103"/>
      <c r="C104" s="101"/>
      <c r="D104" s="74" t="s">
        <v>532</v>
      </c>
      <c r="E104" s="74"/>
    </row>
    <row r="105" spans="1:5" x14ac:dyDescent="0.25">
      <c r="A105" s="100">
        <v>98</v>
      </c>
      <c r="B105" s="103"/>
      <c r="C105" s="101"/>
      <c r="D105" s="54"/>
      <c r="E105" s="54" t="s">
        <v>533</v>
      </c>
    </row>
    <row r="106" spans="1:5" x14ac:dyDescent="0.25">
      <c r="A106" s="100">
        <v>99</v>
      </c>
      <c r="B106" s="103"/>
      <c r="C106" s="101"/>
      <c r="D106" s="54" t="s">
        <v>534</v>
      </c>
      <c r="E106" s="54"/>
    </row>
    <row r="107" spans="1:5" x14ac:dyDescent="0.25">
      <c r="A107" s="100">
        <v>100</v>
      </c>
      <c r="B107" s="103"/>
      <c r="C107" s="101"/>
      <c r="D107" s="54"/>
      <c r="E107" s="54" t="s">
        <v>535</v>
      </c>
    </row>
    <row r="108" spans="1:5" x14ac:dyDescent="0.25">
      <c r="A108" s="100">
        <v>101</v>
      </c>
      <c r="B108" s="103"/>
      <c r="C108" s="101"/>
      <c r="D108" s="54" t="s">
        <v>536</v>
      </c>
      <c r="E108" s="54"/>
    </row>
    <row r="109" spans="1:5" x14ac:dyDescent="0.25">
      <c r="A109" s="100">
        <v>102</v>
      </c>
      <c r="B109" s="103"/>
      <c r="C109" s="101"/>
      <c r="D109" s="74"/>
      <c r="E109" s="74" t="s">
        <v>537</v>
      </c>
    </row>
    <row r="110" spans="1:5" x14ac:dyDescent="0.25">
      <c r="A110" s="104">
        <v>103</v>
      </c>
      <c r="B110" s="105"/>
      <c r="C110" s="106"/>
      <c r="D110" s="76" t="s">
        <v>538</v>
      </c>
      <c r="E110" s="76"/>
    </row>
    <row r="111" spans="1:5" x14ac:dyDescent="0.25">
      <c r="A111" s="107">
        <v>104</v>
      </c>
      <c r="B111" s="109"/>
      <c r="C111" s="108"/>
      <c r="D111" s="54"/>
      <c r="E111" s="54" t="s">
        <v>539</v>
      </c>
    </row>
    <row r="112" spans="1:5" x14ac:dyDescent="0.25">
      <c r="A112" s="100">
        <v>105</v>
      </c>
      <c r="B112" s="103"/>
      <c r="C112" s="101"/>
      <c r="D112" s="54" t="s">
        <v>540</v>
      </c>
      <c r="E112" s="54"/>
    </row>
    <row r="113" spans="1:5" x14ac:dyDescent="0.25">
      <c r="A113" s="100">
        <v>106</v>
      </c>
      <c r="B113" s="103"/>
      <c r="C113" s="101"/>
      <c r="D113" s="54"/>
      <c r="E113" s="54" t="s">
        <v>541</v>
      </c>
    </row>
    <row r="114" spans="1:5" x14ac:dyDescent="0.25">
      <c r="A114" s="100">
        <v>107</v>
      </c>
      <c r="B114" s="103"/>
      <c r="C114" s="101"/>
      <c r="D114" s="54" t="s">
        <v>542</v>
      </c>
      <c r="E114" s="54"/>
    </row>
    <row r="115" spans="1:5" x14ac:dyDescent="0.25">
      <c r="A115" s="100">
        <v>108</v>
      </c>
      <c r="B115" s="103"/>
      <c r="C115" s="101"/>
      <c r="D115" s="74"/>
      <c r="E115" s="74" t="s">
        <v>543</v>
      </c>
    </row>
    <row r="116" spans="1:5" x14ac:dyDescent="0.25">
      <c r="A116" s="100">
        <v>109</v>
      </c>
      <c r="B116" s="103"/>
      <c r="C116" s="101"/>
      <c r="D116" s="74" t="s">
        <v>544</v>
      </c>
      <c r="E116" s="74"/>
    </row>
    <row r="117" spans="1:5" x14ac:dyDescent="0.25">
      <c r="A117" s="100">
        <v>110</v>
      </c>
      <c r="B117" s="103"/>
      <c r="C117" s="101"/>
      <c r="D117" s="54"/>
      <c r="E117" s="54" t="s">
        <v>545</v>
      </c>
    </row>
    <row r="118" spans="1:5" x14ac:dyDescent="0.25">
      <c r="A118" s="100">
        <v>111</v>
      </c>
      <c r="B118" s="103"/>
      <c r="C118" s="101"/>
      <c r="D118" s="54" t="s">
        <v>546</v>
      </c>
      <c r="E118" s="54"/>
    </row>
    <row r="119" spans="1:5" x14ac:dyDescent="0.25">
      <c r="A119" s="100">
        <v>112</v>
      </c>
      <c r="B119" s="103"/>
      <c r="C119" s="101"/>
      <c r="D119" s="54"/>
      <c r="E119" s="54" t="s">
        <v>547</v>
      </c>
    </row>
    <row r="120" spans="1:5" x14ac:dyDescent="0.25">
      <c r="A120" s="100">
        <v>113</v>
      </c>
      <c r="B120" s="103"/>
      <c r="C120" s="101"/>
      <c r="D120" s="54" t="s">
        <v>548</v>
      </c>
      <c r="E120" s="54"/>
    </row>
    <row r="121" spans="1:5" x14ac:dyDescent="0.25">
      <c r="A121" s="100">
        <v>114</v>
      </c>
      <c r="B121" s="103"/>
      <c r="C121" s="101"/>
      <c r="D121" s="74"/>
      <c r="E121" s="74" t="s">
        <v>549</v>
      </c>
    </row>
    <row r="122" spans="1:5" x14ac:dyDescent="0.25">
      <c r="A122" s="100">
        <v>115</v>
      </c>
      <c r="B122" s="103"/>
      <c r="C122" s="101"/>
      <c r="D122" s="74" t="s">
        <v>550</v>
      </c>
      <c r="E122" s="74"/>
    </row>
    <row r="123" spans="1:5" x14ac:dyDescent="0.25">
      <c r="A123" s="100">
        <v>116</v>
      </c>
      <c r="B123" s="103"/>
      <c r="C123" s="101"/>
      <c r="D123" s="54"/>
      <c r="E123" s="54" t="s">
        <v>551</v>
      </c>
    </row>
    <row r="124" spans="1:5" x14ac:dyDescent="0.25">
      <c r="A124" s="100">
        <v>117</v>
      </c>
      <c r="B124" s="103"/>
      <c r="C124" s="101"/>
      <c r="D124" s="54" t="s">
        <v>552</v>
      </c>
      <c r="E124" s="54"/>
    </row>
    <row r="125" spans="1:5" x14ac:dyDescent="0.25">
      <c r="A125" s="100">
        <v>118</v>
      </c>
      <c r="B125" s="103"/>
      <c r="C125" s="101"/>
      <c r="D125" s="54"/>
      <c r="E125" s="54" t="s">
        <v>553</v>
      </c>
    </row>
    <row r="126" spans="1:5" x14ac:dyDescent="0.25">
      <c r="A126" s="100">
        <v>119</v>
      </c>
      <c r="B126" s="103"/>
      <c r="C126" s="101"/>
      <c r="D126" s="54" t="s">
        <v>554</v>
      </c>
      <c r="E126" s="54"/>
    </row>
    <row r="127" spans="1:5" x14ac:dyDescent="0.25">
      <c r="A127" s="100">
        <v>120</v>
      </c>
      <c r="B127" s="103"/>
      <c r="C127" s="101"/>
      <c r="D127" s="74"/>
      <c r="E127" s="74" t="s">
        <v>555</v>
      </c>
    </row>
    <row r="128" spans="1:5" x14ac:dyDescent="0.25">
      <c r="A128" s="100">
        <v>121</v>
      </c>
      <c r="B128" s="103"/>
      <c r="C128" s="101"/>
      <c r="D128" s="74" t="s">
        <v>556</v>
      </c>
      <c r="E128" s="74"/>
    </row>
    <row r="129" spans="1:5" x14ac:dyDescent="0.25">
      <c r="A129" s="100">
        <v>122</v>
      </c>
      <c r="B129" s="103"/>
      <c r="C129" s="101"/>
      <c r="D129" s="54"/>
      <c r="E129" s="54" t="s">
        <v>557</v>
      </c>
    </row>
    <row r="130" spans="1:5" x14ac:dyDescent="0.25">
      <c r="A130" s="100">
        <v>123</v>
      </c>
      <c r="B130" s="103"/>
      <c r="C130" s="101"/>
      <c r="D130" s="54" t="s">
        <v>558</v>
      </c>
      <c r="E130" s="54"/>
    </row>
    <row r="131" spans="1:5" x14ac:dyDescent="0.25">
      <c r="A131" s="100">
        <v>124</v>
      </c>
      <c r="B131" s="103"/>
      <c r="C131" s="101"/>
      <c r="D131" s="54"/>
      <c r="E131" s="54" t="s">
        <v>559</v>
      </c>
    </row>
    <row r="132" spans="1:5" x14ac:dyDescent="0.25">
      <c r="A132" s="100">
        <v>125</v>
      </c>
      <c r="B132" s="103"/>
      <c r="C132" s="101"/>
      <c r="D132" s="54" t="s">
        <v>560</v>
      </c>
      <c r="E132" s="54"/>
    </row>
    <row r="133" spans="1:5" x14ac:dyDescent="0.25">
      <c r="A133" s="100">
        <v>126</v>
      </c>
      <c r="B133" s="103"/>
      <c r="C133" s="101"/>
      <c r="D133" s="74"/>
      <c r="E133" s="74" t="s">
        <v>561</v>
      </c>
    </row>
    <row r="134" spans="1:5" x14ac:dyDescent="0.25">
      <c r="A134" s="100">
        <v>127</v>
      </c>
      <c r="B134" s="103"/>
      <c r="C134" s="101"/>
      <c r="D134" s="74" t="s">
        <v>562</v>
      </c>
      <c r="E134" s="74"/>
    </row>
    <row r="135" spans="1:5" x14ac:dyDescent="0.25">
      <c r="A135" s="100">
        <v>128</v>
      </c>
      <c r="B135" s="103"/>
      <c r="C135" s="101"/>
      <c r="D135" s="54"/>
      <c r="E135" s="54" t="s">
        <v>563</v>
      </c>
    </row>
    <row r="136" spans="1:5" x14ac:dyDescent="0.25">
      <c r="A136" s="100">
        <v>129</v>
      </c>
      <c r="B136" s="103"/>
      <c r="C136" s="101"/>
      <c r="D136" s="54" t="s">
        <v>564</v>
      </c>
      <c r="E136" s="54"/>
    </row>
    <row r="137" spans="1:5" x14ac:dyDescent="0.25">
      <c r="A137" s="100">
        <v>130</v>
      </c>
      <c r="B137" s="103"/>
      <c r="C137" s="101"/>
      <c r="D137" s="54"/>
      <c r="E137" s="54" t="s">
        <v>565</v>
      </c>
    </row>
    <row r="138" spans="1:5" x14ac:dyDescent="0.25">
      <c r="A138" s="100">
        <v>131</v>
      </c>
      <c r="B138" s="103"/>
      <c r="C138" s="101"/>
      <c r="D138" s="54" t="s">
        <v>566</v>
      </c>
      <c r="E138" s="54"/>
    </row>
    <row r="139" spans="1:5" x14ac:dyDescent="0.25">
      <c r="A139" s="100">
        <v>132</v>
      </c>
      <c r="B139" s="103"/>
      <c r="C139" s="101"/>
      <c r="D139" s="74"/>
      <c r="E139" s="74" t="s">
        <v>567</v>
      </c>
    </row>
    <row r="140" spans="1:5" x14ac:dyDescent="0.25">
      <c r="A140" s="100">
        <v>133</v>
      </c>
      <c r="B140" s="103"/>
      <c r="C140" s="101"/>
      <c r="D140" s="74" t="s">
        <v>568</v>
      </c>
      <c r="E140" s="74"/>
    </row>
    <row r="141" spans="1:5" x14ac:dyDescent="0.25">
      <c r="A141" s="100">
        <v>134</v>
      </c>
      <c r="B141" s="103"/>
      <c r="C141" s="101"/>
      <c r="D141" s="54"/>
      <c r="E141" s="54" t="s">
        <v>569</v>
      </c>
    </row>
    <row r="142" spans="1:5" x14ac:dyDescent="0.25">
      <c r="A142" s="100">
        <v>135</v>
      </c>
      <c r="B142" s="103"/>
      <c r="C142" s="101"/>
      <c r="D142" s="54" t="s">
        <v>570</v>
      </c>
      <c r="E142" s="54"/>
    </row>
    <row r="143" spans="1:5" x14ac:dyDescent="0.25">
      <c r="A143" s="100">
        <v>136</v>
      </c>
      <c r="B143" s="103"/>
      <c r="C143" s="101"/>
      <c r="D143" s="54"/>
      <c r="E143" s="54" t="s">
        <v>571</v>
      </c>
    </row>
    <row r="144" spans="1:5" x14ac:dyDescent="0.25">
      <c r="A144" s="100">
        <v>137</v>
      </c>
      <c r="B144" s="103"/>
      <c r="C144" s="101"/>
      <c r="D144" s="54" t="s">
        <v>572</v>
      </c>
      <c r="E144" s="54"/>
    </row>
    <row r="145" spans="1:5" x14ac:dyDescent="0.25">
      <c r="A145" s="100">
        <v>138</v>
      </c>
      <c r="B145" s="103"/>
      <c r="C145" s="101"/>
      <c r="D145" s="74"/>
      <c r="E145" s="74" t="s">
        <v>573</v>
      </c>
    </row>
    <row r="146" spans="1:5" x14ac:dyDescent="0.25">
      <c r="A146" s="100">
        <v>139</v>
      </c>
      <c r="B146" s="103"/>
      <c r="C146" s="101"/>
      <c r="D146" s="74" t="s">
        <v>574</v>
      </c>
      <c r="E146" s="74"/>
    </row>
    <row r="147" spans="1:5" x14ac:dyDescent="0.25">
      <c r="A147" s="100">
        <v>140</v>
      </c>
      <c r="B147" s="103"/>
      <c r="C147" s="101"/>
      <c r="D147" s="54"/>
      <c r="E147" s="54" t="s">
        <v>575</v>
      </c>
    </row>
    <row r="148" spans="1:5" x14ac:dyDescent="0.25">
      <c r="A148" s="100">
        <v>141</v>
      </c>
      <c r="B148" s="103"/>
      <c r="C148" s="101"/>
      <c r="D148" s="54" t="s">
        <v>576</v>
      </c>
      <c r="E148" s="54"/>
    </row>
    <row r="149" spans="1:5" x14ac:dyDescent="0.25">
      <c r="A149" s="100">
        <v>142</v>
      </c>
      <c r="B149" s="103"/>
      <c r="C149" s="101"/>
      <c r="D149" s="54"/>
      <c r="E149" s="54" t="s">
        <v>577</v>
      </c>
    </row>
    <row r="150" spans="1:5" x14ac:dyDescent="0.25">
      <c r="A150" s="100">
        <v>143</v>
      </c>
      <c r="B150" s="103"/>
      <c r="C150" s="101"/>
      <c r="D150" s="54" t="s">
        <v>578</v>
      </c>
      <c r="E150" s="54"/>
    </row>
    <row r="151" spans="1:5" x14ac:dyDescent="0.25">
      <c r="A151" s="100">
        <v>144</v>
      </c>
      <c r="B151" s="103"/>
      <c r="C151" s="101"/>
      <c r="D151" s="74"/>
      <c r="E151" s="74" t="s">
        <v>579</v>
      </c>
    </row>
    <row r="152" spans="1:5" x14ac:dyDescent="0.25">
      <c r="A152" s="100">
        <v>145</v>
      </c>
      <c r="B152" s="103"/>
      <c r="C152" s="101"/>
      <c r="D152" s="74" t="s">
        <v>580</v>
      </c>
      <c r="E152" s="74"/>
    </row>
    <row r="153" spans="1:5" x14ac:dyDescent="0.25">
      <c r="A153" s="100">
        <v>146</v>
      </c>
      <c r="B153" s="103"/>
      <c r="C153" s="101"/>
      <c r="D153" s="54"/>
      <c r="E153" s="54" t="s">
        <v>581</v>
      </c>
    </row>
    <row r="154" spans="1:5" x14ac:dyDescent="0.25">
      <c r="A154" s="100">
        <v>147</v>
      </c>
      <c r="B154" s="103"/>
      <c r="C154" s="101"/>
      <c r="D154" s="54" t="s">
        <v>582</v>
      </c>
      <c r="E154" s="54"/>
    </row>
    <row r="155" spans="1:5" x14ac:dyDescent="0.25">
      <c r="A155" s="100">
        <v>148</v>
      </c>
      <c r="B155" s="103"/>
      <c r="C155" s="101"/>
      <c r="D155" s="54"/>
      <c r="E155" s="54" t="s">
        <v>583</v>
      </c>
    </row>
    <row r="156" spans="1:5" x14ac:dyDescent="0.25">
      <c r="A156" s="100">
        <v>149</v>
      </c>
      <c r="B156" s="103"/>
      <c r="C156" s="101"/>
      <c r="D156" s="54" t="s">
        <v>584</v>
      </c>
      <c r="E156" s="54"/>
    </row>
    <row r="157" spans="1:5" x14ac:dyDescent="0.25">
      <c r="A157" s="100">
        <v>150</v>
      </c>
      <c r="B157" s="103"/>
      <c r="C157" s="101"/>
      <c r="D157" s="74"/>
      <c r="E157" s="74" t="s">
        <v>585</v>
      </c>
    </row>
    <row r="158" spans="1:5" x14ac:dyDescent="0.25">
      <c r="A158" s="100">
        <v>151</v>
      </c>
      <c r="B158" s="103"/>
      <c r="C158" s="101"/>
      <c r="D158" s="74" t="s">
        <v>586</v>
      </c>
      <c r="E158" s="74"/>
    </row>
    <row r="159" spans="1:5" x14ac:dyDescent="0.25">
      <c r="A159" s="100">
        <v>152</v>
      </c>
      <c r="B159" s="103"/>
      <c r="C159" s="101"/>
      <c r="D159" s="54"/>
      <c r="E159" s="54" t="s">
        <v>587</v>
      </c>
    </row>
    <row r="160" spans="1:5" x14ac:dyDescent="0.25">
      <c r="A160" s="100">
        <v>153</v>
      </c>
      <c r="B160" s="103"/>
      <c r="C160" s="101"/>
      <c r="D160" s="54" t="s">
        <v>588</v>
      </c>
      <c r="E160" s="54"/>
    </row>
    <row r="161" spans="1:5" x14ac:dyDescent="0.25">
      <c r="A161" s="100">
        <v>154</v>
      </c>
      <c r="B161" s="103"/>
      <c r="C161" s="101"/>
      <c r="D161" s="54"/>
      <c r="E161" s="54" t="s">
        <v>589</v>
      </c>
    </row>
    <row r="162" spans="1:5" x14ac:dyDescent="0.25">
      <c r="A162" s="104">
        <v>155</v>
      </c>
      <c r="B162" s="105"/>
      <c r="C162" s="106"/>
      <c r="D162" s="56" t="s">
        <v>590</v>
      </c>
      <c r="E162" s="56"/>
    </row>
    <row r="163" spans="1:5" x14ac:dyDescent="0.25">
      <c r="A163" s="107">
        <v>156</v>
      </c>
      <c r="B163" s="109"/>
      <c r="C163" s="108"/>
      <c r="D163" s="74"/>
      <c r="E163" s="74" t="s">
        <v>591</v>
      </c>
    </row>
    <row r="164" spans="1:5" x14ac:dyDescent="0.25">
      <c r="A164" s="100">
        <v>157</v>
      </c>
      <c r="B164" s="103"/>
      <c r="C164" s="101"/>
      <c r="D164" s="74" t="s">
        <v>592</v>
      </c>
      <c r="E164" s="74"/>
    </row>
    <row r="165" spans="1:5" x14ac:dyDescent="0.25">
      <c r="A165" s="100">
        <v>158</v>
      </c>
      <c r="B165" s="103"/>
      <c r="C165" s="101"/>
      <c r="D165" s="54"/>
      <c r="E165" s="54" t="s">
        <v>593</v>
      </c>
    </row>
    <row r="166" spans="1:5" x14ac:dyDescent="0.25">
      <c r="A166" s="100">
        <v>159</v>
      </c>
      <c r="B166" s="103"/>
      <c r="C166" s="101"/>
      <c r="D166" s="54" t="s">
        <v>594</v>
      </c>
      <c r="E166" s="54"/>
    </row>
    <row r="167" spans="1:5" x14ac:dyDescent="0.25">
      <c r="A167" s="100">
        <v>160</v>
      </c>
      <c r="B167" s="103"/>
      <c r="C167" s="101"/>
      <c r="D167" s="54"/>
      <c r="E167" s="54" t="s">
        <v>595</v>
      </c>
    </row>
    <row r="168" spans="1:5" x14ac:dyDescent="0.25">
      <c r="A168" s="100">
        <v>161</v>
      </c>
      <c r="B168" s="103"/>
      <c r="C168" s="101"/>
      <c r="D168" s="54" t="s">
        <v>596</v>
      </c>
      <c r="E168" s="54"/>
    </row>
    <row r="169" spans="1:5" x14ac:dyDescent="0.25">
      <c r="A169" s="100">
        <v>162</v>
      </c>
      <c r="B169" s="103"/>
      <c r="C169" s="101"/>
      <c r="D169" s="74"/>
      <c r="E169" s="74" t="s">
        <v>597</v>
      </c>
    </row>
    <row r="170" spans="1:5" x14ac:dyDescent="0.25">
      <c r="A170" s="100">
        <v>163</v>
      </c>
      <c r="B170" s="103"/>
      <c r="C170" s="101"/>
      <c r="D170" s="74" t="s">
        <v>598</v>
      </c>
      <c r="E170" s="74"/>
    </row>
    <row r="171" spans="1:5" x14ac:dyDescent="0.25">
      <c r="A171" s="100">
        <v>164</v>
      </c>
      <c r="B171" s="103"/>
      <c r="C171" s="101"/>
      <c r="D171" s="54"/>
      <c r="E171" s="54" t="s">
        <v>599</v>
      </c>
    </row>
    <row r="172" spans="1:5" x14ac:dyDescent="0.25">
      <c r="A172" s="100">
        <v>165</v>
      </c>
      <c r="B172" s="103"/>
      <c r="C172" s="101"/>
      <c r="D172" s="54" t="s">
        <v>600</v>
      </c>
      <c r="E172" s="54"/>
    </row>
    <row r="173" spans="1:5" x14ac:dyDescent="0.25">
      <c r="A173" s="100">
        <v>166</v>
      </c>
      <c r="B173" s="103"/>
      <c r="C173" s="101"/>
      <c r="D173" s="54"/>
      <c r="E173" s="54" t="s">
        <v>601</v>
      </c>
    </row>
    <row r="174" spans="1:5" x14ac:dyDescent="0.25">
      <c r="A174" s="100">
        <v>167</v>
      </c>
      <c r="B174" s="103"/>
      <c r="C174" s="101"/>
      <c r="D174" s="54" t="s">
        <v>602</v>
      </c>
      <c r="E174" s="54"/>
    </row>
    <row r="175" spans="1:5" x14ac:dyDescent="0.25">
      <c r="A175" s="100">
        <v>168</v>
      </c>
      <c r="B175" s="103"/>
      <c r="C175" s="101"/>
      <c r="D175" s="74"/>
      <c r="E175" s="74" t="s">
        <v>603</v>
      </c>
    </row>
    <row r="176" spans="1:5" x14ac:dyDescent="0.25">
      <c r="A176" s="100">
        <v>169</v>
      </c>
      <c r="B176" s="103"/>
      <c r="C176" s="101"/>
      <c r="D176" s="74" t="s">
        <v>604</v>
      </c>
      <c r="E176" s="74"/>
    </row>
    <row r="177" spans="1:5" x14ac:dyDescent="0.25">
      <c r="A177" s="100">
        <v>170</v>
      </c>
      <c r="B177" s="103"/>
      <c r="C177" s="101"/>
      <c r="D177" s="54"/>
      <c r="E177" s="54" t="s">
        <v>605</v>
      </c>
    </row>
    <row r="178" spans="1:5" x14ac:dyDescent="0.25">
      <c r="A178" s="100">
        <v>171</v>
      </c>
      <c r="B178" s="103"/>
      <c r="C178" s="101"/>
      <c r="D178" s="54" t="s">
        <v>606</v>
      </c>
      <c r="E178" s="54"/>
    </row>
    <row r="179" spans="1:5" x14ac:dyDescent="0.25">
      <c r="A179" s="100">
        <v>172</v>
      </c>
      <c r="B179" s="103"/>
      <c r="C179" s="101"/>
      <c r="D179" s="54"/>
      <c r="E179" s="54" t="s">
        <v>607</v>
      </c>
    </row>
    <row r="180" spans="1:5" x14ac:dyDescent="0.25">
      <c r="A180" s="100">
        <v>173</v>
      </c>
      <c r="B180" s="103"/>
      <c r="C180" s="101"/>
      <c r="D180" s="54" t="s">
        <v>608</v>
      </c>
      <c r="E180" s="54"/>
    </row>
    <row r="181" spans="1:5" x14ac:dyDescent="0.25">
      <c r="A181" s="100">
        <v>174</v>
      </c>
      <c r="B181" s="103"/>
      <c r="C181" s="101"/>
      <c r="D181" s="74"/>
      <c r="E181" s="74" t="s">
        <v>609</v>
      </c>
    </row>
    <row r="182" spans="1:5" x14ac:dyDescent="0.25">
      <c r="A182" s="100">
        <v>175</v>
      </c>
      <c r="B182" s="103"/>
      <c r="C182" s="101"/>
      <c r="D182" s="74" t="s">
        <v>610</v>
      </c>
      <c r="E182" s="74"/>
    </row>
    <row r="183" spans="1:5" x14ac:dyDescent="0.25">
      <c r="A183" s="100">
        <v>176</v>
      </c>
      <c r="B183" s="103"/>
      <c r="C183" s="101"/>
      <c r="D183" s="54"/>
      <c r="E183" s="54" t="s">
        <v>611</v>
      </c>
    </row>
    <row r="184" spans="1:5" x14ac:dyDescent="0.25">
      <c r="A184" s="100">
        <v>177</v>
      </c>
      <c r="B184" s="103"/>
      <c r="C184" s="101"/>
      <c r="D184" s="54" t="s">
        <v>612</v>
      </c>
      <c r="E184" s="54"/>
    </row>
    <row r="185" spans="1:5" x14ac:dyDescent="0.25">
      <c r="A185" s="100">
        <v>178</v>
      </c>
      <c r="B185" s="103"/>
      <c r="C185" s="101"/>
      <c r="D185" s="54"/>
      <c r="E185" s="54" t="s">
        <v>613</v>
      </c>
    </row>
    <row r="186" spans="1:5" x14ac:dyDescent="0.25">
      <c r="A186" s="100">
        <v>179</v>
      </c>
      <c r="B186" s="103"/>
      <c r="C186" s="101"/>
      <c r="D186" s="54" t="s">
        <v>614</v>
      </c>
      <c r="E186" s="54"/>
    </row>
    <row r="187" spans="1:5" x14ac:dyDescent="0.25">
      <c r="A187" s="100">
        <v>180</v>
      </c>
      <c r="B187" s="103"/>
      <c r="C187" s="101"/>
      <c r="D187" s="74"/>
      <c r="E187" s="74" t="s">
        <v>615</v>
      </c>
    </row>
    <row r="188" spans="1:5" x14ac:dyDescent="0.25">
      <c r="A188" s="100">
        <v>181</v>
      </c>
      <c r="B188" s="103"/>
      <c r="C188" s="101"/>
      <c r="D188" s="74" t="s">
        <v>616</v>
      </c>
      <c r="E188" s="74"/>
    </row>
    <row r="189" spans="1:5" x14ac:dyDescent="0.25">
      <c r="A189" s="100">
        <v>182</v>
      </c>
      <c r="B189" s="103"/>
      <c r="C189" s="101"/>
      <c r="D189" s="54"/>
      <c r="E189" s="54" t="s">
        <v>617</v>
      </c>
    </row>
    <row r="190" spans="1:5" x14ac:dyDescent="0.25">
      <c r="A190" s="100">
        <v>183</v>
      </c>
      <c r="B190" s="103"/>
      <c r="C190" s="101"/>
      <c r="D190" s="54" t="s">
        <v>618</v>
      </c>
      <c r="E190" s="54"/>
    </row>
    <row r="191" spans="1:5" x14ac:dyDescent="0.25">
      <c r="A191" s="100">
        <v>184</v>
      </c>
      <c r="B191" s="103"/>
      <c r="C191" s="101"/>
      <c r="D191" s="54"/>
      <c r="E191" s="54" t="s">
        <v>619</v>
      </c>
    </row>
    <row r="192" spans="1:5" x14ac:dyDescent="0.25">
      <c r="A192" s="100">
        <v>185</v>
      </c>
      <c r="B192" s="103"/>
      <c r="C192" s="101"/>
      <c r="D192" s="54" t="s">
        <v>620</v>
      </c>
      <c r="E192" s="54"/>
    </row>
    <row r="193" spans="1:5" x14ac:dyDescent="0.25">
      <c r="A193" s="100">
        <v>186</v>
      </c>
      <c r="B193" s="103"/>
      <c r="C193" s="101"/>
      <c r="D193" s="74"/>
      <c r="E193" s="74" t="s">
        <v>621</v>
      </c>
    </row>
    <row r="194" spans="1:5" x14ac:dyDescent="0.25">
      <c r="A194" s="100">
        <v>187</v>
      </c>
      <c r="B194" s="103"/>
      <c r="C194" s="101"/>
      <c r="D194" s="74" t="s">
        <v>622</v>
      </c>
      <c r="E194" s="74"/>
    </row>
    <row r="195" spans="1:5" x14ac:dyDescent="0.25">
      <c r="A195" s="100">
        <v>188</v>
      </c>
      <c r="B195" s="103"/>
      <c r="C195" s="101"/>
      <c r="D195" s="54"/>
      <c r="E195" s="54" t="s">
        <v>623</v>
      </c>
    </row>
    <row r="196" spans="1:5" x14ac:dyDescent="0.25">
      <c r="A196" s="100">
        <v>189</v>
      </c>
      <c r="B196" s="103"/>
      <c r="C196" s="101"/>
      <c r="D196" s="54" t="s">
        <v>624</v>
      </c>
      <c r="E196" s="54"/>
    </row>
    <row r="197" spans="1:5" x14ac:dyDescent="0.25">
      <c r="A197" s="100">
        <v>190</v>
      </c>
      <c r="B197" s="103"/>
      <c r="C197" s="101"/>
      <c r="D197" s="54"/>
      <c r="E197" s="54" t="s">
        <v>625</v>
      </c>
    </row>
    <row r="198" spans="1:5" x14ac:dyDescent="0.25">
      <c r="A198" s="100">
        <v>191</v>
      </c>
      <c r="B198" s="103"/>
      <c r="C198" s="101"/>
      <c r="D198" s="54" t="s">
        <v>626</v>
      </c>
      <c r="E198" s="54"/>
    </row>
    <row r="199" spans="1:5" x14ac:dyDescent="0.25">
      <c r="A199" s="100">
        <v>192</v>
      </c>
      <c r="B199" s="103"/>
      <c r="C199" s="101"/>
      <c r="D199" s="74"/>
      <c r="E199" s="74" t="s">
        <v>627</v>
      </c>
    </row>
    <row r="200" spans="1:5" x14ac:dyDescent="0.25">
      <c r="A200" s="100">
        <v>193</v>
      </c>
      <c r="B200" s="103"/>
      <c r="C200" s="101"/>
      <c r="D200" s="74" t="s">
        <v>628</v>
      </c>
      <c r="E200" s="74"/>
    </row>
    <row r="201" spans="1:5" x14ac:dyDescent="0.25">
      <c r="A201" s="100">
        <v>194</v>
      </c>
      <c r="B201" s="103"/>
      <c r="C201" s="101"/>
      <c r="D201" s="54"/>
      <c r="E201" s="54" t="s">
        <v>629</v>
      </c>
    </row>
    <row r="202" spans="1:5" x14ac:dyDescent="0.25">
      <c r="A202" s="100">
        <v>195</v>
      </c>
      <c r="B202" s="103"/>
      <c r="C202" s="101"/>
      <c r="D202" s="54" t="s">
        <v>630</v>
      </c>
      <c r="E202" s="54"/>
    </row>
    <row r="203" spans="1:5" x14ac:dyDescent="0.25">
      <c r="A203" s="100">
        <v>196</v>
      </c>
      <c r="B203" s="103"/>
      <c r="C203" s="101"/>
      <c r="D203" s="54"/>
      <c r="E203" s="54" t="s">
        <v>631</v>
      </c>
    </row>
    <row r="204" spans="1:5" x14ac:dyDescent="0.25">
      <c r="A204" s="100">
        <v>197</v>
      </c>
      <c r="B204" s="103"/>
      <c r="C204" s="101"/>
      <c r="D204" s="54" t="s">
        <v>632</v>
      </c>
      <c r="E204" s="54"/>
    </row>
    <row r="205" spans="1:5" x14ac:dyDescent="0.25">
      <c r="A205" s="100">
        <v>198</v>
      </c>
      <c r="B205" s="103"/>
      <c r="C205" s="101"/>
      <c r="D205" s="74"/>
      <c r="E205" s="74" t="s">
        <v>633</v>
      </c>
    </row>
    <row r="206" spans="1:5" x14ac:dyDescent="0.25">
      <c r="A206" s="100">
        <v>199</v>
      </c>
      <c r="B206" s="103"/>
      <c r="C206" s="101"/>
      <c r="D206" s="74" t="s">
        <v>634</v>
      </c>
      <c r="E206" s="74"/>
    </row>
    <row r="207" spans="1:5" x14ac:dyDescent="0.25">
      <c r="A207" s="104">
        <v>200</v>
      </c>
      <c r="B207" s="105"/>
      <c r="C207" s="106"/>
      <c r="D207" s="56"/>
      <c r="E207" s="56" t="s">
        <v>635</v>
      </c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4"/>
  <sheetViews>
    <sheetView topLeftCell="A979" zoomScale="79" zoomScaleNormal="79" workbookViewId="0">
      <selection activeCell="J1238" sqref="J1238"/>
    </sheetView>
  </sheetViews>
  <sheetFormatPr defaultRowHeight="12.75" x14ac:dyDescent="0.2"/>
  <cols>
    <col min="1" max="1" width="3.7109375" customWidth="1"/>
    <col min="2" max="2" width="14.85546875" customWidth="1"/>
    <col min="3" max="3" width="2.140625" customWidth="1"/>
    <col min="4" max="4" width="21.5703125" customWidth="1"/>
    <col min="5" max="5" width="3.7109375" customWidth="1"/>
    <col min="6" max="6" width="3.140625" customWidth="1"/>
    <col min="7" max="7" width="3.7109375" customWidth="1"/>
    <col min="8" max="8" width="14.85546875" customWidth="1"/>
    <col min="9" max="9" width="2.5703125" customWidth="1"/>
    <col min="10" max="10" width="20.7109375" customWidth="1"/>
    <col min="11" max="11" width="3.7109375" customWidth="1"/>
  </cols>
  <sheetData>
    <row r="1" spans="1:11" x14ac:dyDescent="0.2">
      <c r="A1" s="34"/>
      <c r="B1" s="35"/>
      <c r="C1" s="35"/>
      <c r="D1" s="35"/>
      <c r="E1" s="36"/>
      <c r="G1" s="34"/>
      <c r="H1" s="35"/>
      <c r="I1" s="35"/>
      <c r="J1" s="35"/>
      <c r="K1" s="36"/>
    </row>
    <row r="2" spans="1:11" ht="14.1" customHeight="1" x14ac:dyDescent="0.25">
      <c r="A2" s="146" t="s">
        <v>232</v>
      </c>
      <c r="B2" s="147"/>
      <c r="C2" s="147"/>
      <c r="D2" s="147"/>
      <c r="E2" s="148"/>
      <c r="G2" s="146" t="s">
        <v>232</v>
      </c>
      <c r="H2" s="147"/>
      <c r="I2" s="147"/>
      <c r="J2" s="147"/>
      <c r="K2" s="148"/>
    </row>
    <row r="3" spans="1:11" ht="8.25" customHeight="1" x14ac:dyDescent="0.2">
      <c r="A3" s="37"/>
      <c r="B3" s="2"/>
      <c r="C3" s="2"/>
      <c r="D3" s="2"/>
      <c r="E3" s="38"/>
      <c r="G3" s="39"/>
      <c r="H3" s="2"/>
      <c r="I3" s="2"/>
      <c r="J3" s="2"/>
      <c r="K3" s="38"/>
    </row>
    <row r="4" spans="1:11" x14ac:dyDescent="0.2">
      <c r="A4" s="39"/>
      <c r="B4" s="2" t="s">
        <v>228</v>
      </c>
      <c r="C4" s="1" t="s">
        <v>231</v>
      </c>
      <c r="D4" s="40">
        <f xml:space="preserve">   'Rekap SHU dan Jasa Simpanan'!B8</f>
        <v>2</v>
      </c>
      <c r="E4" s="38"/>
      <c r="G4" s="39"/>
      <c r="H4" s="2" t="s">
        <v>228</v>
      </c>
      <c r="I4" s="1" t="s">
        <v>231</v>
      </c>
      <c r="J4" s="40">
        <f>'Rekap SHU dan Jasa Simpanan'!B9</f>
        <v>4</v>
      </c>
      <c r="K4" s="38"/>
    </row>
    <row r="5" spans="1:11" x14ac:dyDescent="0.2">
      <c r="A5" s="39"/>
      <c r="B5" s="2" t="s">
        <v>229</v>
      </c>
      <c r="C5" s="1" t="s">
        <v>231</v>
      </c>
      <c r="D5" s="2" t="str">
        <f>'Rekap SHU dan Jasa Simpanan'!C8</f>
        <v xml:space="preserve"> Darsono</v>
      </c>
      <c r="E5" s="38"/>
      <c r="G5" s="39"/>
      <c r="H5" s="2" t="s">
        <v>229</v>
      </c>
      <c r="I5" s="1" t="s">
        <v>231</v>
      </c>
      <c r="J5" s="2" t="str">
        <f>'Rekap SHU dan Jasa Simpanan'!C9</f>
        <v xml:space="preserve"> Suwedi</v>
      </c>
      <c r="K5" s="38"/>
    </row>
    <row r="6" spans="1:11" x14ac:dyDescent="0.2">
      <c r="A6" s="39"/>
      <c r="B6" s="2" t="s">
        <v>221</v>
      </c>
      <c r="C6" s="1" t="s">
        <v>231</v>
      </c>
      <c r="D6" s="41">
        <f>'Rekap SHU dan Jasa Simpanan'!BD8</f>
        <v>233610</v>
      </c>
      <c r="E6" s="38"/>
      <c r="G6" s="39"/>
      <c r="H6" s="2" t="s">
        <v>221</v>
      </c>
      <c r="I6" s="1" t="s">
        <v>231</v>
      </c>
      <c r="J6" s="41">
        <f>'Rekap SHU dan Jasa Simpanan'!BD9</f>
        <v>515750</v>
      </c>
      <c r="K6" s="38"/>
    </row>
    <row r="7" spans="1:11" x14ac:dyDescent="0.2">
      <c r="A7" s="39"/>
      <c r="B7" s="2" t="s">
        <v>223</v>
      </c>
      <c r="C7" s="1" t="s">
        <v>231</v>
      </c>
      <c r="D7" s="41">
        <f>'Rekap SHU dan Jasa Simpanan'!BQ8</f>
        <v>405176.58903716243</v>
      </c>
      <c r="E7" s="38"/>
      <c r="G7" s="39"/>
      <c r="H7" s="2" t="s">
        <v>223</v>
      </c>
      <c r="I7" s="1" t="s">
        <v>231</v>
      </c>
      <c r="J7" s="41">
        <f>'Rekap SHU dan Jasa Simpanan'!BQ9</f>
        <v>675022.14116309898</v>
      </c>
      <c r="K7" s="38"/>
    </row>
    <row r="8" spans="1:11" x14ac:dyDescent="0.2">
      <c r="A8" s="39"/>
      <c r="B8" s="10" t="s">
        <v>224</v>
      </c>
      <c r="C8" s="1" t="s">
        <v>231</v>
      </c>
      <c r="D8" s="41">
        <f>'Rekap SHU dan Jasa Simpanan'!BR8</f>
        <v>0</v>
      </c>
      <c r="E8" s="38"/>
      <c r="G8" s="39"/>
      <c r="H8" s="10" t="s">
        <v>224</v>
      </c>
      <c r="I8" s="1" t="s">
        <v>231</v>
      </c>
      <c r="J8" s="41">
        <f>'Rekap SHU dan Jasa Simpanan'!BR9</f>
        <v>0</v>
      </c>
      <c r="K8" s="38"/>
    </row>
    <row r="9" spans="1:11" x14ac:dyDescent="0.2">
      <c r="A9" s="42"/>
      <c r="B9" s="31" t="s">
        <v>230</v>
      </c>
      <c r="C9" s="32" t="s">
        <v>231</v>
      </c>
      <c r="D9" s="33">
        <v>0</v>
      </c>
      <c r="E9" s="43"/>
      <c r="G9" s="39"/>
      <c r="H9" s="31" t="s">
        <v>230</v>
      </c>
      <c r="I9" s="32" t="s">
        <v>231</v>
      </c>
      <c r="J9" s="33">
        <v>50000</v>
      </c>
      <c r="K9" s="43"/>
    </row>
    <row r="10" spans="1:11" x14ac:dyDescent="0.2">
      <c r="A10" s="39"/>
      <c r="B10" s="1" t="s">
        <v>5</v>
      </c>
      <c r="C10" s="2"/>
      <c r="D10" s="41">
        <f>SUM(D6:D9)</f>
        <v>638786.58903716248</v>
      </c>
      <c r="E10" s="38"/>
      <c r="G10" s="44"/>
      <c r="H10" s="1" t="s">
        <v>5</v>
      </c>
      <c r="I10" s="2"/>
      <c r="J10" s="41">
        <f>SUM(J6:J9)</f>
        <v>1240772.1411630991</v>
      </c>
      <c r="K10" s="38"/>
    </row>
    <row r="11" spans="1:11" ht="14.1" customHeight="1" x14ac:dyDescent="0.2">
      <c r="A11" s="42"/>
      <c r="B11" s="31"/>
      <c r="C11" s="31"/>
      <c r="D11" s="31"/>
      <c r="E11" s="43"/>
      <c r="G11" s="42"/>
      <c r="H11" s="31"/>
      <c r="I11" s="31"/>
      <c r="J11" s="31"/>
      <c r="K11" s="43"/>
    </row>
    <row r="13" spans="1:11" x14ac:dyDescent="0.2">
      <c r="A13" s="34"/>
      <c r="B13" s="35"/>
      <c r="C13" s="35"/>
      <c r="D13" s="35"/>
      <c r="E13" s="36"/>
      <c r="G13" s="34"/>
      <c r="H13" s="35"/>
      <c r="I13" s="35"/>
      <c r="J13" s="35"/>
      <c r="K13" s="36"/>
    </row>
    <row r="14" spans="1:11" ht="13.5" x14ac:dyDescent="0.25">
      <c r="A14" s="146" t="s">
        <v>232</v>
      </c>
      <c r="B14" s="147"/>
      <c r="C14" s="147"/>
      <c r="D14" s="147"/>
      <c r="E14" s="148"/>
      <c r="G14" s="146" t="s">
        <v>232</v>
      </c>
      <c r="H14" s="147"/>
      <c r="I14" s="147"/>
      <c r="J14" s="147"/>
      <c r="K14" s="148"/>
    </row>
    <row r="15" spans="1:11" x14ac:dyDescent="0.2">
      <c r="A15" s="37"/>
      <c r="B15" s="2"/>
      <c r="C15" s="2"/>
      <c r="D15" s="2"/>
      <c r="E15" s="38"/>
      <c r="G15" s="39"/>
      <c r="H15" s="2"/>
      <c r="I15" s="2"/>
      <c r="J15" s="2"/>
      <c r="K15" s="38"/>
    </row>
    <row r="16" spans="1:11" x14ac:dyDescent="0.2">
      <c r="A16" s="39"/>
      <c r="B16" s="2" t="s">
        <v>228</v>
      </c>
      <c r="C16" s="1" t="s">
        <v>231</v>
      </c>
      <c r="D16" s="40">
        <f>'Rekap SHU dan Jasa Simpanan'!B10</f>
        <v>5</v>
      </c>
      <c r="E16" s="38"/>
      <c r="G16" s="39"/>
      <c r="H16" s="2" t="s">
        <v>228</v>
      </c>
      <c r="I16" s="1" t="s">
        <v>231</v>
      </c>
      <c r="J16" s="40">
        <f>'Rekap SHU dan Jasa Simpanan'!B11</f>
        <v>7</v>
      </c>
      <c r="K16" s="38"/>
    </row>
    <row r="17" spans="1:11" x14ac:dyDescent="0.2">
      <c r="A17" s="39"/>
      <c r="B17" s="2" t="s">
        <v>229</v>
      </c>
      <c r="C17" s="1" t="s">
        <v>231</v>
      </c>
      <c r="D17" s="2" t="str">
        <f>'Rekap SHU dan Jasa Simpanan'!C10</f>
        <v xml:space="preserve"> Ahmad Juaeni</v>
      </c>
      <c r="E17" s="38"/>
      <c r="G17" s="39"/>
      <c r="H17" s="2" t="s">
        <v>229</v>
      </c>
      <c r="I17" s="1" t="s">
        <v>231</v>
      </c>
      <c r="J17" s="2" t="str">
        <f>'Rekap SHU dan Jasa Simpanan'!C11</f>
        <v xml:space="preserve"> Achmad Firdaus</v>
      </c>
      <c r="K17" s="38"/>
    </row>
    <row r="18" spans="1:11" x14ac:dyDescent="0.2">
      <c r="A18" s="39"/>
      <c r="B18" s="2" t="s">
        <v>221</v>
      </c>
      <c r="C18" s="1" t="s">
        <v>231</v>
      </c>
      <c r="D18" s="41">
        <f>'Rekap SHU dan Jasa Simpanan'!BD10</f>
        <v>27910</v>
      </c>
      <c r="E18" s="38"/>
      <c r="G18" s="39"/>
      <c r="H18" s="2" t="s">
        <v>221</v>
      </c>
      <c r="I18" s="1" t="s">
        <v>231</v>
      </c>
      <c r="J18" s="41">
        <f>'Rekap SHU dan Jasa Simpanan'!BD11</f>
        <v>71150</v>
      </c>
      <c r="K18" s="38"/>
    </row>
    <row r="19" spans="1:11" x14ac:dyDescent="0.2">
      <c r="A19" s="39"/>
      <c r="B19" s="2" t="s">
        <v>223</v>
      </c>
      <c r="C19" s="1" t="s">
        <v>231</v>
      </c>
      <c r="D19" s="41">
        <f>'Rekap SHU dan Jasa Simpanan'!BQ10</f>
        <v>182861.17471134351</v>
      </c>
      <c r="E19" s="38"/>
      <c r="G19" s="39"/>
      <c r="H19" s="2" t="s">
        <v>223</v>
      </c>
      <c r="I19" s="1" t="s">
        <v>231</v>
      </c>
      <c r="J19" s="41">
        <f>'Rekap SHU dan Jasa Simpanan'!BQ11</f>
        <v>226475.07234846649</v>
      </c>
      <c r="K19" s="38"/>
    </row>
    <row r="20" spans="1:11" x14ac:dyDescent="0.2">
      <c r="A20" s="39"/>
      <c r="B20" s="10" t="s">
        <v>224</v>
      </c>
      <c r="C20" s="1" t="s">
        <v>231</v>
      </c>
      <c r="D20" s="41">
        <f>'Rekap SHU dan Jasa Simpanan'!BR10</f>
        <v>737059.41210966138</v>
      </c>
      <c r="E20" s="38"/>
      <c r="G20" s="39"/>
      <c r="H20" s="10" t="s">
        <v>224</v>
      </c>
      <c r="I20" s="1" t="s">
        <v>231</v>
      </c>
      <c r="J20" s="41">
        <f>'Rekap SHU dan Jasa Simpanan'!BR11</f>
        <v>737059.41210966138</v>
      </c>
      <c r="K20" s="38"/>
    </row>
    <row r="21" spans="1:11" x14ac:dyDescent="0.2">
      <c r="A21" s="42"/>
      <c r="B21" s="31" t="s">
        <v>230</v>
      </c>
      <c r="C21" s="32" t="s">
        <v>231</v>
      </c>
      <c r="D21" s="33">
        <v>50000</v>
      </c>
      <c r="E21" s="43"/>
      <c r="G21" s="39"/>
      <c r="H21" s="31" t="s">
        <v>230</v>
      </c>
      <c r="I21" s="32" t="s">
        <v>231</v>
      </c>
      <c r="J21" s="33">
        <v>50000</v>
      </c>
      <c r="K21" s="43"/>
    </row>
    <row r="22" spans="1:11" x14ac:dyDescent="0.2">
      <c r="A22" s="39"/>
      <c r="B22" s="1" t="s">
        <v>5</v>
      </c>
      <c r="C22" s="2"/>
      <c r="D22" s="41">
        <f>SUM(D18:D21)</f>
        <v>997830.58682100486</v>
      </c>
      <c r="E22" s="38"/>
      <c r="G22" s="44"/>
      <c r="H22" s="1" t="s">
        <v>5</v>
      </c>
      <c r="I22" s="2"/>
      <c r="J22" s="41">
        <f>SUM(J18:J21)</f>
        <v>1084684.484458128</v>
      </c>
      <c r="K22" s="38"/>
    </row>
    <row r="23" spans="1:11" x14ac:dyDescent="0.2">
      <c r="A23" s="42"/>
      <c r="B23" s="31"/>
      <c r="C23" s="31"/>
      <c r="D23" s="31"/>
      <c r="E23" s="43"/>
      <c r="G23" s="42"/>
      <c r="H23" s="31"/>
      <c r="I23" s="31"/>
      <c r="J23" s="31"/>
      <c r="K23" s="43"/>
    </row>
    <row r="25" spans="1:11" x14ac:dyDescent="0.2">
      <c r="A25" s="34"/>
      <c r="B25" s="35"/>
      <c r="C25" s="35"/>
      <c r="D25" s="35"/>
      <c r="E25" s="36"/>
      <c r="G25" s="34"/>
      <c r="H25" s="35"/>
      <c r="I25" s="35"/>
      <c r="J25" s="35"/>
      <c r="K25" s="36"/>
    </row>
    <row r="26" spans="1:11" ht="13.5" x14ac:dyDescent="0.25">
      <c r="A26" s="146" t="s">
        <v>232</v>
      </c>
      <c r="B26" s="147"/>
      <c r="C26" s="147"/>
      <c r="D26" s="147"/>
      <c r="E26" s="148"/>
      <c r="G26" s="146" t="s">
        <v>232</v>
      </c>
      <c r="H26" s="147"/>
      <c r="I26" s="147"/>
      <c r="J26" s="147"/>
      <c r="K26" s="148"/>
    </row>
    <row r="27" spans="1:11" x14ac:dyDescent="0.2">
      <c r="A27" s="37"/>
      <c r="B27" s="2"/>
      <c r="C27" s="2"/>
      <c r="D27" s="2"/>
      <c r="E27" s="38"/>
      <c r="G27" s="39"/>
      <c r="H27" s="2"/>
      <c r="I27" s="2"/>
      <c r="J27" s="2"/>
      <c r="K27" s="38"/>
    </row>
    <row r="28" spans="1:11" x14ac:dyDescent="0.2">
      <c r="A28" s="39"/>
      <c r="B28" s="2" t="s">
        <v>228</v>
      </c>
      <c r="C28" s="1" t="s">
        <v>231</v>
      </c>
      <c r="D28" s="40">
        <f>'Rekap SHU dan Jasa Simpanan'!B12</f>
        <v>10</v>
      </c>
      <c r="E28" s="38"/>
      <c r="G28" s="39"/>
      <c r="H28" s="2" t="s">
        <v>228</v>
      </c>
      <c r="I28" s="1" t="s">
        <v>231</v>
      </c>
      <c r="J28" s="40">
        <f>'Rekap SHU dan Jasa Simpanan'!B13</f>
        <v>11</v>
      </c>
      <c r="K28" s="38"/>
    </row>
    <row r="29" spans="1:11" x14ac:dyDescent="0.2">
      <c r="A29" s="39"/>
      <c r="B29" s="2" t="s">
        <v>229</v>
      </c>
      <c r="C29" s="1" t="s">
        <v>231</v>
      </c>
      <c r="D29" s="7" t="str">
        <f>'Rekap SHU dan Jasa Simpanan'!C12</f>
        <v xml:space="preserve"> Hasan Sasmita</v>
      </c>
      <c r="E29" s="38"/>
      <c r="G29" s="39"/>
      <c r="H29" s="2" t="s">
        <v>229</v>
      </c>
      <c r="I29" s="1" t="s">
        <v>231</v>
      </c>
      <c r="J29" s="2" t="str">
        <f>'Rekap SHU dan Jasa Simpanan'!C13</f>
        <v xml:space="preserve"> Cepi Kurniawan</v>
      </c>
      <c r="K29" s="38"/>
    </row>
    <row r="30" spans="1:11" x14ac:dyDescent="0.2">
      <c r="A30" s="39"/>
      <c r="B30" s="2" t="s">
        <v>221</v>
      </c>
      <c r="C30" s="1" t="s">
        <v>231</v>
      </c>
      <c r="D30" s="41">
        <f>'Rekap SHU dan Jasa Simpanan'!BD12</f>
        <v>92850</v>
      </c>
      <c r="E30" s="38"/>
      <c r="G30" s="39"/>
      <c r="H30" s="2" t="s">
        <v>221</v>
      </c>
      <c r="I30" s="1" t="s">
        <v>231</v>
      </c>
      <c r="J30" s="41">
        <f>'Rekap SHU dan Jasa Simpanan'!BD13</f>
        <v>162800</v>
      </c>
      <c r="K30" s="38"/>
    </row>
    <row r="31" spans="1:11" x14ac:dyDescent="0.2">
      <c r="A31" s="39"/>
      <c r="B31" s="2" t="s">
        <v>223</v>
      </c>
      <c r="C31" s="1" t="s">
        <v>231</v>
      </c>
      <c r="D31" s="41">
        <f>'Rekap SHU dan Jasa Simpanan'!BQ12</f>
        <v>250276.23608044942</v>
      </c>
      <c r="E31" s="38"/>
      <c r="G31" s="39"/>
      <c r="H31" s="2" t="s">
        <v>223</v>
      </c>
      <c r="I31" s="1" t="s">
        <v>231</v>
      </c>
      <c r="J31" s="41">
        <f>'Rekap SHU dan Jasa Simpanan'!BQ13</f>
        <v>319286.15639685141</v>
      </c>
      <c r="K31" s="38"/>
    </row>
    <row r="32" spans="1:11" x14ac:dyDescent="0.2">
      <c r="A32" s="39"/>
      <c r="B32" s="10" t="s">
        <v>224</v>
      </c>
      <c r="C32" s="1" t="s">
        <v>231</v>
      </c>
      <c r="D32" s="41">
        <f>'Rekap SHU dan Jasa Simpanan'!BR12</f>
        <v>491372.94140644086</v>
      </c>
      <c r="E32" s="38"/>
      <c r="G32" s="39"/>
      <c r="H32" s="10" t="s">
        <v>224</v>
      </c>
      <c r="I32" s="1" t="s">
        <v>231</v>
      </c>
      <c r="J32" s="41">
        <f>'Rekap SHU dan Jasa Simpanan'!BR13</f>
        <v>529590.8368491641</v>
      </c>
      <c r="K32" s="38"/>
    </row>
    <row r="33" spans="1:11" x14ac:dyDescent="0.2">
      <c r="A33" s="42"/>
      <c r="B33" s="31" t="s">
        <v>230</v>
      </c>
      <c r="C33" s="32" t="s">
        <v>231</v>
      </c>
      <c r="D33" s="33">
        <v>50000</v>
      </c>
      <c r="E33" s="43"/>
      <c r="G33" s="39"/>
      <c r="H33" s="31" t="s">
        <v>230</v>
      </c>
      <c r="I33" s="32" t="s">
        <v>231</v>
      </c>
      <c r="J33" s="33">
        <v>50000</v>
      </c>
      <c r="K33" s="43"/>
    </row>
    <row r="34" spans="1:11" x14ac:dyDescent="0.2">
      <c r="A34" s="39"/>
      <c r="B34" s="1" t="s">
        <v>5</v>
      </c>
      <c r="C34" s="2"/>
      <c r="D34" s="41">
        <f>SUM(D30:D33)</f>
        <v>884499.17748689023</v>
      </c>
      <c r="E34" s="38"/>
      <c r="G34" s="44"/>
      <c r="H34" s="1" t="s">
        <v>5</v>
      </c>
      <c r="I34" s="2"/>
      <c r="J34" s="41">
        <f>SUM(J30:J33)</f>
        <v>1061676.9932460156</v>
      </c>
      <c r="K34" s="38"/>
    </row>
    <row r="35" spans="1:11" x14ac:dyDescent="0.2">
      <c r="A35" s="42"/>
      <c r="B35" s="31"/>
      <c r="C35" s="31"/>
      <c r="D35" s="31"/>
      <c r="E35" s="43"/>
      <c r="G35" s="42"/>
      <c r="H35" s="31"/>
      <c r="I35" s="31"/>
      <c r="J35" s="31"/>
      <c r="K35" s="43"/>
    </row>
    <row r="37" spans="1:11" x14ac:dyDescent="0.2">
      <c r="A37" s="34"/>
      <c r="B37" s="35"/>
      <c r="C37" s="35"/>
      <c r="D37" s="35"/>
      <c r="E37" s="36"/>
      <c r="G37" s="34"/>
      <c r="H37" s="35"/>
      <c r="I37" s="35"/>
      <c r="J37" s="35"/>
      <c r="K37" s="36"/>
    </row>
    <row r="38" spans="1:11" ht="13.5" x14ac:dyDescent="0.25">
      <c r="A38" s="146" t="s">
        <v>232</v>
      </c>
      <c r="B38" s="147"/>
      <c r="C38" s="147"/>
      <c r="D38" s="147"/>
      <c r="E38" s="148"/>
      <c r="G38" s="146" t="s">
        <v>232</v>
      </c>
      <c r="H38" s="147"/>
      <c r="I38" s="147"/>
      <c r="J38" s="147"/>
      <c r="K38" s="148"/>
    </row>
    <row r="39" spans="1:11" x14ac:dyDescent="0.2">
      <c r="A39" s="37"/>
      <c r="B39" s="2"/>
      <c r="C39" s="2"/>
      <c r="D39" s="2"/>
      <c r="E39" s="38"/>
      <c r="G39" s="39"/>
      <c r="H39" s="2"/>
      <c r="I39" s="2"/>
      <c r="J39" s="2"/>
      <c r="K39" s="38"/>
    </row>
    <row r="40" spans="1:11" x14ac:dyDescent="0.2">
      <c r="A40" s="39"/>
      <c r="B40" s="2" t="s">
        <v>228</v>
      </c>
      <c r="C40" s="1" t="s">
        <v>231</v>
      </c>
      <c r="D40" s="40">
        <f>'Rekap SHU dan Jasa Simpanan'!B14</f>
        <v>18</v>
      </c>
      <c r="E40" s="38"/>
      <c r="G40" s="39"/>
      <c r="H40" s="2" t="s">
        <v>228</v>
      </c>
      <c r="I40" s="1" t="s">
        <v>231</v>
      </c>
      <c r="J40" s="40">
        <f>'Rekap SHU dan Jasa Simpanan'!B15</f>
        <v>19</v>
      </c>
      <c r="K40" s="38"/>
    </row>
    <row r="41" spans="1:11" x14ac:dyDescent="0.2">
      <c r="A41" s="39"/>
      <c r="B41" s="2" t="s">
        <v>229</v>
      </c>
      <c r="C41" s="1" t="s">
        <v>231</v>
      </c>
      <c r="D41" s="7" t="str">
        <f>'Rekap SHU dan Jasa Simpanan'!C14</f>
        <v xml:space="preserve"> Endang Suwardi</v>
      </c>
      <c r="E41" s="38"/>
      <c r="G41" s="39"/>
      <c r="H41" s="2" t="s">
        <v>229</v>
      </c>
      <c r="I41" s="1" t="s">
        <v>231</v>
      </c>
      <c r="J41" s="2" t="str">
        <f>'Rekap SHU dan Jasa Simpanan'!C15</f>
        <v xml:space="preserve"> Mamat AB</v>
      </c>
      <c r="K41" s="38"/>
    </row>
    <row r="42" spans="1:11" x14ac:dyDescent="0.2">
      <c r="A42" s="39"/>
      <c r="B42" s="2" t="s">
        <v>221</v>
      </c>
      <c r="C42" s="1" t="s">
        <v>231</v>
      </c>
      <c r="D42" s="41">
        <f>'Rekap SHU dan Jasa Simpanan'!BD14</f>
        <v>315260</v>
      </c>
      <c r="E42" s="38"/>
      <c r="G42" s="39"/>
      <c r="H42" s="2" t="s">
        <v>221</v>
      </c>
      <c r="I42" s="1" t="s">
        <v>231</v>
      </c>
      <c r="J42" s="41">
        <f>'Rekap SHU dan Jasa Simpanan'!BD15</f>
        <v>44920</v>
      </c>
      <c r="K42" s="38"/>
    </row>
    <row r="43" spans="1:11" x14ac:dyDescent="0.2">
      <c r="A43" s="39"/>
      <c r="B43" s="2" t="s">
        <v>223</v>
      </c>
      <c r="C43" s="1" t="s">
        <v>231</v>
      </c>
      <c r="D43" s="41">
        <f>'Rekap SHU dan Jasa Simpanan'!BQ14</f>
        <v>473611.5583947961</v>
      </c>
      <c r="E43" s="38"/>
      <c r="G43" s="39"/>
      <c r="H43" s="2" t="s">
        <v>223</v>
      </c>
      <c r="I43" s="1" t="s">
        <v>231</v>
      </c>
      <c r="J43" s="41">
        <f>'Rekap SHU dan Jasa Simpanan'!BQ15</f>
        <v>200273.29324422067</v>
      </c>
      <c r="K43" s="38"/>
    </row>
    <row r="44" spans="1:11" x14ac:dyDescent="0.2">
      <c r="A44" s="39"/>
      <c r="B44" s="10" t="s">
        <v>224</v>
      </c>
      <c r="C44" s="1" t="s">
        <v>231</v>
      </c>
      <c r="D44" s="41">
        <f>'Rekap SHU dan Jasa Simpanan'!BR14</f>
        <v>458614.74531267816</v>
      </c>
      <c r="E44" s="38"/>
      <c r="G44" s="39"/>
      <c r="H44" s="10" t="s">
        <v>224</v>
      </c>
      <c r="I44" s="1" t="s">
        <v>231</v>
      </c>
      <c r="J44" s="41">
        <f>'Rekap SHU dan Jasa Simpanan'!BR15</f>
        <v>98274.588281288175</v>
      </c>
      <c r="K44" s="38"/>
    </row>
    <row r="45" spans="1:11" x14ac:dyDescent="0.2">
      <c r="A45" s="42"/>
      <c r="B45" s="31" t="s">
        <v>230</v>
      </c>
      <c r="C45" s="32" t="s">
        <v>231</v>
      </c>
      <c r="D45" s="33">
        <v>50000</v>
      </c>
      <c r="E45" s="43"/>
      <c r="G45" s="39"/>
      <c r="H45" s="31" t="s">
        <v>230</v>
      </c>
      <c r="I45" s="32" t="s">
        <v>231</v>
      </c>
      <c r="J45" s="33">
        <v>50000</v>
      </c>
      <c r="K45" s="43"/>
    </row>
    <row r="46" spans="1:11" x14ac:dyDescent="0.2">
      <c r="A46" s="39"/>
      <c r="B46" s="1" t="s">
        <v>5</v>
      </c>
      <c r="C46" s="2"/>
      <c r="D46" s="41">
        <f>SUM(D42:D45)</f>
        <v>1297486.3037074744</v>
      </c>
      <c r="E46" s="38"/>
      <c r="G46" s="44"/>
      <c r="H46" s="1" t="s">
        <v>5</v>
      </c>
      <c r="I46" s="2"/>
      <c r="J46" s="41">
        <f>SUM(J42:J45)</f>
        <v>393467.88152550883</v>
      </c>
      <c r="K46" s="38"/>
    </row>
    <row r="47" spans="1:11" x14ac:dyDescent="0.2">
      <c r="A47" s="42"/>
      <c r="B47" s="31"/>
      <c r="C47" s="31"/>
      <c r="D47" s="31"/>
      <c r="E47" s="43"/>
      <c r="G47" s="42"/>
      <c r="H47" s="31"/>
      <c r="I47" s="31"/>
      <c r="J47" s="31"/>
      <c r="K47" s="43"/>
    </row>
    <row r="49" spans="1:11" x14ac:dyDescent="0.2">
      <c r="A49" s="34"/>
      <c r="B49" s="35"/>
      <c r="C49" s="35"/>
      <c r="D49" s="35"/>
      <c r="E49" s="36"/>
      <c r="G49" s="34"/>
      <c r="H49" s="35"/>
      <c r="I49" s="35"/>
      <c r="J49" s="35"/>
      <c r="K49" s="36"/>
    </row>
    <row r="50" spans="1:11" ht="13.5" x14ac:dyDescent="0.25">
      <c r="A50" s="146" t="s">
        <v>232</v>
      </c>
      <c r="B50" s="147"/>
      <c r="C50" s="147"/>
      <c r="D50" s="147"/>
      <c r="E50" s="148"/>
      <c r="G50" s="146" t="s">
        <v>232</v>
      </c>
      <c r="H50" s="147"/>
      <c r="I50" s="147"/>
      <c r="J50" s="147"/>
      <c r="K50" s="148"/>
    </row>
    <row r="51" spans="1:11" x14ac:dyDescent="0.2">
      <c r="A51" s="37"/>
      <c r="B51" s="2"/>
      <c r="C51" s="2"/>
      <c r="D51" s="2"/>
      <c r="E51" s="38"/>
      <c r="G51" s="39"/>
      <c r="H51" s="2"/>
      <c r="I51" s="2"/>
      <c r="J51" s="2"/>
      <c r="K51" s="38"/>
    </row>
    <row r="52" spans="1:11" x14ac:dyDescent="0.2">
      <c r="A52" s="39"/>
      <c r="B52" s="2" t="s">
        <v>228</v>
      </c>
      <c r="C52" s="1" t="s">
        <v>231</v>
      </c>
      <c r="D52" s="40">
        <f>'Rekap SHU dan Jasa Simpanan'!B16</f>
        <v>21</v>
      </c>
      <c r="E52" s="38"/>
      <c r="G52" s="39"/>
      <c r="H52" s="2" t="s">
        <v>228</v>
      </c>
      <c r="I52" s="1" t="s">
        <v>231</v>
      </c>
      <c r="J52" s="40">
        <f>'Rekap SHU dan Jasa Simpanan'!B17</f>
        <v>22</v>
      </c>
      <c r="K52" s="38"/>
    </row>
    <row r="53" spans="1:11" x14ac:dyDescent="0.2">
      <c r="A53" s="39"/>
      <c r="B53" s="2" t="s">
        <v>229</v>
      </c>
      <c r="C53" s="1" t="s">
        <v>231</v>
      </c>
      <c r="D53" s="7" t="str">
        <f>'Rekap SHU dan Jasa Simpanan'!C16</f>
        <v xml:space="preserve"> Ade Supriyadi</v>
      </c>
      <c r="E53" s="38"/>
      <c r="G53" s="39"/>
      <c r="H53" s="2" t="s">
        <v>229</v>
      </c>
      <c r="I53" s="1" t="s">
        <v>231</v>
      </c>
      <c r="J53" s="2" t="str">
        <f>'Rekap SHU dan Jasa Simpanan'!C17</f>
        <v xml:space="preserve"> Ali Sasmita</v>
      </c>
      <c r="K53" s="38"/>
    </row>
    <row r="54" spans="1:11" x14ac:dyDescent="0.2">
      <c r="A54" s="39"/>
      <c r="B54" s="2" t="s">
        <v>221</v>
      </c>
      <c r="C54" s="1" t="s">
        <v>231</v>
      </c>
      <c r="D54" s="41">
        <f>'Rekap SHU dan Jasa Simpanan'!BD16</f>
        <v>141650</v>
      </c>
      <c r="E54" s="38"/>
      <c r="G54" s="39"/>
      <c r="H54" s="2" t="s">
        <v>221</v>
      </c>
      <c r="I54" s="1" t="s">
        <v>231</v>
      </c>
      <c r="J54" s="41">
        <f>'Rekap SHU dan Jasa Simpanan'!BD17</f>
        <v>82710</v>
      </c>
      <c r="K54" s="38"/>
    </row>
    <row r="55" spans="1:11" x14ac:dyDescent="0.2">
      <c r="A55" s="39"/>
      <c r="B55" s="2" t="s">
        <v>223</v>
      </c>
      <c r="C55" s="1" t="s">
        <v>231</v>
      </c>
      <c r="D55" s="41">
        <f>'Rekap SHU dan Jasa Simpanan'!BQ16</f>
        <v>296119.05574067705</v>
      </c>
      <c r="E55" s="38"/>
      <c r="G55" s="39"/>
      <c r="H55" s="2" t="s">
        <v>223</v>
      </c>
      <c r="I55" s="1" t="s">
        <v>231</v>
      </c>
      <c r="J55" s="41">
        <f>'Rekap SHU dan Jasa Simpanan'!BQ17</f>
        <v>238256.83147680142</v>
      </c>
      <c r="K55" s="38"/>
    </row>
    <row r="56" spans="1:11" x14ac:dyDescent="0.2">
      <c r="A56" s="39"/>
      <c r="B56" s="10" t="s">
        <v>224</v>
      </c>
      <c r="C56" s="1" t="s">
        <v>231</v>
      </c>
      <c r="D56" s="41">
        <f>'Rekap SHU dan Jasa Simpanan'!BR16</f>
        <v>658439.74148463074</v>
      </c>
      <c r="E56" s="38"/>
      <c r="G56" s="39"/>
      <c r="H56" s="10" t="s">
        <v>224</v>
      </c>
      <c r="I56" s="1" t="s">
        <v>231</v>
      </c>
      <c r="J56" s="41">
        <f>'Rekap SHU dan Jasa Simpanan'!BR17</f>
        <v>687922.11796901724</v>
      </c>
      <c r="K56" s="38"/>
    </row>
    <row r="57" spans="1:11" x14ac:dyDescent="0.2">
      <c r="A57" s="42"/>
      <c r="B57" s="31" t="s">
        <v>230</v>
      </c>
      <c r="C57" s="32" t="s">
        <v>231</v>
      </c>
      <c r="D57" s="33">
        <v>50000</v>
      </c>
      <c r="E57" s="43"/>
      <c r="G57" s="39"/>
      <c r="H57" s="31" t="s">
        <v>230</v>
      </c>
      <c r="I57" s="32" t="s">
        <v>231</v>
      </c>
      <c r="J57" s="33">
        <v>50000</v>
      </c>
      <c r="K57" s="43"/>
    </row>
    <row r="58" spans="1:11" x14ac:dyDescent="0.2">
      <c r="A58" s="39"/>
      <c r="B58" s="1" t="s">
        <v>5</v>
      </c>
      <c r="C58" s="2"/>
      <c r="D58" s="41">
        <f>SUM(D54:D57)</f>
        <v>1146208.7972253077</v>
      </c>
      <c r="E58" s="38"/>
      <c r="G58" s="44"/>
      <c r="H58" s="1" t="s">
        <v>5</v>
      </c>
      <c r="I58" s="2"/>
      <c r="J58" s="41">
        <f>SUM(J54:J57)</f>
        <v>1058888.9494458186</v>
      </c>
      <c r="K58" s="38"/>
    </row>
    <row r="59" spans="1:11" x14ac:dyDescent="0.2">
      <c r="A59" s="42"/>
      <c r="B59" s="31"/>
      <c r="C59" s="31"/>
      <c r="D59" s="31"/>
      <c r="E59" s="43"/>
      <c r="G59" s="42"/>
      <c r="H59" s="31"/>
      <c r="I59" s="31"/>
      <c r="J59" s="31"/>
      <c r="K59" s="43"/>
    </row>
    <row r="64" spans="1:11" x14ac:dyDescent="0.2">
      <c r="A64" s="34"/>
      <c r="B64" s="35"/>
      <c r="C64" s="35"/>
      <c r="D64" s="35"/>
      <c r="E64" s="36"/>
      <c r="G64" s="34"/>
      <c r="H64" s="35"/>
      <c r="I64" s="35"/>
      <c r="J64" s="35"/>
      <c r="K64" s="36"/>
    </row>
    <row r="65" spans="1:11" ht="13.5" x14ac:dyDescent="0.25">
      <c r="A65" s="146" t="s">
        <v>232</v>
      </c>
      <c r="B65" s="147"/>
      <c r="C65" s="147"/>
      <c r="D65" s="147"/>
      <c r="E65" s="148"/>
      <c r="G65" s="146" t="s">
        <v>232</v>
      </c>
      <c r="H65" s="147"/>
      <c r="I65" s="147"/>
      <c r="J65" s="147"/>
      <c r="K65" s="148"/>
    </row>
    <row r="66" spans="1:11" x14ac:dyDescent="0.2">
      <c r="A66" s="37"/>
      <c r="B66" s="2"/>
      <c r="C66" s="2"/>
      <c r="D66" s="2"/>
      <c r="E66" s="38"/>
      <c r="G66" s="39"/>
      <c r="H66" s="2"/>
      <c r="I66" s="2"/>
      <c r="J66" s="2"/>
      <c r="K66" s="38"/>
    </row>
    <row r="67" spans="1:11" x14ac:dyDescent="0.2">
      <c r="A67" s="39"/>
      <c r="B67" s="2" t="s">
        <v>228</v>
      </c>
      <c r="C67" s="1" t="s">
        <v>231</v>
      </c>
      <c r="D67" s="40">
        <f xml:space="preserve">   'Rekap SHU dan Jasa Simpanan'!B18</f>
        <v>23</v>
      </c>
      <c r="E67" s="38"/>
      <c r="G67" s="39"/>
      <c r="H67" s="2" t="s">
        <v>228</v>
      </c>
      <c r="I67" s="1" t="s">
        <v>231</v>
      </c>
      <c r="J67" s="40">
        <f>'Rekap SHU dan Jasa Simpanan'!B19</f>
        <v>24</v>
      </c>
      <c r="K67" s="38"/>
    </row>
    <row r="68" spans="1:11" x14ac:dyDescent="0.2">
      <c r="A68" s="39"/>
      <c r="B68" s="2" t="s">
        <v>229</v>
      </c>
      <c r="C68" s="1" t="s">
        <v>231</v>
      </c>
      <c r="D68" s="2" t="str">
        <f>'Rekap SHU dan Jasa Simpanan'!C18</f>
        <v xml:space="preserve"> Rodiah</v>
      </c>
      <c r="E68" s="38"/>
      <c r="G68" s="39"/>
      <c r="H68" s="2" t="s">
        <v>229</v>
      </c>
      <c r="I68" s="1" t="s">
        <v>231</v>
      </c>
      <c r="J68" s="2" t="str">
        <f>'Rekap SHU dan Jasa Simpanan'!C19</f>
        <v xml:space="preserve"> Denden</v>
      </c>
      <c r="K68" s="38"/>
    </row>
    <row r="69" spans="1:11" x14ac:dyDescent="0.2">
      <c r="A69" s="39"/>
      <c r="B69" s="2" t="s">
        <v>221</v>
      </c>
      <c r="C69" s="1" t="s">
        <v>231</v>
      </c>
      <c r="D69" s="41">
        <f>'Rekap SHU dan Jasa Simpanan'!BD18</f>
        <v>519637.5</v>
      </c>
      <c r="E69" s="38"/>
      <c r="G69" s="39"/>
      <c r="H69" s="2" t="s">
        <v>221</v>
      </c>
      <c r="I69" s="1" t="s">
        <v>231</v>
      </c>
      <c r="J69" s="41">
        <f>'Rekap SHU dan Jasa Simpanan'!BD19</f>
        <v>129570</v>
      </c>
      <c r="K69" s="38"/>
    </row>
    <row r="70" spans="1:11" x14ac:dyDescent="0.2">
      <c r="A70" s="39"/>
      <c r="B70" s="2" t="s">
        <v>223</v>
      </c>
      <c r="C70" s="1" t="s">
        <v>231</v>
      </c>
      <c r="D70" s="41">
        <f>'Rekap SHU dan Jasa Simpanan'!BQ18</f>
        <v>662034.81846618699</v>
      </c>
      <c r="E70" s="38"/>
      <c r="G70" s="39"/>
      <c r="H70" s="2" t="s">
        <v>223</v>
      </c>
      <c r="I70" s="1" t="s">
        <v>231</v>
      </c>
      <c r="J70" s="41">
        <f>'Rekap SHU dan Jasa Simpanan'!BQ19</f>
        <v>287661.19471010775</v>
      </c>
      <c r="K70" s="38"/>
    </row>
    <row r="71" spans="1:11" x14ac:dyDescent="0.2">
      <c r="A71" s="39"/>
      <c r="B71" s="10" t="s">
        <v>224</v>
      </c>
      <c r="C71" s="1" t="s">
        <v>231</v>
      </c>
      <c r="D71" s="41">
        <f>'Rekap SHU dan Jasa Simpanan'!BR18</f>
        <v>425856.54921891546</v>
      </c>
      <c r="E71" s="38"/>
      <c r="G71" s="39"/>
      <c r="H71" s="10" t="s">
        <v>224</v>
      </c>
      <c r="I71" s="1" t="s">
        <v>231</v>
      </c>
      <c r="J71" s="41">
        <f>'Rekap SHU dan Jasa Simpanan'!BR19</f>
        <v>442235.64726579678</v>
      </c>
      <c r="K71" s="38"/>
    </row>
    <row r="72" spans="1:11" x14ac:dyDescent="0.2">
      <c r="A72" s="42"/>
      <c r="B72" s="31" t="s">
        <v>230</v>
      </c>
      <c r="C72" s="32" t="s">
        <v>231</v>
      </c>
      <c r="D72" s="33">
        <v>50000</v>
      </c>
      <c r="E72" s="43"/>
      <c r="G72" s="39"/>
      <c r="H72" s="31" t="s">
        <v>230</v>
      </c>
      <c r="I72" s="32" t="s">
        <v>231</v>
      </c>
      <c r="J72" s="33">
        <v>50000</v>
      </c>
      <c r="K72" s="43"/>
    </row>
    <row r="73" spans="1:11" x14ac:dyDescent="0.2">
      <c r="A73" s="39"/>
      <c r="B73" s="1" t="s">
        <v>5</v>
      </c>
      <c r="C73" s="2"/>
      <c r="D73" s="41">
        <f>SUM(D69:D72)</f>
        <v>1657528.8676851024</v>
      </c>
      <c r="E73" s="38"/>
      <c r="G73" s="44"/>
      <c r="H73" s="1" t="s">
        <v>5</v>
      </c>
      <c r="I73" s="2"/>
      <c r="J73" s="41">
        <f>SUM(J69:J72)</f>
        <v>909466.84197590454</v>
      </c>
      <c r="K73" s="38"/>
    </row>
    <row r="74" spans="1:11" x14ac:dyDescent="0.2">
      <c r="A74" s="42"/>
      <c r="B74" s="31"/>
      <c r="C74" s="31"/>
      <c r="D74" s="31"/>
      <c r="E74" s="43"/>
      <c r="G74" s="42"/>
      <c r="H74" s="31"/>
      <c r="I74" s="31"/>
      <c r="J74" s="31"/>
      <c r="K74" s="43"/>
    </row>
    <row r="76" spans="1:11" x14ac:dyDescent="0.2">
      <c r="A76" s="34"/>
      <c r="B76" s="35"/>
      <c r="C76" s="35"/>
      <c r="D76" s="35"/>
      <c r="E76" s="36"/>
      <c r="G76" s="34"/>
      <c r="H76" s="35"/>
      <c r="I76" s="35"/>
      <c r="J76" s="35"/>
      <c r="K76" s="36"/>
    </row>
    <row r="77" spans="1:11" ht="13.5" x14ac:dyDescent="0.25">
      <c r="A77" s="146" t="s">
        <v>232</v>
      </c>
      <c r="B77" s="147"/>
      <c r="C77" s="147"/>
      <c r="D77" s="147"/>
      <c r="E77" s="148"/>
      <c r="G77" s="146" t="s">
        <v>232</v>
      </c>
      <c r="H77" s="147"/>
      <c r="I77" s="147"/>
      <c r="J77" s="147"/>
      <c r="K77" s="148"/>
    </row>
    <row r="78" spans="1:11" x14ac:dyDescent="0.2">
      <c r="A78" s="37"/>
      <c r="B78" s="2"/>
      <c r="C78" s="2"/>
      <c r="D78" s="2"/>
      <c r="E78" s="38"/>
      <c r="G78" s="39"/>
      <c r="H78" s="2"/>
      <c r="I78" s="2"/>
      <c r="J78" s="2"/>
      <c r="K78" s="38"/>
    </row>
    <row r="79" spans="1:11" x14ac:dyDescent="0.2">
      <c r="A79" s="39"/>
      <c r="B79" s="2" t="s">
        <v>228</v>
      </c>
      <c r="C79" s="1" t="s">
        <v>231</v>
      </c>
      <c r="D79" s="40">
        <f>'Rekap SHU dan Jasa Simpanan'!B20</f>
        <v>25</v>
      </c>
      <c r="E79" s="38"/>
      <c r="G79" s="39"/>
      <c r="H79" s="2" t="s">
        <v>228</v>
      </c>
      <c r="I79" s="1" t="s">
        <v>231</v>
      </c>
      <c r="J79" s="40">
        <f>'Rekap SHU dan Jasa Simpanan'!B21</f>
        <v>26</v>
      </c>
      <c r="K79" s="38"/>
    </row>
    <row r="80" spans="1:11" x14ac:dyDescent="0.2">
      <c r="A80" s="39"/>
      <c r="B80" s="2" t="s">
        <v>229</v>
      </c>
      <c r="C80" s="1" t="s">
        <v>231</v>
      </c>
      <c r="D80" s="2" t="str">
        <f>'Rekap SHU dan Jasa Simpanan'!C20</f>
        <v xml:space="preserve"> Hambali</v>
      </c>
      <c r="E80" s="38"/>
      <c r="G80" s="39"/>
      <c r="H80" s="2" t="s">
        <v>229</v>
      </c>
      <c r="I80" s="1" t="s">
        <v>231</v>
      </c>
      <c r="J80" s="2" t="str">
        <f>'Rekap SHU dan Jasa Simpanan'!C21</f>
        <v xml:space="preserve"> Rohman</v>
      </c>
      <c r="K80" s="38"/>
    </row>
    <row r="81" spans="1:11" x14ac:dyDescent="0.2">
      <c r="A81" s="39"/>
      <c r="B81" s="2" t="s">
        <v>221</v>
      </c>
      <c r="C81" s="1" t="s">
        <v>231</v>
      </c>
      <c r="D81" s="41">
        <f>'Rekap SHU dan Jasa Simpanan'!BD20</f>
        <v>405650</v>
      </c>
      <c r="E81" s="38"/>
      <c r="G81" s="39"/>
      <c r="H81" s="2" t="s">
        <v>221</v>
      </c>
      <c r="I81" s="1" t="s">
        <v>231</v>
      </c>
      <c r="J81" s="41">
        <f>'Rekap SHU dan Jasa Simpanan'!BD21</f>
        <v>139590</v>
      </c>
      <c r="K81" s="38"/>
    </row>
    <row r="82" spans="1:11" x14ac:dyDescent="0.2">
      <c r="A82" s="39"/>
      <c r="B82" s="2" t="s">
        <v>223</v>
      </c>
      <c r="C82" s="1" t="s">
        <v>231</v>
      </c>
      <c r="D82" s="41">
        <f>'Rekap SHU dan Jasa Simpanan'!BQ20</f>
        <v>572018.39024520421</v>
      </c>
      <c r="E82" s="38"/>
      <c r="G82" s="39"/>
      <c r="H82" s="2" t="s">
        <v>223</v>
      </c>
      <c r="I82" s="1" t="s">
        <v>231</v>
      </c>
      <c r="J82" s="41">
        <f>'Rekap SHU dan Jasa Simpanan'!BQ21</f>
        <v>294129.10518284334</v>
      </c>
      <c r="K82" s="38"/>
    </row>
    <row r="83" spans="1:11" x14ac:dyDescent="0.2">
      <c r="A83" s="39"/>
      <c r="B83" s="10" t="s">
        <v>224</v>
      </c>
      <c r="C83" s="1" t="s">
        <v>231</v>
      </c>
      <c r="D83" s="41">
        <f>'Rekap SHU dan Jasa Simpanan'!BR20</f>
        <v>0</v>
      </c>
      <c r="E83" s="38"/>
      <c r="G83" s="39"/>
      <c r="H83" s="10" t="s">
        <v>224</v>
      </c>
      <c r="I83" s="1" t="s">
        <v>231</v>
      </c>
      <c r="J83" s="41">
        <f>'Rekap SHU dan Jasa Simpanan'!BR21</f>
        <v>196549.17656257635</v>
      </c>
      <c r="K83" s="38"/>
    </row>
    <row r="84" spans="1:11" x14ac:dyDescent="0.2">
      <c r="A84" s="42"/>
      <c r="B84" s="31" t="s">
        <v>230</v>
      </c>
      <c r="C84" s="32" t="s">
        <v>231</v>
      </c>
      <c r="D84" s="33">
        <v>50000</v>
      </c>
      <c r="E84" s="43"/>
      <c r="G84" s="39"/>
      <c r="H84" s="31" t="s">
        <v>230</v>
      </c>
      <c r="I84" s="32" t="s">
        <v>231</v>
      </c>
      <c r="J84" s="33">
        <v>50000</v>
      </c>
      <c r="K84" s="43"/>
    </row>
    <row r="85" spans="1:11" x14ac:dyDescent="0.2">
      <c r="A85" s="39"/>
      <c r="B85" s="1" t="s">
        <v>5</v>
      </c>
      <c r="C85" s="2"/>
      <c r="D85" s="41">
        <f>SUM(D81:D84)</f>
        <v>1027668.3902452042</v>
      </c>
      <c r="E85" s="38"/>
      <c r="G85" s="44"/>
      <c r="H85" s="1" t="s">
        <v>5</v>
      </c>
      <c r="I85" s="2"/>
      <c r="J85" s="41">
        <f>SUM(J81:J84)</f>
        <v>680268.28174541972</v>
      </c>
      <c r="K85" s="38"/>
    </row>
    <row r="86" spans="1:11" x14ac:dyDescent="0.2">
      <c r="A86" s="42"/>
      <c r="B86" s="31"/>
      <c r="C86" s="31"/>
      <c r="D86" s="31"/>
      <c r="E86" s="43"/>
      <c r="G86" s="42"/>
      <c r="H86" s="31"/>
      <c r="I86" s="31"/>
      <c r="J86" s="31"/>
      <c r="K86" s="43"/>
    </row>
    <row r="88" spans="1:11" x14ac:dyDescent="0.2">
      <c r="A88" s="34"/>
      <c r="B88" s="35"/>
      <c r="C88" s="35"/>
      <c r="D88" s="35"/>
      <c r="E88" s="36"/>
      <c r="G88" s="34"/>
      <c r="H88" s="35"/>
      <c r="I88" s="35"/>
      <c r="J88" s="35"/>
      <c r="K88" s="36"/>
    </row>
    <row r="89" spans="1:11" ht="13.5" x14ac:dyDescent="0.25">
      <c r="A89" s="146" t="s">
        <v>232</v>
      </c>
      <c r="B89" s="147"/>
      <c r="C89" s="147"/>
      <c r="D89" s="147"/>
      <c r="E89" s="148"/>
      <c r="G89" s="146" t="s">
        <v>232</v>
      </c>
      <c r="H89" s="147"/>
      <c r="I89" s="147"/>
      <c r="J89" s="147"/>
      <c r="K89" s="148"/>
    </row>
    <row r="90" spans="1:11" x14ac:dyDescent="0.2">
      <c r="A90" s="37"/>
      <c r="B90" s="2"/>
      <c r="C90" s="2"/>
      <c r="D90" s="2"/>
      <c r="E90" s="38"/>
      <c r="G90" s="39"/>
      <c r="H90" s="2"/>
      <c r="I90" s="2"/>
      <c r="J90" s="2"/>
      <c r="K90" s="38"/>
    </row>
    <row r="91" spans="1:11" x14ac:dyDescent="0.2">
      <c r="A91" s="39"/>
      <c r="B91" s="2" t="s">
        <v>228</v>
      </c>
      <c r="C91" s="1" t="s">
        <v>231</v>
      </c>
      <c r="D91" s="40">
        <f>'Rekap SHU dan Jasa Simpanan'!B22</f>
        <v>27</v>
      </c>
      <c r="E91" s="38"/>
      <c r="G91" s="39"/>
      <c r="H91" s="2" t="s">
        <v>228</v>
      </c>
      <c r="I91" s="1" t="s">
        <v>231</v>
      </c>
      <c r="J91" s="40">
        <f>'Rekap SHU dan Jasa Simpanan'!B23</f>
        <v>28</v>
      </c>
      <c r="K91" s="38"/>
    </row>
    <row r="92" spans="1:11" x14ac:dyDescent="0.2">
      <c r="A92" s="39"/>
      <c r="B92" s="2" t="s">
        <v>229</v>
      </c>
      <c r="C92" s="1" t="s">
        <v>231</v>
      </c>
      <c r="D92" s="7" t="str">
        <f>'Rekap SHU dan Jasa Simpanan'!C22</f>
        <v xml:space="preserve"> Budi</v>
      </c>
      <c r="E92" s="38"/>
      <c r="G92" s="39"/>
      <c r="H92" s="2" t="s">
        <v>229</v>
      </c>
      <c r="I92" s="1" t="s">
        <v>231</v>
      </c>
      <c r="J92" s="2" t="str">
        <f>'Rekap SHU dan Jasa Simpanan'!C23</f>
        <v xml:space="preserve"> Ridwan</v>
      </c>
      <c r="K92" s="38"/>
    </row>
    <row r="93" spans="1:11" x14ac:dyDescent="0.2">
      <c r="A93" s="39"/>
      <c r="B93" s="2" t="s">
        <v>221</v>
      </c>
      <c r="C93" s="1" t="s">
        <v>231</v>
      </c>
      <c r="D93" s="41">
        <f>'Rekap SHU dan Jasa Simpanan'!BD22</f>
        <v>133540</v>
      </c>
      <c r="E93" s="38"/>
      <c r="G93" s="39"/>
      <c r="H93" s="2" t="s">
        <v>221</v>
      </c>
      <c r="I93" s="1" t="s">
        <v>231</v>
      </c>
      <c r="J93" s="41">
        <f>'Rekap SHU dan Jasa Simpanan'!BD23</f>
        <v>587570</v>
      </c>
      <c r="K93" s="38"/>
    </row>
    <row r="94" spans="1:11" x14ac:dyDescent="0.2">
      <c r="A94" s="39"/>
      <c r="B94" s="2" t="s">
        <v>223</v>
      </c>
      <c r="C94" s="1" t="s">
        <v>231</v>
      </c>
      <c r="D94" s="41">
        <f>'Rekap SHU dan Jasa Simpanan'!BQ22</f>
        <v>295520.60284969059</v>
      </c>
      <c r="E94" s="38"/>
      <c r="G94" s="39"/>
      <c r="H94" s="2" t="s">
        <v>223</v>
      </c>
      <c r="I94" s="1" t="s">
        <v>231</v>
      </c>
      <c r="J94" s="41">
        <f>'Rekap SHU dan Jasa Simpanan'!BQ23</f>
        <v>665595.10693778994</v>
      </c>
      <c r="K94" s="38"/>
    </row>
    <row r="95" spans="1:11" x14ac:dyDescent="0.2">
      <c r="A95" s="39"/>
      <c r="B95" s="10" t="s">
        <v>224</v>
      </c>
      <c r="C95" s="1" t="s">
        <v>231</v>
      </c>
      <c r="D95" s="41">
        <f>'Rekap SHU dan Jasa Simpanan'!BR22</f>
        <v>0</v>
      </c>
      <c r="E95" s="38"/>
      <c r="G95" s="39"/>
      <c r="H95" s="10" t="s">
        <v>224</v>
      </c>
      <c r="I95" s="1" t="s">
        <v>231</v>
      </c>
      <c r="J95" s="41">
        <f>'Rekap SHU dan Jasa Simpanan'!BR23</f>
        <v>360340.15703139</v>
      </c>
      <c r="K95" s="38"/>
    </row>
    <row r="96" spans="1:11" x14ac:dyDescent="0.2">
      <c r="A96" s="42"/>
      <c r="B96" s="31" t="s">
        <v>230</v>
      </c>
      <c r="C96" s="32" t="s">
        <v>231</v>
      </c>
      <c r="D96" s="33">
        <v>50000</v>
      </c>
      <c r="E96" s="43"/>
      <c r="G96" s="39"/>
      <c r="H96" s="31" t="s">
        <v>230</v>
      </c>
      <c r="I96" s="32" t="s">
        <v>231</v>
      </c>
      <c r="J96" s="33">
        <v>50000</v>
      </c>
      <c r="K96" s="43"/>
    </row>
    <row r="97" spans="1:11" x14ac:dyDescent="0.2">
      <c r="A97" s="39"/>
      <c r="B97" s="1" t="s">
        <v>5</v>
      </c>
      <c r="C97" s="2"/>
      <c r="D97" s="41">
        <f>SUM(D93:D96)</f>
        <v>479060.60284969059</v>
      </c>
      <c r="E97" s="38"/>
      <c r="G97" s="44"/>
      <c r="H97" s="1" t="s">
        <v>5</v>
      </c>
      <c r="I97" s="2"/>
      <c r="J97" s="41">
        <f>SUM(J93:J96)</f>
        <v>1663505.2639691797</v>
      </c>
      <c r="K97" s="38"/>
    </row>
    <row r="98" spans="1:11" x14ac:dyDescent="0.2">
      <c r="A98" s="42"/>
      <c r="B98" s="31"/>
      <c r="C98" s="31"/>
      <c r="D98" s="31"/>
      <c r="E98" s="43"/>
      <c r="G98" s="42"/>
      <c r="H98" s="31"/>
      <c r="I98" s="31"/>
      <c r="J98" s="31"/>
      <c r="K98" s="43"/>
    </row>
    <row r="100" spans="1:11" x14ac:dyDescent="0.2">
      <c r="A100" s="34"/>
      <c r="B100" s="35"/>
      <c r="C100" s="35"/>
      <c r="D100" s="35"/>
      <c r="E100" s="36"/>
      <c r="G100" s="34"/>
      <c r="H100" s="35"/>
      <c r="I100" s="35"/>
      <c r="J100" s="35"/>
      <c r="K100" s="36"/>
    </row>
    <row r="101" spans="1:11" ht="13.5" x14ac:dyDescent="0.25">
      <c r="A101" s="146" t="s">
        <v>232</v>
      </c>
      <c r="B101" s="147"/>
      <c r="C101" s="147"/>
      <c r="D101" s="147"/>
      <c r="E101" s="148"/>
      <c r="G101" s="146" t="s">
        <v>232</v>
      </c>
      <c r="H101" s="147"/>
      <c r="I101" s="147"/>
      <c r="J101" s="147"/>
      <c r="K101" s="148"/>
    </row>
    <row r="102" spans="1:11" x14ac:dyDescent="0.2">
      <c r="A102" s="37"/>
      <c r="B102" s="2"/>
      <c r="C102" s="2"/>
      <c r="D102" s="2"/>
      <c r="E102" s="38"/>
      <c r="G102" s="39"/>
      <c r="H102" s="2"/>
      <c r="I102" s="2"/>
      <c r="J102" s="2"/>
      <c r="K102" s="38"/>
    </row>
    <row r="103" spans="1:11" x14ac:dyDescent="0.2">
      <c r="A103" s="39"/>
      <c r="B103" s="2" t="s">
        <v>228</v>
      </c>
      <c r="C103" s="1" t="s">
        <v>231</v>
      </c>
      <c r="D103" s="40">
        <f>'Rekap SHU dan Jasa Simpanan'!B24</f>
        <v>29</v>
      </c>
      <c r="E103" s="38"/>
      <c r="G103" s="39"/>
      <c r="H103" s="2" t="s">
        <v>228</v>
      </c>
      <c r="I103" s="1" t="s">
        <v>231</v>
      </c>
      <c r="J103" s="40">
        <f>'Rekap SHU dan Jasa Simpanan'!B25</f>
        <v>31</v>
      </c>
      <c r="K103" s="38"/>
    </row>
    <row r="104" spans="1:11" x14ac:dyDescent="0.2">
      <c r="A104" s="39"/>
      <c r="B104" s="2" t="s">
        <v>229</v>
      </c>
      <c r="C104" s="1" t="s">
        <v>231</v>
      </c>
      <c r="D104" s="7" t="str">
        <f>'Rekap SHU dan Jasa Simpanan'!C24</f>
        <v xml:space="preserve"> Jujun Junaedi</v>
      </c>
      <c r="E104" s="38"/>
      <c r="G104" s="39"/>
      <c r="H104" s="2" t="s">
        <v>229</v>
      </c>
      <c r="I104" s="1" t="s">
        <v>231</v>
      </c>
      <c r="J104" s="2" t="str">
        <f>'Rekap SHU dan Jasa Simpanan'!C25</f>
        <v xml:space="preserve"> Ade Casmuri</v>
      </c>
      <c r="K104" s="38"/>
    </row>
    <row r="105" spans="1:11" x14ac:dyDescent="0.2">
      <c r="A105" s="39"/>
      <c r="B105" s="2" t="s">
        <v>221</v>
      </c>
      <c r="C105" s="1" t="s">
        <v>231</v>
      </c>
      <c r="D105" s="41">
        <f>'Rekap SHU dan Jasa Simpanan'!BD24</f>
        <v>121820</v>
      </c>
      <c r="E105" s="38"/>
      <c r="G105" s="39"/>
      <c r="H105" s="2" t="s">
        <v>221</v>
      </c>
      <c r="I105" s="1" t="s">
        <v>231</v>
      </c>
      <c r="J105" s="41">
        <f>'Rekap SHU dan Jasa Simpanan'!BD25</f>
        <v>84170</v>
      </c>
      <c r="K105" s="38"/>
    </row>
    <row r="106" spans="1:11" x14ac:dyDescent="0.2">
      <c r="A106" s="39"/>
      <c r="B106" s="2" t="s">
        <v>223</v>
      </c>
      <c r="C106" s="1" t="s">
        <v>231</v>
      </c>
      <c r="D106" s="41">
        <f>'Rekap SHU dan Jasa Simpanan'!BQ24</f>
        <v>279656.37339324766</v>
      </c>
      <c r="E106" s="38"/>
      <c r="G106" s="39"/>
      <c r="H106" s="2" t="s">
        <v>223</v>
      </c>
      <c r="I106" s="1" t="s">
        <v>231</v>
      </c>
      <c r="J106" s="41">
        <f>'Rekap SHU dan Jasa Simpanan'!BQ25</f>
        <v>240128.40653719951</v>
      </c>
      <c r="K106" s="38"/>
    </row>
    <row r="107" spans="1:11" x14ac:dyDescent="0.2">
      <c r="A107" s="39"/>
      <c r="B107" s="10" t="s">
        <v>224</v>
      </c>
      <c r="C107" s="1" t="s">
        <v>231</v>
      </c>
      <c r="D107" s="41">
        <f>'Rekap SHU dan Jasa Simpanan'!BR24</f>
        <v>589647.52968772908</v>
      </c>
      <c r="E107" s="38"/>
      <c r="G107" s="39"/>
      <c r="H107" s="10" t="s">
        <v>224</v>
      </c>
      <c r="I107" s="1" t="s">
        <v>231</v>
      </c>
      <c r="J107" s="41">
        <f>'Rekap SHU dan Jasa Simpanan'!BR25</f>
        <v>589647.52968772908</v>
      </c>
      <c r="K107" s="38"/>
    </row>
    <row r="108" spans="1:11" x14ac:dyDescent="0.2">
      <c r="A108" s="42"/>
      <c r="B108" s="31" t="s">
        <v>230</v>
      </c>
      <c r="C108" s="32" t="s">
        <v>231</v>
      </c>
      <c r="D108" s="33">
        <v>50000</v>
      </c>
      <c r="E108" s="43"/>
      <c r="G108" s="39"/>
      <c r="H108" s="31" t="s">
        <v>230</v>
      </c>
      <c r="I108" s="32" t="s">
        <v>231</v>
      </c>
      <c r="J108" s="33">
        <v>50000</v>
      </c>
      <c r="K108" s="43"/>
    </row>
    <row r="109" spans="1:11" x14ac:dyDescent="0.2">
      <c r="A109" s="39"/>
      <c r="B109" s="1" t="s">
        <v>5</v>
      </c>
      <c r="C109" s="2"/>
      <c r="D109" s="41">
        <f>SUM(D105:D108)</f>
        <v>1041123.9030809768</v>
      </c>
      <c r="E109" s="38"/>
      <c r="G109" s="44"/>
      <c r="H109" s="1" t="s">
        <v>5</v>
      </c>
      <c r="I109" s="2"/>
      <c r="J109" s="41">
        <f>SUM(J105:J108)</f>
        <v>963945.93622492859</v>
      </c>
      <c r="K109" s="38"/>
    </row>
    <row r="110" spans="1:11" x14ac:dyDescent="0.2">
      <c r="A110" s="42"/>
      <c r="B110" s="31"/>
      <c r="C110" s="31"/>
      <c r="D110" s="31"/>
      <c r="E110" s="43"/>
      <c r="G110" s="42"/>
      <c r="H110" s="31"/>
      <c r="I110" s="31"/>
      <c r="J110" s="31"/>
      <c r="K110" s="43"/>
    </row>
    <row r="112" spans="1:11" x14ac:dyDescent="0.2">
      <c r="A112" s="34"/>
      <c r="B112" s="35"/>
      <c r="C112" s="35"/>
      <c r="D112" s="35"/>
      <c r="E112" s="36"/>
      <c r="G112" s="34"/>
      <c r="H112" s="35"/>
      <c r="I112" s="35"/>
      <c r="J112" s="35"/>
      <c r="K112" s="36"/>
    </row>
    <row r="113" spans="1:11" ht="13.5" x14ac:dyDescent="0.25">
      <c r="A113" s="146" t="s">
        <v>232</v>
      </c>
      <c r="B113" s="147"/>
      <c r="C113" s="147"/>
      <c r="D113" s="147"/>
      <c r="E113" s="148"/>
      <c r="G113" s="146" t="s">
        <v>232</v>
      </c>
      <c r="H113" s="147"/>
      <c r="I113" s="147"/>
      <c r="J113" s="147"/>
      <c r="K113" s="148"/>
    </row>
    <row r="114" spans="1:11" x14ac:dyDescent="0.2">
      <c r="A114" s="37"/>
      <c r="B114" s="2"/>
      <c r="C114" s="2"/>
      <c r="D114" s="2"/>
      <c r="E114" s="38"/>
      <c r="G114" s="39"/>
      <c r="H114" s="2"/>
      <c r="I114" s="2"/>
      <c r="J114" s="2"/>
      <c r="K114" s="38"/>
    </row>
    <row r="115" spans="1:11" x14ac:dyDescent="0.2">
      <c r="A115" s="39"/>
      <c r="B115" s="2" t="s">
        <v>228</v>
      </c>
      <c r="C115" s="1" t="s">
        <v>231</v>
      </c>
      <c r="D115" s="40">
        <f>'Rekap SHU dan Jasa Simpanan'!B26</f>
        <v>33</v>
      </c>
      <c r="E115" s="38"/>
      <c r="G115" s="39"/>
      <c r="H115" s="2" t="s">
        <v>228</v>
      </c>
      <c r="I115" s="1" t="s">
        <v>231</v>
      </c>
      <c r="J115" s="40">
        <f>'Rekap SHU dan Jasa Simpanan'!B27</f>
        <v>34</v>
      </c>
      <c r="K115" s="38"/>
    </row>
    <row r="116" spans="1:11" x14ac:dyDescent="0.2">
      <c r="A116" s="39"/>
      <c r="B116" s="2" t="s">
        <v>229</v>
      </c>
      <c r="C116" s="1" t="s">
        <v>231</v>
      </c>
      <c r="D116" s="7" t="str">
        <f>'Rekap SHU dan Jasa Simpanan'!C26</f>
        <v xml:space="preserve"> Jajat Sudrajat</v>
      </c>
      <c r="E116" s="38"/>
      <c r="G116" s="39"/>
      <c r="H116" s="2" t="s">
        <v>229</v>
      </c>
      <c r="I116" s="1" t="s">
        <v>231</v>
      </c>
      <c r="J116" s="2" t="str">
        <f>'Rekap SHU dan Jasa Simpanan'!C27</f>
        <v xml:space="preserve"> Maman Suratman</v>
      </c>
      <c r="K116" s="38"/>
    </row>
    <row r="117" spans="1:11" x14ac:dyDescent="0.2">
      <c r="A117" s="39"/>
      <c r="B117" s="2" t="s">
        <v>221</v>
      </c>
      <c r="C117" s="1" t="s">
        <v>231</v>
      </c>
      <c r="D117" s="41">
        <f>'Rekap SHU dan Jasa Simpanan'!BD26</f>
        <v>257500</v>
      </c>
      <c r="E117" s="38"/>
      <c r="G117" s="39"/>
      <c r="H117" s="2" t="s">
        <v>221</v>
      </c>
      <c r="I117" s="1" t="s">
        <v>231</v>
      </c>
      <c r="J117" s="41">
        <f>'Rekap SHU dan Jasa Simpanan'!BD27</f>
        <v>179760</v>
      </c>
      <c r="K117" s="38"/>
    </row>
    <row r="118" spans="1:11" x14ac:dyDescent="0.2">
      <c r="A118" s="39"/>
      <c r="B118" s="2" t="s">
        <v>223</v>
      </c>
      <c r="C118" s="1" t="s">
        <v>231</v>
      </c>
      <c r="D118" s="41">
        <f>'Rekap SHU dan Jasa Simpanan'!BQ26</f>
        <v>426805.30243726727</v>
      </c>
      <c r="E118" s="38"/>
      <c r="G118" s="39"/>
      <c r="H118" s="2" t="s">
        <v>223</v>
      </c>
      <c r="I118" s="1" t="s">
        <v>231</v>
      </c>
      <c r="J118" s="41">
        <f>'Rekap SHU dan Jasa Simpanan'!BQ27</f>
        <v>337009.86678009579</v>
      </c>
      <c r="K118" s="38"/>
    </row>
    <row r="119" spans="1:11" x14ac:dyDescent="0.2">
      <c r="A119" s="39"/>
      <c r="B119" s="10" t="s">
        <v>224</v>
      </c>
      <c r="C119" s="1" t="s">
        <v>231</v>
      </c>
      <c r="D119" s="41">
        <f>'Rekap SHU dan Jasa Simpanan'!BR26</f>
        <v>0</v>
      </c>
      <c r="E119" s="38"/>
      <c r="G119" s="39"/>
      <c r="H119" s="10" t="s">
        <v>224</v>
      </c>
      <c r="I119" s="1" t="s">
        <v>231</v>
      </c>
      <c r="J119" s="41">
        <f>'Rekap SHU dan Jasa Simpanan'!BR27</f>
        <v>393098.3531251527</v>
      </c>
      <c r="K119" s="38"/>
    </row>
    <row r="120" spans="1:11" x14ac:dyDescent="0.2">
      <c r="A120" s="42"/>
      <c r="B120" s="31" t="s">
        <v>230</v>
      </c>
      <c r="C120" s="32" t="s">
        <v>231</v>
      </c>
      <c r="D120" s="33">
        <v>50000</v>
      </c>
      <c r="E120" s="43"/>
      <c r="G120" s="39"/>
      <c r="H120" s="31" t="s">
        <v>230</v>
      </c>
      <c r="I120" s="32" t="s">
        <v>231</v>
      </c>
      <c r="J120" s="33">
        <v>50000</v>
      </c>
      <c r="K120" s="43"/>
    </row>
    <row r="121" spans="1:11" x14ac:dyDescent="0.2">
      <c r="A121" s="39"/>
      <c r="B121" s="1" t="s">
        <v>5</v>
      </c>
      <c r="C121" s="2"/>
      <c r="D121" s="41">
        <f>SUM(D117:D120)</f>
        <v>734305.30243726727</v>
      </c>
      <c r="E121" s="38"/>
      <c r="G121" s="44"/>
      <c r="H121" s="1" t="s">
        <v>5</v>
      </c>
      <c r="I121" s="2"/>
      <c r="J121" s="41">
        <f>SUM(J117:J120)</f>
        <v>959868.21990524849</v>
      </c>
      <c r="K121" s="38"/>
    </row>
    <row r="122" spans="1:11" x14ac:dyDescent="0.2">
      <c r="A122" s="42"/>
      <c r="B122" s="31"/>
      <c r="C122" s="31"/>
      <c r="D122" s="31"/>
      <c r="E122" s="43"/>
      <c r="G122" s="42"/>
      <c r="H122" s="31"/>
      <c r="I122" s="31"/>
      <c r="J122" s="31"/>
      <c r="K122" s="43"/>
    </row>
    <row r="127" spans="1:11" x14ac:dyDescent="0.2">
      <c r="A127" s="34"/>
      <c r="B127" s="35"/>
      <c r="C127" s="35"/>
      <c r="D127" s="35"/>
      <c r="E127" s="36"/>
      <c r="G127" s="34"/>
      <c r="H127" s="35"/>
      <c r="I127" s="35"/>
      <c r="J127" s="35"/>
      <c r="K127" s="36"/>
    </row>
    <row r="128" spans="1:11" ht="13.5" x14ac:dyDescent="0.25">
      <c r="A128" s="146" t="s">
        <v>232</v>
      </c>
      <c r="B128" s="147"/>
      <c r="C128" s="147"/>
      <c r="D128" s="147"/>
      <c r="E128" s="148"/>
      <c r="G128" s="146" t="s">
        <v>232</v>
      </c>
      <c r="H128" s="147"/>
      <c r="I128" s="147"/>
      <c r="J128" s="147"/>
      <c r="K128" s="148"/>
    </row>
    <row r="129" spans="1:11" x14ac:dyDescent="0.2">
      <c r="A129" s="37"/>
      <c r="B129" s="2"/>
      <c r="C129" s="2"/>
      <c r="D129" s="2"/>
      <c r="E129" s="38"/>
      <c r="G129" s="39"/>
      <c r="H129" s="2"/>
      <c r="I129" s="2"/>
      <c r="J129" s="2"/>
      <c r="K129" s="38"/>
    </row>
    <row r="130" spans="1:11" x14ac:dyDescent="0.2">
      <c r="A130" s="39"/>
      <c r="B130" s="2" t="s">
        <v>228</v>
      </c>
      <c r="C130" s="1" t="s">
        <v>231</v>
      </c>
      <c r="D130" s="40">
        <f xml:space="preserve">   'Rekap SHU dan Jasa Simpanan'!B28</f>
        <v>35</v>
      </c>
      <c r="E130" s="38"/>
      <c r="G130" s="39"/>
      <c r="H130" s="2" t="s">
        <v>228</v>
      </c>
      <c r="I130" s="1" t="s">
        <v>231</v>
      </c>
      <c r="J130" s="40">
        <f>'Rekap SHU dan Jasa Simpanan'!B29</f>
        <v>36</v>
      </c>
      <c r="K130" s="38"/>
    </row>
    <row r="131" spans="1:11" x14ac:dyDescent="0.2">
      <c r="A131" s="39"/>
      <c r="B131" s="2" t="s">
        <v>229</v>
      </c>
      <c r="C131" s="1" t="s">
        <v>231</v>
      </c>
      <c r="D131" s="2" t="str">
        <f>'Rekap SHU dan Jasa Simpanan'!C28</f>
        <v xml:space="preserve"> Mita Sudirja</v>
      </c>
      <c r="E131" s="38"/>
      <c r="G131" s="39"/>
      <c r="H131" s="2" t="s">
        <v>229</v>
      </c>
      <c r="I131" s="1" t="s">
        <v>231</v>
      </c>
      <c r="J131" s="2" t="str">
        <f>'Rekap SHU dan Jasa Simpanan'!C29</f>
        <v xml:space="preserve"> Wawan Gunawan</v>
      </c>
      <c r="K131" s="38"/>
    </row>
    <row r="132" spans="1:11" x14ac:dyDescent="0.2">
      <c r="A132" s="39"/>
      <c r="B132" s="2" t="s">
        <v>221</v>
      </c>
      <c r="C132" s="1" t="s">
        <v>231</v>
      </c>
      <c r="D132" s="41">
        <f>'Rekap SHU dan Jasa Simpanan'!BD28</f>
        <v>76780</v>
      </c>
      <c r="E132" s="38"/>
      <c r="G132" s="39"/>
      <c r="H132" s="2" t="s">
        <v>221</v>
      </c>
      <c r="I132" s="1" t="s">
        <v>231</v>
      </c>
      <c r="J132" s="41">
        <f>'Rekap SHU dan Jasa Simpanan'!BD29</f>
        <v>2616910</v>
      </c>
      <c r="K132" s="38"/>
    </row>
    <row r="133" spans="1:11" x14ac:dyDescent="0.2">
      <c r="A133" s="39"/>
      <c r="B133" s="2" t="s">
        <v>223</v>
      </c>
      <c r="C133" s="1" t="s">
        <v>231</v>
      </c>
      <c r="D133" s="41">
        <f>'Rekap SHU dan Jasa Simpanan'!BQ28</f>
        <v>232695.7599304989</v>
      </c>
      <c r="E133" s="38"/>
      <c r="G133" s="39"/>
      <c r="H133" s="2" t="s">
        <v>223</v>
      </c>
      <c r="I133" s="1" t="s">
        <v>231</v>
      </c>
      <c r="J133" s="41">
        <f>'Rekap SHU dan Jasa Simpanan'!BQ29</f>
        <v>3155338.6933846008</v>
      </c>
      <c r="K133" s="38"/>
    </row>
    <row r="134" spans="1:11" x14ac:dyDescent="0.2">
      <c r="A134" s="39"/>
      <c r="B134" s="10" t="s">
        <v>224</v>
      </c>
      <c r="C134" s="1" t="s">
        <v>231</v>
      </c>
      <c r="D134" s="41">
        <f>'Rekap SHU dan Jasa Simpanan'!BR28</f>
        <v>491372.94140644086</v>
      </c>
      <c r="E134" s="38"/>
      <c r="G134" s="39"/>
      <c r="H134" s="10" t="s">
        <v>224</v>
      </c>
      <c r="I134" s="1" t="s">
        <v>231</v>
      </c>
      <c r="J134" s="41">
        <f>'Rekap SHU dan Jasa Simpanan'!BR29</f>
        <v>602750.80812523409</v>
      </c>
      <c r="K134" s="38"/>
    </row>
    <row r="135" spans="1:11" x14ac:dyDescent="0.2">
      <c r="A135" s="42"/>
      <c r="B135" s="31" t="s">
        <v>230</v>
      </c>
      <c r="C135" s="32" t="s">
        <v>231</v>
      </c>
      <c r="D135" s="33">
        <v>50000</v>
      </c>
      <c r="E135" s="43"/>
      <c r="G135" s="39"/>
      <c r="H135" s="31" t="s">
        <v>230</v>
      </c>
      <c r="I135" s="32" t="s">
        <v>231</v>
      </c>
      <c r="J135" s="33">
        <v>50000</v>
      </c>
      <c r="K135" s="43"/>
    </row>
    <row r="136" spans="1:11" x14ac:dyDescent="0.2">
      <c r="A136" s="39"/>
      <c r="B136" s="1" t="s">
        <v>5</v>
      </c>
      <c r="C136" s="2"/>
      <c r="D136" s="41">
        <f>SUM(D132:D135)</f>
        <v>850848.70133693982</v>
      </c>
      <c r="E136" s="38"/>
      <c r="G136" s="44"/>
      <c r="H136" s="1" t="s">
        <v>5</v>
      </c>
      <c r="I136" s="2"/>
      <c r="J136" s="41">
        <f>SUM(J132:J135)</f>
        <v>6424999.501509835</v>
      </c>
      <c r="K136" s="38"/>
    </row>
    <row r="137" spans="1:11" x14ac:dyDescent="0.2">
      <c r="A137" s="42"/>
      <c r="B137" s="31"/>
      <c r="C137" s="31"/>
      <c r="D137" s="31"/>
      <c r="E137" s="43"/>
      <c r="G137" s="42"/>
      <c r="H137" s="31"/>
      <c r="I137" s="31"/>
      <c r="J137" s="31"/>
      <c r="K137" s="43"/>
    </row>
    <row r="139" spans="1:11" x14ac:dyDescent="0.2">
      <c r="A139" s="34"/>
      <c r="B139" s="35"/>
      <c r="C139" s="35"/>
      <c r="D139" s="35"/>
      <c r="E139" s="36"/>
      <c r="G139" s="34"/>
      <c r="H139" s="35"/>
      <c r="I139" s="35"/>
      <c r="J139" s="35"/>
      <c r="K139" s="36"/>
    </row>
    <row r="140" spans="1:11" ht="13.5" x14ac:dyDescent="0.25">
      <c r="A140" s="146" t="s">
        <v>232</v>
      </c>
      <c r="B140" s="147"/>
      <c r="C140" s="147"/>
      <c r="D140" s="147"/>
      <c r="E140" s="148"/>
      <c r="G140" s="146" t="s">
        <v>232</v>
      </c>
      <c r="H140" s="147"/>
      <c r="I140" s="147"/>
      <c r="J140" s="147"/>
      <c r="K140" s="148"/>
    </row>
    <row r="141" spans="1:11" x14ac:dyDescent="0.2">
      <c r="A141" s="37"/>
      <c r="B141" s="2"/>
      <c r="C141" s="2"/>
      <c r="D141" s="2"/>
      <c r="E141" s="38"/>
      <c r="G141" s="39"/>
      <c r="H141" s="2"/>
      <c r="I141" s="2"/>
      <c r="J141" s="2"/>
      <c r="K141" s="38"/>
    </row>
    <row r="142" spans="1:11" x14ac:dyDescent="0.2">
      <c r="A142" s="39"/>
      <c r="B142" s="2" t="s">
        <v>228</v>
      </c>
      <c r="C142" s="1" t="s">
        <v>231</v>
      </c>
      <c r="D142" s="40">
        <f>'Rekap SHU dan Jasa Simpanan'!B30</f>
        <v>37</v>
      </c>
      <c r="E142" s="38"/>
      <c r="G142" s="39"/>
      <c r="H142" s="2" t="s">
        <v>228</v>
      </c>
      <c r="I142" s="1" t="s">
        <v>231</v>
      </c>
      <c r="J142" s="40">
        <f>'Rekap SHU dan Jasa Simpanan'!B31</f>
        <v>38</v>
      </c>
      <c r="K142" s="38"/>
    </row>
    <row r="143" spans="1:11" x14ac:dyDescent="0.2">
      <c r="A143" s="39"/>
      <c r="B143" s="2" t="s">
        <v>229</v>
      </c>
      <c r="C143" s="1" t="s">
        <v>231</v>
      </c>
      <c r="D143" s="2" t="str">
        <f>'Rekap SHU dan Jasa Simpanan'!C30</f>
        <v xml:space="preserve"> Iwan Rudianto</v>
      </c>
      <c r="E143" s="38"/>
      <c r="G143" s="39"/>
      <c r="H143" s="2" t="s">
        <v>229</v>
      </c>
      <c r="I143" s="1" t="s">
        <v>231</v>
      </c>
      <c r="J143" s="2" t="str">
        <f>'Rekap SHU dan Jasa Simpanan'!C31</f>
        <v xml:space="preserve"> Dedi Sutarman</v>
      </c>
      <c r="K143" s="38"/>
    </row>
    <row r="144" spans="1:11" x14ac:dyDescent="0.2">
      <c r="A144" s="39"/>
      <c r="B144" s="2" t="s">
        <v>221</v>
      </c>
      <c r="C144" s="1" t="s">
        <v>231</v>
      </c>
      <c r="D144" s="41">
        <f>'Rekap SHU dan Jasa Simpanan'!BD30</f>
        <v>45420</v>
      </c>
      <c r="E144" s="38"/>
      <c r="G144" s="39"/>
      <c r="H144" s="2" t="s">
        <v>221</v>
      </c>
      <c r="I144" s="1" t="s">
        <v>231</v>
      </c>
      <c r="J144" s="41">
        <f>'Rekap SHU dan Jasa Simpanan'!BD31</f>
        <v>89310</v>
      </c>
      <c r="K144" s="38"/>
    </row>
    <row r="145" spans="1:11" x14ac:dyDescent="0.2">
      <c r="A145" s="39"/>
      <c r="B145" s="2" t="s">
        <v>223</v>
      </c>
      <c r="C145" s="1" t="s">
        <v>231</v>
      </c>
      <c r="D145" s="41">
        <f>'Rekap SHU dan Jasa Simpanan'!BQ30</f>
        <v>200854.82437498946</v>
      </c>
      <c r="E145" s="38"/>
      <c r="G145" s="39"/>
      <c r="H145" s="2" t="s">
        <v>223</v>
      </c>
      <c r="I145" s="1" t="s">
        <v>231</v>
      </c>
      <c r="J145" s="41">
        <f>'Rekap SHU dan Jasa Simpanan'!BQ31</f>
        <v>245491.7575388831</v>
      </c>
      <c r="K145" s="38"/>
    </row>
    <row r="146" spans="1:11" x14ac:dyDescent="0.2">
      <c r="A146" s="39"/>
      <c r="B146" s="10" t="s">
        <v>224</v>
      </c>
      <c r="C146" s="1" t="s">
        <v>231</v>
      </c>
      <c r="D146" s="41">
        <f>'Rekap SHU dan Jasa Simpanan'!BR30</f>
        <v>393098.3531251527</v>
      </c>
      <c r="E146" s="38"/>
      <c r="G146" s="39"/>
      <c r="H146" s="10" t="s">
        <v>224</v>
      </c>
      <c r="I146" s="1" t="s">
        <v>231</v>
      </c>
      <c r="J146" s="41">
        <f>'Rekap SHU dan Jasa Simpanan'!BR31</f>
        <v>393098.3531251527</v>
      </c>
      <c r="K146" s="38"/>
    </row>
    <row r="147" spans="1:11" x14ac:dyDescent="0.2">
      <c r="A147" s="42"/>
      <c r="B147" s="31" t="s">
        <v>230</v>
      </c>
      <c r="C147" s="32" t="s">
        <v>231</v>
      </c>
      <c r="D147" s="33">
        <v>50000</v>
      </c>
      <c r="E147" s="43"/>
      <c r="G147" s="39"/>
      <c r="H147" s="31" t="s">
        <v>230</v>
      </c>
      <c r="I147" s="32" t="s">
        <v>231</v>
      </c>
      <c r="J147" s="33">
        <v>50000</v>
      </c>
      <c r="K147" s="43"/>
    </row>
    <row r="148" spans="1:11" x14ac:dyDescent="0.2">
      <c r="A148" s="39"/>
      <c r="B148" s="1" t="s">
        <v>5</v>
      </c>
      <c r="C148" s="2"/>
      <c r="D148" s="41">
        <f>SUM(D144:D147)</f>
        <v>689373.17750014213</v>
      </c>
      <c r="E148" s="38"/>
      <c r="G148" s="44"/>
      <c r="H148" s="1" t="s">
        <v>5</v>
      </c>
      <c r="I148" s="2"/>
      <c r="J148" s="41">
        <f>SUM(J144:J147)</f>
        <v>777900.11066403589</v>
      </c>
      <c r="K148" s="38"/>
    </row>
    <row r="149" spans="1:11" x14ac:dyDescent="0.2">
      <c r="A149" s="42"/>
      <c r="B149" s="31"/>
      <c r="C149" s="31"/>
      <c r="D149" s="31"/>
      <c r="E149" s="43"/>
      <c r="G149" s="42"/>
      <c r="H149" s="31"/>
      <c r="I149" s="31"/>
      <c r="J149" s="31"/>
      <c r="K149" s="43"/>
    </row>
    <row r="151" spans="1:11" x14ac:dyDescent="0.2">
      <c r="A151" s="34"/>
      <c r="B151" s="35"/>
      <c r="C151" s="35"/>
      <c r="D151" s="35"/>
      <c r="E151" s="36"/>
      <c r="G151" s="34"/>
      <c r="H151" s="35"/>
      <c r="I151" s="35"/>
      <c r="J151" s="35"/>
      <c r="K151" s="36"/>
    </row>
    <row r="152" spans="1:11" ht="13.5" x14ac:dyDescent="0.25">
      <c r="A152" s="146" t="s">
        <v>232</v>
      </c>
      <c r="B152" s="147"/>
      <c r="C152" s="147"/>
      <c r="D152" s="147"/>
      <c r="E152" s="148"/>
      <c r="G152" s="146" t="s">
        <v>232</v>
      </c>
      <c r="H152" s="147"/>
      <c r="I152" s="147"/>
      <c r="J152" s="147"/>
      <c r="K152" s="148"/>
    </row>
    <row r="153" spans="1:11" x14ac:dyDescent="0.2">
      <c r="A153" s="37"/>
      <c r="B153" s="2"/>
      <c r="C153" s="2"/>
      <c r="D153" s="2"/>
      <c r="E153" s="38"/>
      <c r="G153" s="39"/>
      <c r="H153" s="2"/>
      <c r="I153" s="2"/>
      <c r="J153" s="2"/>
      <c r="K153" s="38"/>
    </row>
    <row r="154" spans="1:11" x14ac:dyDescent="0.2">
      <c r="A154" s="39"/>
      <c r="B154" s="2" t="s">
        <v>228</v>
      </c>
      <c r="C154" s="1" t="s">
        <v>231</v>
      </c>
      <c r="D154" s="40">
        <f>'Rekap SHU dan Jasa Simpanan'!B32</f>
        <v>39</v>
      </c>
      <c r="E154" s="38"/>
      <c r="G154" s="39"/>
      <c r="H154" s="2" t="s">
        <v>228</v>
      </c>
      <c r="I154" s="1" t="s">
        <v>231</v>
      </c>
      <c r="J154" s="40">
        <f>'Rekap SHU dan Jasa Simpanan'!B33</f>
        <v>40</v>
      </c>
      <c r="K154" s="38"/>
    </row>
    <row r="155" spans="1:11" x14ac:dyDescent="0.2">
      <c r="A155" s="39"/>
      <c r="B155" s="2" t="s">
        <v>229</v>
      </c>
      <c r="C155" s="1" t="s">
        <v>231</v>
      </c>
      <c r="D155" s="7" t="str">
        <f>'Rekap SHU dan Jasa Simpanan'!C32</f>
        <v xml:space="preserve"> Rusmana</v>
      </c>
      <c r="E155" s="38"/>
      <c r="G155" s="39"/>
      <c r="H155" s="2" t="s">
        <v>229</v>
      </c>
      <c r="I155" s="1" t="s">
        <v>231</v>
      </c>
      <c r="J155" s="2" t="str">
        <f>'Rekap SHU dan Jasa Simpanan'!C33</f>
        <v xml:space="preserve"> Sodikin</v>
      </c>
      <c r="K155" s="38"/>
    </row>
    <row r="156" spans="1:11" x14ac:dyDescent="0.2">
      <c r="A156" s="39"/>
      <c r="B156" s="2" t="s">
        <v>221</v>
      </c>
      <c r="C156" s="1" t="s">
        <v>231</v>
      </c>
      <c r="D156" s="41">
        <f>'Rekap SHU dan Jasa Simpanan'!BD32</f>
        <v>98240</v>
      </c>
      <c r="E156" s="38"/>
      <c r="G156" s="39"/>
      <c r="H156" s="2" t="s">
        <v>221</v>
      </c>
      <c r="I156" s="1" t="s">
        <v>231</v>
      </c>
      <c r="J156" s="41">
        <f>'Rekap SHU dan Jasa Simpanan'!BD33</f>
        <v>146530</v>
      </c>
      <c r="K156" s="38"/>
    </row>
    <row r="157" spans="1:11" x14ac:dyDescent="0.2">
      <c r="A157" s="39"/>
      <c r="B157" s="2" t="s">
        <v>223</v>
      </c>
      <c r="C157" s="1" t="s">
        <v>231</v>
      </c>
      <c r="D157" s="41">
        <f>'Rekap SHU dan Jasa Simpanan'!BQ32</f>
        <v>253383.063130972</v>
      </c>
      <c r="E157" s="38"/>
      <c r="G157" s="39"/>
      <c r="H157" s="2" t="s">
        <v>223</v>
      </c>
      <c r="I157" s="1" t="s">
        <v>231</v>
      </c>
      <c r="J157" s="41">
        <f>'Rekap SHU dan Jasa Simpanan'!BQ33</f>
        <v>301100.02452799975</v>
      </c>
      <c r="K157" s="38"/>
    </row>
    <row r="158" spans="1:11" x14ac:dyDescent="0.2">
      <c r="A158" s="39"/>
      <c r="B158" s="10" t="s">
        <v>224</v>
      </c>
      <c r="C158" s="1" t="s">
        <v>231</v>
      </c>
      <c r="D158" s="41">
        <f>'Rekap SHU dan Jasa Simpanan'!BR32</f>
        <v>491372.94140644086</v>
      </c>
      <c r="E158" s="38"/>
      <c r="G158" s="39"/>
      <c r="H158" s="10" t="s">
        <v>224</v>
      </c>
      <c r="I158" s="1" t="s">
        <v>231</v>
      </c>
      <c r="J158" s="41">
        <f>'Rekap SHU dan Jasa Simpanan'!BR33</f>
        <v>589647.52968772908</v>
      </c>
      <c r="K158" s="38"/>
    </row>
    <row r="159" spans="1:11" x14ac:dyDescent="0.2">
      <c r="A159" s="42"/>
      <c r="B159" s="31" t="s">
        <v>230</v>
      </c>
      <c r="C159" s="32" t="s">
        <v>231</v>
      </c>
      <c r="D159" s="33">
        <v>50000</v>
      </c>
      <c r="E159" s="43"/>
      <c r="G159" s="39"/>
      <c r="H159" s="31" t="s">
        <v>230</v>
      </c>
      <c r="I159" s="32" t="s">
        <v>231</v>
      </c>
      <c r="J159" s="33">
        <v>50000</v>
      </c>
      <c r="K159" s="43"/>
    </row>
    <row r="160" spans="1:11" x14ac:dyDescent="0.2">
      <c r="A160" s="39"/>
      <c r="B160" s="1" t="s">
        <v>5</v>
      </c>
      <c r="C160" s="2"/>
      <c r="D160" s="41">
        <f>SUM(D156:D159)</f>
        <v>892996.0045374129</v>
      </c>
      <c r="E160" s="38"/>
      <c r="G160" s="44"/>
      <c r="H160" s="1" t="s">
        <v>5</v>
      </c>
      <c r="I160" s="2"/>
      <c r="J160" s="41">
        <f>SUM(J156:J159)</f>
        <v>1087277.5542157288</v>
      </c>
      <c r="K160" s="38"/>
    </row>
    <row r="161" spans="1:11" x14ac:dyDescent="0.2">
      <c r="A161" s="42"/>
      <c r="B161" s="31"/>
      <c r="C161" s="31"/>
      <c r="D161" s="31"/>
      <c r="E161" s="43"/>
      <c r="G161" s="42"/>
      <c r="H161" s="31"/>
      <c r="I161" s="31"/>
      <c r="J161" s="31"/>
      <c r="K161" s="43"/>
    </row>
    <row r="163" spans="1:11" x14ac:dyDescent="0.2">
      <c r="A163" s="34"/>
      <c r="B163" s="35"/>
      <c r="C163" s="35"/>
      <c r="D163" s="35"/>
      <c r="E163" s="36"/>
      <c r="G163" s="34"/>
      <c r="H163" s="35"/>
      <c r="I163" s="35"/>
      <c r="J163" s="35"/>
      <c r="K163" s="36"/>
    </row>
    <row r="164" spans="1:11" ht="13.5" x14ac:dyDescent="0.25">
      <c r="A164" s="146" t="s">
        <v>232</v>
      </c>
      <c r="B164" s="147"/>
      <c r="C164" s="147"/>
      <c r="D164" s="147"/>
      <c r="E164" s="148"/>
      <c r="G164" s="146" t="s">
        <v>232</v>
      </c>
      <c r="H164" s="147"/>
      <c r="I164" s="147"/>
      <c r="J164" s="147"/>
      <c r="K164" s="148"/>
    </row>
    <row r="165" spans="1:11" x14ac:dyDescent="0.2">
      <c r="A165" s="37"/>
      <c r="B165" s="2"/>
      <c r="C165" s="2"/>
      <c r="D165" s="2"/>
      <c r="E165" s="38"/>
      <c r="G165" s="39"/>
      <c r="H165" s="2"/>
      <c r="I165" s="2"/>
      <c r="J165" s="2"/>
      <c r="K165" s="38"/>
    </row>
    <row r="166" spans="1:11" x14ac:dyDescent="0.2">
      <c r="A166" s="39"/>
      <c r="B166" s="2" t="s">
        <v>228</v>
      </c>
      <c r="C166" s="1" t="s">
        <v>231</v>
      </c>
      <c r="D166" s="40">
        <f>'Rekap SHU dan Jasa Simpanan'!B34</f>
        <v>41</v>
      </c>
      <c r="E166" s="38"/>
      <c r="G166" s="39"/>
      <c r="H166" s="2" t="s">
        <v>228</v>
      </c>
      <c r="I166" s="1" t="s">
        <v>231</v>
      </c>
      <c r="J166" s="40">
        <f>'Rekap SHU dan Jasa Simpanan'!B35</f>
        <v>45</v>
      </c>
      <c r="K166" s="38"/>
    </row>
    <row r="167" spans="1:11" x14ac:dyDescent="0.2">
      <c r="A167" s="39"/>
      <c r="B167" s="2" t="s">
        <v>229</v>
      </c>
      <c r="C167" s="1" t="s">
        <v>231</v>
      </c>
      <c r="D167" s="7" t="str">
        <f>'Rekap SHU dan Jasa Simpanan'!C34</f>
        <v xml:space="preserve"> Sugimin</v>
      </c>
      <c r="E167" s="38"/>
      <c r="G167" s="39"/>
      <c r="H167" s="2" t="s">
        <v>229</v>
      </c>
      <c r="I167" s="1" t="s">
        <v>231</v>
      </c>
      <c r="J167" s="2" t="str">
        <f>'Rekap SHU dan Jasa Simpanan'!C35</f>
        <v xml:space="preserve"> Ade Ruhyat</v>
      </c>
      <c r="K167" s="38"/>
    </row>
    <row r="168" spans="1:11" x14ac:dyDescent="0.2">
      <c r="A168" s="39"/>
      <c r="B168" s="2" t="s">
        <v>221</v>
      </c>
      <c r="C168" s="1" t="s">
        <v>231</v>
      </c>
      <c r="D168" s="41">
        <f>'Rekap SHU dan Jasa Simpanan'!BD34</f>
        <v>115190</v>
      </c>
      <c r="E168" s="38"/>
      <c r="G168" s="39"/>
      <c r="H168" s="2" t="s">
        <v>221</v>
      </c>
      <c r="I168" s="1" t="s">
        <v>231</v>
      </c>
      <c r="J168" s="41">
        <f>'Rekap SHU dan Jasa Simpanan'!BD35</f>
        <v>136760</v>
      </c>
      <c r="K168" s="38"/>
    </row>
    <row r="169" spans="1:11" x14ac:dyDescent="0.2">
      <c r="A169" s="39"/>
      <c r="B169" s="2" t="s">
        <v>223</v>
      </c>
      <c r="C169" s="1" t="s">
        <v>231</v>
      </c>
      <c r="D169" s="41">
        <f>'Rekap SHU dan Jasa Simpanan'!BQ34</f>
        <v>272564.55112294556</v>
      </c>
      <c r="E169" s="38"/>
      <c r="G169" s="39"/>
      <c r="H169" s="2" t="s">
        <v>223</v>
      </c>
      <c r="I169" s="1" t="s">
        <v>231</v>
      </c>
      <c r="J169" s="41">
        <f>'Rekap SHU dan Jasa Simpanan'!BQ35</f>
        <v>298144.0949935891</v>
      </c>
      <c r="K169" s="38"/>
    </row>
    <row r="170" spans="1:11" x14ac:dyDescent="0.2">
      <c r="A170" s="39"/>
      <c r="B170" s="10" t="s">
        <v>224</v>
      </c>
      <c r="C170" s="1" t="s">
        <v>231</v>
      </c>
      <c r="D170" s="41">
        <f>'Rekap SHU dan Jasa Simpanan'!BR34</f>
        <v>589647.52968772908</v>
      </c>
      <c r="E170" s="38"/>
      <c r="G170" s="39"/>
      <c r="H170" s="10" t="s">
        <v>224</v>
      </c>
      <c r="I170" s="1" t="s">
        <v>231</v>
      </c>
      <c r="J170" s="41">
        <f>'Rekap SHU dan Jasa Simpanan'!BR35</f>
        <v>589647.52968772908</v>
      </c>
      <c r="K170" s="38"/>
    </row>
    <row r="171" spans="1:11" x14ac:dyDescent="0.2">
      <c r="A171" s="42"/>
      <c r="B171" s="31" t="s">
        <v>230</v>
      </c>
      <c r="C171" s="32" t="s">
        <v>231</v>
      </c>
      <c r="D171" s="33">
        <v>50000</v>
      </c>
      <c r="E171" s="43"/>
      <c r="G171" s="39"/>
      <c r="H171" s="31" t="s">
        <v>230</v>
      </c>
      <c r="I171" s="32" t="s">
        <v>231</v>
      </c>
      <c r="J171" s="33">
        <v>50000</v>
      </c>
      <c r="K171" s="43"/>
    </row>
    <row r="172" spans="1:11" x14ac:dyDescent="0.2">
      <c r="A172" s="39"/>
      <c r="B172" s="1" t="s">
        <v>5</v>
      </c>
      <c r="C172" s="2"/>
      <c r="D172" s="41">
        <f>SUM(D168:D171)</f>
        <v>1027402.0808106747</v>
      </c>
      <c r="E172" s="38"/>
      <c r="G172" s="44"/>
      <c r="H172" s="1" t="s">
        <v>5</v>
      </c>
      <c r="I172" s="2"/>
      <c r="J172" s="41">
        <f>SUM(J168:J171)</f>
        <v>1074551.6246813182</v>
      </c>
      <c r="K172" s="38"/>
    </row>
    <row r="173" spans="1:11" x14ac:dyDescent="0.2">
      <c r="A173" s="42"/>
      <c r="B173" s="31"/>
      <c r="C173" s="31"/>
      <c r="D173" s="31"/>
      <c r="E173" s="43"/>
      <c r="G173" s="42"/>
      <c r="H173" s="31"/>
      <c r="I173" s="31"/>
      <c r="J173" s="31"/>
      <c r="K173" s="43"/>
    </row>
    <row r="175" spans="1:11" x14ac:dyDescent="0.2">
      <c r="A175" s="34"/>
      <c r="B175" s="35"/>
      <c r="C175" s="35"/>
      <c r="D175" s="35"/>
      <c r="E175" s="36"/>
      <c r="G175" s="34"/>
      <c r="H175" s="35"/>
      <c r="I175" s="35"/>
      <c r="J175" s="35"/>
      <c r="K175" s="36"/>
    </row>
    <row r="176" spans="1:11" ht="13.5" x14ac:dyDescent="0.25">
      <c r="A176" s="146" t="s">
        <v>232</v>
      </c>
      <c r="B176" s="147"/>
      <c r="C176" s="147"/>
      <c r="D176" s="147"/>
      <c r="E176" s="148"/>
      <c r="G176" s="146" t="s">
        <v>232</v>
      </c>
      <c r="H176" s="147"/>
      <c r="I176" s="147"/>
      <c r="J176" s="147"/>
      <c r="K176" s="148"/>
    </row>
    <row r="177" spans="1:11" x14ac:dyDescent="0.2">
      <c r="A177" s="37"/>
      <c r="B177" s="2"/>
      <c r="C177" s="2"/>
      <c r="D177" s="2"/>
      <c r="E177" s="38"/>
      <c r="G177" s="39"/>
      <c r="H177" s="2"/>
      <c r="I177" s="2"/>
      <c r="J177" s="2"/>
      <c r="K177" s="38"/>
    </row>
    <row r="178" spans="1:11" x14ac:dyDescent="0.2">
      <c r="A178" s="39"/>
      <c r="B178" s="2" t="s">
        <v>228</v>
      </c>
      <c r="C178" s="1" t="s">
        <v>231</v>
      </c>
      <c r="D178" s="40">
        <f>'Rekap SHU dan Jasa Simpanan'!B36</f>
        <v>46</v>
      </c>
      <c r="E178" s="38"/>
      <c r="G178" s="39"/>
      <c r="H178" s="2" t="s">
        <v>228</v>
      </c>
      <c r="I178" s="1" t="s">
        <v>231</v>
      </c>
      <c r="J178" s="40">
        <f>'Rekap SHU dan Jasa Simpanan'!B37</f>
        <v>47</v>
      </c>
      <c r="K178" s="38"/>
    </row>
    <row r="179" spans="1:11" x14ac:dyDescent="0.2">
      <c r="A179" s="39"/>
      <c r="B179" s="2" t="s">
        <v>229</v>
      </c>
      <c r="C179" s="1" t="s">
        <v>231</v>
      </c>
      <c r="D179" s="7" t="str">
        <f>'Rekap SHU dan Jasa Simpanan'!C36</f>
        <v xml:space="preserve"> Sanusi</v>
      </c>
      <c r="E179" s="38"/>
      <c r="G179" s="39"/>
      <c r="H179" s="2" t="s">
        <v>229</v>
      </c>
      <c r="I179" s="1" t="s">
        <v>231</v>
      </c>
      <c r="J179" s="2" t="str">
        <f>'Rekap SHU dan Jasa Simpanan'!C37</f>
        <v xml:space="preserve"> Badruji</v>
      </c>
      <c r="K179" s="38"/>
    </row>
    <row r="180" spans="1:11" x14ac:dyDescent="0.2">
      <c r="A180" s="39"/>
      <c r="B180" s="2" t="s">
        <v>221</v>
      </c>
      <c r="C180" s="1" t="s">
        <v>231</v>
      </c>
      <c r="D180" s="41">
        <f>'Rekap SHU dan Jasa Simpanan'!BD36</f>
        <v>108660</v>
      </c>
      <c r="E180" s="38"/>
      <c r="G180" s="39"/>
      <c r="H180" s="2" t="s">
        <v>221</v>
      </c>
      <c r="I180" s="1" t="s">
        <v>231</v>
      </c>
      <c r="J180" s="41">
        <f>'Rekap SHU dan Jasa Simpanan'!BD37</f>
        <v>164260</v>
      </c>
      <c r="K180" s="38"/>
    </row>
    <row r="181" spans="1:11" x14ac:dyDescent="0.2">
      <c r="A181" s="39"/>
      <c r="B181" s="2" t="s">
        <v>223</v>
      </c>
      <c r="C181" s="1" t="s">
        <v>231</v>
      </c>
      <c r="D181" s="41">
        <f>'Rekap SHU dan Jasa Simpanan'!BQ36</f>
        <v>268340.51413409988</v>
      </c>
      <c r="E181" s="38"/>
      <c r="G181" s="39"/>
      <c r="H181" s="2" t="s">
        <v>223</v>
      </c>
      <c r="I181" s="1" t="s">
        <v>231</v>
      </c>
      <c r="J181" s="41">
        <f>'Rekap SHU dan Jasa Simpanan'!BQ37</f>
        <v>321955.94345435326</v>
      </c>
      <c r="K181" s="38"/>
    </row>
    <row r="182" spans="1:11" x14ac:dyDescent="0.2">
      <c r="A182" s="39"/>
      <c r="B182" s="10" t="s">
        <v>224</v>
      </c>
      <c r="C182" s="1" t="s">
        <v>231</v>
      </c>
      <c r="D182" s="41">
        <f>'Rekap SHU dan Jasa Simpanan'!BR36</f>
        <v>294823.76484386454</v>
      </c>
      <c r="E182" s="38"/>
      <c r="G182" s="39"/>
      <c r="H182" s="10" t="s">
        <v>224</v>
      </c>
      <c r="I182" s="1" t="s">
        <v>231</v>
      </c>
      <c r="J182" s="41">
        <f>'Rekap SHU dan Jasa Simpanan'!BR37</f>
        <v>589647.52968772908</v>
      </c>
      <c r="K182" s="38"/>
    </row>
    <row r="183" spans="1:11" x14ac:dyDescent="0.2">
      <c r="A183" s="42"/>
      <c r="B183" s="31" t="s">
        <v>230</v>
      </c>
      <c r="C183" s="32" t="s">
        <v>231</v>
      </c>
      <c r="D183" s="33">
        <v>50000</v>
      </c>
      <c r="E183" s="43"/>
      <c r="G183" s="39"/>
      <c r="H183" s="31" t="s">
        <v>230</v>
      </c>
      <c r="I183" s="32" t="s">
        <v>231</v>
      </c>
      <c r="J183" s="33">
        <v>50000</v>
      </c>
      <c r="K183" s="43"/>
    </row>
    <row r="184" spans="1:11" x14ac:dyDescent="0.2">
      <c r="A184" s="39"/>
      <c r="B184" s="1" t="s">
        <v>5</v>
      </c>
      <c r="C184" s="2"/>
      <c r="D184" s="41">
        <f>SUM(D180:D183)</f>
        <v>721824.27897796442</v>
      </c>
      <c r="E184" s="38"/>
      <c r="G184" s="44"/>
      <c r="H184" s="1" t="s">
        <v>5</v>
      </c>
      <c r="I184" s="2"/>
      <c r="J184" s="41">
        <f>SUM(J180:J183)</f>
        <v>1125863.4731420823</v>
      </c>
      <c r="K184" s="38"/>
    </row>
    <row r="185" spans="1:11" x14ac:dyDescent="0.2">
      <c r="A185" s="42"/>
      <c r="B185" s="31"/>
      <c r="C185" s="31"/>
      <c r="D185" s="31"/>
      <c r="E185" s="43"/>
      <c r="G185" s="42"/>
      <c r="H185" s="31"/>
      <c r="I185" s="31"/>
      <c r="J185" s="31"/>
      <c r="K185" s="43"/>
    </row>
    <row r="190" spans="1:11" x14ac:dyDescent="0.2">
      <c r="A190" s="34"/>
      <c r="B190" s="35"/>
      <c r="C190" s="35"/>
      <c r="D190" s="35"/>
      <c r="E190" s="36"/>
      <c r="G190" s="34"/>
      <c r="H190" s="35"/>
      <c r="I190" s="35"/>
      <c r="J190" s="35"/>
      <c r="K190" s="36"/>
    </row>
    <row r="191" spans="1:11" ht="13.5" x14ac:dyDescent="0.25">
      <c r="A191" s="146" t="s">
        <v>232</v>
      </c>
      <c r="B191" s="147"/>
      <c r="C191" s="147"/>
      <c r="D191" s="147"/>
      <c r="E191" s="148"/>
      <c r="G191" s="146" t="s">
        <v>232</v>
      </c>
      <c r="H191" s="147"/>
      <c r="I191" s="147"/>
      <c r="J191" s="147"/>
      <c r="K191" s="148"/>
    </row>
    <row r="192" spans="1:11" x14ac:dyDescent="0.2">
      <c r="A192" s="37"/>
      <c r="B192" s="2"/>
      <c r="C192" s="2"/>
      <c r="D192" s="2"/>
      <c r="E192" s="38"/>
      <c r="G192" s="39"/>
      <c r="H192" s="2"/>
      <c r="I192" s="2"/>
      <c r="J192" s="2"/>
      <c r="K192" s="38"/>
    </row>
    <row r="193" spans="1:11" x14ac:dyDescent="0.2">
      <c r="A193" s="39"/>
      <c r="B193" s="2" t="s">
        <v>228</v>
      </c>
      <c r="C193" s="1" t="s">
        <v>231</v>
      </c>
      <c r="D193" s="40">
        <f xml:space="preserve">   'Rekap SHU dan Jasa Simpanan'!B38</f>
        <v>48</v>
      </c>
      <c r="E193" s="38"/>
      <c r="G193" s="39"/>
      <c r="H193" s="2" t="s">
        <v>228</v>
      </c>
      <c r="I193" s="1" t="s">
        <v>231</v>
      </c>
      <c r="J193" s="40">
        <f>'Rekap SHU dan Jasa Simpanan'!B39</f>
        <v>50</v>
      </c>
      <c r="K193" s="38"/>
    </row>
    <row r="194" spans="1:11" x14ac:dyDescent="0.2">
      <c r="A194" s="39"/>
      <c r="B194" s="2" t="s">
        <v>229</v>
      </c>
      <c r="C194" s="1" t="s">
        <v>231</v>
      </c>
      <c r="D194" s="2" t="str">
        <f>'Rekap SHU dan Jasa Simpanan'!C38</f>
        <v xml:space="preserve"> Dimas Rama</v>
      </c>
      <c r="E194" s="38"/>
      <c r="G194" s="39"/>
      <c r="H194" s="2" t="s">
        <v>229</v>
      </c>
      <c r="I194" s="1" t="s">
        <v>231</v>
      </c>
      <c r="J194" s="2" t="str">
        <f>'Rekap SHU dan Jasa Simpanan'!C39</f>
        <v xml:space="preserve"> Sri Suwarni</v>
      </c>
      <c r="K194" s="38"/>
    </row>
    <row r="195" spans="1:11" x14ac:dyDescent="0.2">
      <c r="A195" s="39"/>
      <c r="B195" s="2" t="s">
        <v>221</v>
      </c>
      <c r="C195" s="1" t="s">
        <v>231</v>
      </c>
      <c r="D195" s="41">
        <f>'Rekap SHU dan Jasa Simpanan'!BD38</f>
        <v>82420</v>
      </c>
      <c r="E195" s="38"/>
      <c r="G195" s="39"/>
      <c r="H195" s="2" t="s">
        <v>221</v>
      </c>
      <c r="I195" s="1" t="s">
        <v>231</v>
      </c>
      <c r="J195" s="41">
        <f>'Rekap SHU dan Jasa Simpanan'!BD39</f>
        <v>278370</v>
      </c>
      <c r="K195" s="38"/>
    </row>
    <row r="196" spans="1:11" x14ac:dyDescent="0.2">
      <c r="A196" s="39"/>
      <c r="B196" s="2" t="s">
        <v>223</v>
      </c>
      <c r="C196" s="1" t="s">
        <v>231</v>
      </c>
      <c r="D196" s="41">
        <f>'Rekap SHU dan Jasa Simpanan'!BQ38</f>
        <v>238549.71067683521</v>
      </c>
      <c r="E196" s="38"/>
      <c r="G196" s="39"/>
      <c r="H196" s="2" t="s">
        <v>223</v>
      </c>
      <c r="I196" s="1" t="s">
        <v>231</v>
      </c>
      <c r="J196" s="41">
        <f>'Rekap SHU dan Jasa Simpanan'!BQ39</f>
        <v>436152.94882156036</v>
      </c>
      <c r="K196" s="38"/>
    </row>
    <row r="197" spans="1:11" x14ac:dyDescent="0.2">
      <c r="A197" s="39"/>
      <c r="B197" s="10" t="s">
        <v>224</v>
      </c>
      <c r="C197" s="1" t="s">
        <v>231</v>
      </c>
      <c r="D197" s="41">
        <f>'Rekap SHU dan Jasa Simpanan'!BR38</f>
        <v>589647.52968772908</v>
      </c>
      <c r="E197" s="38"/>
      <c r="G197" s="39"/>
      <c r="H197" s="10" t="s">
        <v>224</v>
      </c>
      <c r="I197" s="1" t="s">
        <v>231</v>
      </c>
      <c r="J197" s="41">
        <f>'Rekap SHU dan Jasa Simpanan'!BR39</f>
        <v>327581.96093762724</v>
      </c>
      <c r="K197" s="38"/>
    </row>
    <row r="198" spans="1:11" x14ac:dyDescent="0.2">
      <c r="A198" s="42"/>
      <c r="B198" s="31" t="s">
        <v>230</v>
      </c>
      <c r="C198" s="32" t="s">
        <v>231</v>
      </c>
      <c r="D198" s="33">
        <v>50000</v>
      </c>
      <c r="E198" s="43"/>
      <c r="G198" s="39"/>
      <c r="H198" s="31" t="s">
        <v>230</v>
      </c>
      <c r="I198" s="32" t="s">
        <v>231</v>
      </c>
      <c r="J198" s="33">
        <v>50000</v>
      </c>
      <c r="K198" s="43"/>
    </row>
    <row r="199" spans="1:11" x14ac:dyDescent="0.2">
      <c r="A199" s="39"/>
      <c r="B199" s="1" t="s">
        <v>5</v>
      </c>
      <c r="C199" s="2"/>
      <c r="D199" s="41">
        <f>SUM(D195:D198)</f>
        <v>960617.24036456435</v>
      </c>
      <c r="E199" s="38"/>
      <c r="G199" s="44"/>
      <c r="H199" s="1" t="s">
        <v>5</v>
      </c>
      <c r="I199" s="2"/>
      <c r="J199" s="41">
        <f>SUM(J195:J198)</f>
        <v>1092104.9097591876</v>
      </c>
      <c r="K199" s="38"/>
    </row>
    <row r="200" spans="1:11" x14ac:dyDescent="0.2">
      <c r="A200" s="42"/>
      <c r="B200" s="31"/>
      <c r="C200" s="31"/>
      <c r="D200" s="31"/>
      <c r="E200" s="43"/>
      <c r="G200" s="42"/>
      <c r="H200" s="31"/>
      <c r="I200" s="31"/>
      <c r="J200" s="31"/>
      <c r="K200" s="43"/>
    </row>
    <row r="202" spans="1:11" x14ac:dyDescent="0.2">
      <c r="A202" s="34"/>
      <c r="B202" s="35"/>
      <c r="C202" s="35"/>
      <c r="D202" s="35"/>
      <c r="E202" s="36"/>
      <c r="G202" s="34"/>
      <c r="H202" s="35"/>
      <c r="I202" s="35"/>
      <c r="J202" s="35"/>
      <c r="K202" s="36"/>
    </row>
    <row r="203" spans="1:11" ht="13.5" x14ac:dyDescent="0.25">
      <c r="A203" s="146" t="s">
        <v>232</v>
      </c>
      <c r="B203" s="147"/>
      <c r="C203" s="147"/>
      <c r="D203" s="147"/>
      <c r="E203" s="148"/>
      <c r="G203" s="146" t="s">
        <v>232</v>
      </c>
      <c r="H203" s="147"/>
      <c r="I203" s="147"/>
      <c r="J203" s="147"/>
      <c r="K203" s="148"/>
    </row>
    <row r="204" spans="1:11" x14ac:dyDescent="0.2">
      <c r="A204" s="37"/>
      <c r="B204" s="2"/>
      <c r="C204" s="2"/>
      <c r="D204" s="2"/>
      <c r="E204" s="38"/>
      <c r="G204" s="39"/>
      <c r="H204" s="2"/>
      <c r="I204" s="2"/>
      <c r="J204" s="2"/>
      <c r="K204" s="38"/>
    </row>
    <row r="205" spans="1:11" x14ac:dyDescent="0.2">
      <c r="A205" s="39"/>
      <c r="B205" s="2" t="s">
        <v>228</v>
      </c>
      <c r="C205" s="1" t="s">
        <v>231</v>
      </c>
      <c r="D205" s="40">
        <f>'Rekap SHU dan Jasa Simpanan'!B40</f>
        <v>51</v>
      </c>
      <c r="E205" s="38"/>
      <c r="G205" s="39"/>
      <c r="H205" s="2" t="s">
        <v>228</v>
      </c>
      <c r="I205" s="1" t="s">
        <v>231</v>
      </c>
      <c r="J205" s="40">
        <f>'Rekap SHU dan Jasa Simpanan'!B41</f>
        <v>52</v>
      </c>
      <c r="K205" s="38"/>
    </row>
    <row r="206" spans="1:11" x14ac:dyDescent="0.2">
      <c r="A206" s="39"/>
      <c r="B206" s="2" t="s">
        <v>229</v>
      </c>
      <c r="C206" s="1" t="s">
        <v>231</v>
      </c>
      <c r="D206" s="2" t="str">
        <f>'Rekap SHU dan Jasa Simpanan'!C40</f>
        <v xml:space="preserve"> Ajat Sudrajat</v>
      </c>
      <c r="E206" s="38"/>
      <c r="G206" s="39"/>
      <c r="H206" s="2" t="s">
        <v>229</v>
      </c>
      <c r="I206" s="1" t="s">
        <v>231</v>
      </c>
      <c r="J206" s="2" t="str">
        <f>'Rekap SHU dan Jasa Simpanan'!C41</f>
        <v xml:space="preserve"> Endang Komarudin</v>
      </c>
      <c r="K206" s="38"/>
    </row>
    <row r="207" spans="1:11" x14ac:dyDescent="0.2">
      <c r="A207" s="39"/>
      <c r="B207" s="2" t="s">
        <v>221</v>
      </c>
      <c r="C207" s="1" t="s">
        <v>231</v>
      </c>
      <c r="D207" s="41">
        <f>'Rekap SHU dan Jasa Simpanan'!BD40</f>
        <v>73000</v>
      </c>
      <c r="E207" s="38"/>
      <c r="G207" s="39"/>
      <c r="H207" s="2" t="s">
        <v>221</v>
      </c>
      <c r="I207" s="1" t="s">
        <v>231</v>
      </c>
      <c r="J207" s="41">
        <f>'Rekap SHU dan Jasa Simpanan'!BD41</f>
        <v>772660</v>
      </c>
      <c r="K207" s="38"/>
    </row>
    <row r="208" spans="1:11" x14ac:dyDescent="0.2">
      <c r="A208" s="39"/>
      <c r="B208" s="2" t="s">
        <v>223</v>
      </c>
      <c r="C208" s="1" t="s">
        <v>231</v>
      </c>
      <c r="D208" s="41">
        <f>'Rekap SHU dan Jasa Simpanan'!BQ40</f>
        <v>225728.92005083646</v>
      </c>
      <c r="E208" s="38"/>
      <c r="G208" s="39"/>
      <c r="H208" s="2" t="s">
        <v>223</v>
      </c>
      <c r="I208" s="1" t="s">
        <v>231</v>
      </c>
      <c r="J208" s="41">
        <f>'Rekap SHU dan Jasa Simpanan'!BQ41</f>
        <v>986206.63101459597</v>
      </c>
      <c r="K208" s="38"/>
    </row>
    <row r="209" spans="1:11" x14ac:dyDescent="0.2">
      <c r="A209" s="39"/>
      <c r="B209" s="10" t="s">
        <v>224</v>
      </c>
      <c r="C209" s="1" t="s">
        <v>231</v>
      </c>
      <c r="D209" s="41">
        <f>'Rekap SHU dan Jasa Simpanan'!BR40</f>
        <v>638784.8238283731</v>
      </c>
      <c r="E209" s="38"/>
      <c r="G209" s="39"/>
      <c r="H209" s="10" t="s">
        <v>224</v>
      </c>
      <c r="I209" s="1" t="s">
        <v>231</v>
      </c>
      <c r="J209" s="41">
        <f>'Rekap SHU dan Jasa Simpanan'!BR41</f>
        <v>294823.76484386454</v>
      </c>
      <c r="K209" s="38"/>
    </row>
    <row r="210" spans="1:11" x14ac:dyDescent="0.2">
      <c r="A210" s="42"/>
      <c r="B210" s="31" t="s">
        <v>230</v>
      </c>
      <c r="C210" s="32" t="s">
        <v>231</v>
      </c>
      <c r="D210" s="33">
        <v>50000</v>
      </c>
      <c r="E210" s="43"/>
      <c r="G210" s="39"/>
      <c r="H210" s="31" t="s">
        <v>230</v>
      </c>
      <c r="I210" s="32" t="s">
        <v>231</v>
      </c>
      <c r="J210" s="33">
        <v>50000</v>
      </c>
      <c r="K210" s="43"/>
    </row>
    <row r="211" spans="1:11" x14ac:dyDescent="0.2">
      <c r="A211" s="39"/>
      <c r="B211" s="1" t="s">
        <v>5</v>
      </c>
      <c r="C211" s="2"/>
      <c r="D211" s="41">
        <f>SUM(D207:D210)</f>
        <v>987513.74387920951</v>
      </c>
      <c r="E211" s="38"/>
      <c r="G211" s="44"/>
      <c r="H211" s="1" t="s">
        <v>5</v>
      </c>
      <c r="I211" s="2"/>
      <c r="J211" s="41">
        <f>SUM(J207:J210)</f>
        <v>2103690.3958584606</v>
      </c>
      <c r="K211" s="38"/>
    </row>
    <row r="212" spans="1:11" x14ac:dyDescent="0.2">
      <c r="A212" s="42"/>
      <c r="B212" s="31"/>
      <c r="C212" s="31"/>
      <c r="D212" s="31"/>
      <c r="E212" s="43"/>
      <c r="G212" s="42"/>
      <c r="H212" s="31"/>
      <c r="I212" s="31"/>
      <c r="J212" s="31"/>
      <c r="K212" s="43"/>
    </row>
    <row r="214" spans="1:11" x14ac:dyDescent="0.2">
      <c r="A214" s="34"/>
      <c r="B214" s="35"/>
      <c r="C214" s="35"/>
      <c r="D214" s="35"/>
      <c r="E214" s="36"/>
      <c r="G214" s="34"/>
      <c r="H214" s="35"/>
      <c r="I214" s="35"/>
      <c r="J214" s="35"/>
      <c r="K214" s="36"/>
    </row>
    <row r="215" spans="1:11" ht="13.5" x14ac:dyDescent="0.25">
      <c r="A215" s="146" t="s">
        <v>232</v>
      </c>
      <c r="B215" s="147"/>
      <c r="C215" s="147"/>
      <c r="D215" s="147"/>
      <c r="E215" s="148"/>
      <c r="G215" s="146" t="s">
        <v>232</v>
      </c>
      <c r="H215" s="147"/>
      <c r="I215" s="147"/>
      <c r="J215" s="147"/>
      <c r="K215" s="148"/>
    </row>
    <row r="216" spans="1:11" x14ac:dyDescent="0.2">
      <c r="A216" s="37"/>
      <c r="B216" s="2"/>
      <c r="C216" s="2"/>
      <c r="D216" s="2"/>
      <c r="E216" s="38"/>
      <c r="G216" s="39"/>
      <c r="H216" s="2"/>
      <c r="I216" s="2"/>
      <c r="J216" s="2"/>
      <c r="K216" s="38"/>
    </row>
    <row r="217" spans="1:11" x14ac:dyDescent="0.2">
      <c r="A217" s="39"/>
      <c r="B217" s="2" t="s">
        <v>228</v>
      </c>
      <c r="C217" s="1" t="s">
        <v>231</v>
      </c>
      <c r="D217" s="40">
        <f>'Rekap SHU dan Jasa Simpanan'!B42</f>
        <v>53</v>
      </c>
      <c r="E217" s="38"/>
      <c r="G217" s="39"/>
      <c r="H217" s="2" t="s">
        <v>228</v>
      </c>
      <c r="I217" s="1" t="s">
        <v>231</v>
      </c>
      <c r="J217" s="40">
        <f>'Rekap SHU dan Jasa Simpanan'!B43</f>
        <v>54</v>
      </c>
      <c r="K217" s="38"/>
    </row>
    <row r="218" spans="1:11" x14ac:dyDescent="0.2">
      <c r="A218" s="39"/>
      <c r="B218" s="2" t="s">
        <v>229</v>
      </c>
      <c r="C218" s="1" t="s">
        <v>231</v>
      </c>
      <c r="D218" s="7" t="str">
        <f>'Rekap SHU dan Jasa Simpanan'!C42</f>
        <v xml:space="preserve"> Kindi</v>
      </c>
      <c r="E218" s="38"/>
      <c r="G218" s="39"/>
      <c r="H218" s="2" t="s">
        <v>229</v>
      </c>
      <c r="I218" s="1" t="s">
        <v>231</v>
      </c>
      <c r="J218" s="2" t="str">
        <f>'Rekap SHU dan Jasa Simpanan'!C43</f>
        <v xml:space="preserve"> M.Firmansyah</v>
      </c>
      <c r="K218" s="38"/>
    </row>
    <row r="219" spans="1:11" x14ac:dyDescent="0.2">
      <c r="A219" s="39"/>
      <c r="B219" s="2" t="s">
        <v>221</v>
      </c>
      <c r="C219" s="1" t="s">
        <v>231</v>
      </c>
      <c r="D219" s="41">
        <f>'Rekap SHU dan Jasa Simpanan'!BD42</f>
        <v>168160</v>
      </c>
      <c r="E219" s="38"/>
      <c r="G219" s="39"/>
      <c r="H219" s="2" t="s">
        <v>221</v>
      </c>
      <c r="I219" s="1" t="s">
        <v>231</v>
      </c>
      <c r="J219" s="41">
        <f>'Rekap SHU dan Jasa Simpanan'!BD43</f>
        <v>76610</v>
      </c>
      <c r="K219" s="38"/>
    </row>
    <row r="220" spans="1:11" x14ac:dyDescent="0.2">
      <c r="A220" s="39"/>
      <c r="B220" s="2" t="s">
        <v>223</v>
      </c>
      <c r="C220" s="1" t="s">
        <v>231</v>
      </c>
      <c r="D220" s="41">
        <f>'Rekap SHU dan Jasa Simpanan'!BQ42</f>
        <v>325769.51966484671</v>
      </c>
      <c r="E220" s="38"/>
      <c r="G220" s="39"/>
      <c r="H220" s="2" t="s">
        <v>223</v>
      </c>
      <c r="I220" s="1" t="s">
        <v>231</v>
      </c>
      <c r="J220" s="41">
        <f>'Rekap SHU dan Jasa Simpanan'!BQ43</f>
        <v>233224.53009131082</v>
      </c>
      <c r="K220" s="38"/>
    </row>
    <row r="221" spans="1:11" x14ac:dyDescent="0.2">
      <c r="A221" s="39"/>
      <c r="B221" s="10" t="s">
        <v>224</v>
      </c>
      <c r="C221" s="1" t="s">
        <v>231</v>
      </c>
      <c r="D221" s="41">
        <f>'Rekap SHU dan Jasa Simpanan'!BR42</f>
        <v>442235.64726579678</v>
      </c>
      <c r="E221" s="38"/>
      <c r="G221" s="39"/>
      <c r="H221" s="10" t="s">
        <v>224</v>
      </c>
      <c r="I221" s="1" t="s">
        <v>231</v>
      </c>
      <c r="J221" s="41">
        <f>'Rekap SHU dan Jasa Simpanan'!BR43</f>
        <v>687922.11796901724</v>
      </c>
      <c r="K221" s="38"/>
    </row>
    <row r="222" spans="1:11" x14ac:dyDescent="0.2">
      <c r="A222" s="42"/>
      <c r="B222" s="31" t="s">
        <v>230</v>
      </c>
      <c r="C222" s="32" t="s">
        <v>231</v>
      </c>
      <c r="D222" s="33">
        <v>50000</v>
      </c>
      <c r="E222" s="43"/>
      <c r="G222" s="39"/>
      <c r="H222" s="31" t="s">
        <v>230</v>
      </c>
      <c r="I222" s="32" t="s">
        <v>231</v>
      </c>
      <c r="J222" s="33">
        <v>50000</v>
      </c>
      <c r="K222" s="43"/>
    </row>
    <row r="223" spans="1:11" x14ac:dyDescent="0.2">
      <c r="A223" s="39"/>
      <c r="B223" s="1" t="s">
        <v>5</v>
      </c>
      <c r="C223" s="2"/>
      <c r="D223" s="41">
        <f>SUM(D219:D222)</f>
        <v>986165.16693064349</v>
      </c>
      <c r="E223" s="38"/>
      <c r="G223" s="44"/>
      <c r="H223" s="1" t="s">
        <v>5</v>
      </c>
      <c r="I223" s="2"/>
      <c r="J223" s="41">
        <f>SUM(J219:J222)</f>
        <v>1047756.6480603281</v>
      </c>
      <c r="K223" s="38"/>
    </row>
    <row r="224" spans="1:11" x14ac:dyDescent="0.2">
      <c r="A224" s="42"/>
      <c r="B224" s="31"/>
      <c r="C224" s="31"/>
      <c r="D224" s="31"/>
      <c r="E224" s="43"/>
      <c r="G224" s="42"/>
      <c r="H224" s="31"/>
      <c r="I224" s="31"/>
      <c r="J224" s="31"/>
      <c r="K224" s="43"/>
    </row>
    <row r="226" spans="1:11" x14ac:dyDescent="0.2">
      <c r="A226" s="34"/>
      <c r="B226" s="35"/>
      <c r="C226" s="35"/>
      <c r="D226" s="35"/>
      <c r="E226" s="36"/>
      <c r="G226" s="34"/>
      <c r="H226" s="35"/>
      <c r="I226" s="35"/>
      <c r="J226" s="35"/>
      <c r="K226" s="36"/>
    </row>
    <row r="227" spans="1:11" ht="13.5" x14ac:dyDescent="0.25">
      <c r="A227" s="146" t="s">
        <v>232</v>
      </c>
      <c r="B227" s="147"/>
      <c r="C227" s="147"/>
      <c r="D227" s="147"/>
      <c r="E227" s="148"/>
      <c r="G227" s="146" t="s">
        <v>232</v>
      </c>
      <c r="H227" s="147"/>
      <c r="I227" s="147"/>
      <c r="J227" s="147"/>
      <c r="K227" s="148"/>
    </row>
    <row r="228" spans="1:11" x14ac:dyDescent="0.2">
      <c r="A228" s="37"/>
      <c r="B228" s="2"/>
      <c r="C228" s="2"/>
      <c r="D228" s="2"/>
      <c r="E228" s="38"/>
      <c r="G228" s="39"/>
      <c r="H228" s="2"/>
      <c r="I228" s="2"/>
      <c r="J228" s="2"/>
      <c r="K228" s="38"/>
    </row>
    <row r="229" spans="1:11" x14ac:dyDescent="0.2">
      <c r="A229" s="39"/>
      <c r="B229" s="2" t="s">
        <v>228</v>
      </c>
      <c r="C229" s="1" t="s">
        <v>231</v>
      </c>
      <c r="D229" s="40">
        <f>'Rekap SHU dan Jasa Simpanan'!B44</f>
        <v>55</v>
      </c>
      <c r="E229" s="38"/>
      <c r="G229" s="39"/>
      <c r="H229" s="2" t="s">
        <v>228</v>
      </c>
      <c r="I229" s="1" t="s">
        <v>231</v>
      </c>
      <c r="J229" s="40">
        <f>'Rekap SHU dan Jasa Simpanan'!B45</f>
        <v>56</v>
      </c>
      <c r="K229" s="38"/>
    </row>
    <row r="230" spans="1:11" x14ac:dyDescent="0.2">
      <c r="A230" s="39"/>
      <c r="B230" s="2" t="s">
        <v>229</v>
      </c>
      <c r="C230" s="1" t="s">
        <v>231</v>
      </c>
      <c r="D230" s="7" t="str">
        <f>'Rekap SHU dan Jasa Simpanan'!C44</f>
        <v xml:space="preserve"> N.Sasramdani</v>
      </c>
      <c r="E230" s="38"/>
      <c r="G230" s="39"/>
      <c r="H230" s="2" t="s">
        <v>229</v>
      </c>
      <c r="I230" s="1" t="s">
        <v>231</v>
      </c>
      <c r="J230" s="2" t="str">
        <f>'Rekap SHU dan Jasa Simpanan'!C45</f>
        <v xml:space="preserve"> Nurjaeni</v>
      </c>
      <c r="K230" s="38"/>
    </row>
    <row r="231" spans="1:11" x14ac:dyDescent="0.2">
      <c r="A231" s="39"/>
      <c r="B231" s="2" t="s">
        <v>221</v>
      </c>
      <c r="C231" s="1" t="s">
        <v>231</v>
      </c>
      <c r="D231" s="41">
        <f>'Rekap SHU dan Jasa Simpanan'!BD44</f>
        <v>174440</v>
      </c>
      <c r="E231" s="38"/>
      <c r="G231" s="39"/>
      <c r="H231" s="2" t="s">
        <v>221</v>
      </c>
      <c r="I231" s="1" t="s">
        <v>231</v>
      </c>
      <c r="J231" s="41">
        <f>'Rekap SHU dan Jasa Simpanan'!BD45</f>
        <v>552780</v>
      </c>
      <c r="K231" s="38"/>
    </row>
    <row r="232" spans="1:11" x14ac:dyDescent="0.2">
      <c r="A232" s="39"/>
      <c r="B232" s="2" t="s">
        <v>223</v>
      </c>
      <c r="C232" s="1" t="s">
        <v>231</v>
      </c>
      <c r="D232" s="41">
        <f>'Rekap SHU dan Jasa Simpanan'!BQ44</f>
        <v>332485.65133246168</v>
      </c>
      <c r="E232" s="38"/>
      <c r="G232" s="39"/>
      <c r="H232" s="2" t="s">
        <v>223</v>
      </c>
      <c r="I232" s="1" t="s">
        <v>231</v>
      </c>
      <c r="J232" s="41">
        <f>'Rekap SHU dan Jasa Simpanan'!BQ45</f>
        <v>725292.77834745287</v>
      </c>
      <c r="K232" s="38"/>
    </row>
    <row r="233" spans="1:11" x14ac:dyDescent="0.2">
      <c r="A233" s="39"/>
      <c r="B233" s="10" t="s">
        <v>224</v>
      </c>
      <c r="C233" s="1" t="s">
        <v>231</v>
      </c>
      <c r="D233" s="41">
        <f>'Rekap SHU dan Jasa Simpanan'!BR44</f>
        <v>655163.92187525448</v>
      </c>
      <c r="E233" s="38"/>
      <c r="G233" s="39"/>
      <c r="H233" s="10" t="s">
        <v>224</v>
      </c>
      <c r="I233" s="1" t="s">
        <v>231</v>
      </c>
      <c r="J233" s="41">
        <f>'Rekap SHU dan Jasa Simpanan'!BR45</f>
        <v>655163.92187525448</v>
      </c>
      <c r="K233" s="38"/>
    </row>
    <row r="234" spans="1:11" x14ac:dyDescent="0.2">
      <c r="A234" s="42"/>
      <c r="B234" s="31" t="s">
        <v>230</v>
      </c>
      <c r="C234" s="32" t="s">
        <v>231</v>
      </c>
      <c r="D234" s="33">
        <v>50000</v>
      </c>
      <c r="E234" s="43"/>
      <c r="G234" s="39"/>
      <c r="H234" s="31" t="s">
        <v>230</v>
      </c>
      <c r="I234" s="32" t="s">
        <v>231</v>
      </c>
      <c r="J234" s="33">
        <v>50000</v>
      </c>
      <c r="K234" s="43"/>
    </row>
    <row r="235" spans="1:11" x14ac:dyDescent="0.2">
      <c r="A235" s="39"/>
      <c r="B235" s="1" t="s">
        <v>5</v>
      </c>
      <c r="C235" s="2"/>
      <c r="D235" s="41">
        <f>SUM(D231:D234)</f>
        <v>1212089.5732077162</v>
      </c>
      <c r="E235" s="38"/>
      <c r="G235" s="44"/>
      <c r="H235" s="1" t="s">
        <v>5</v>
      </c>
      <c r="I235" s="2"/>
      <c r="J235" s="41">
        <f>SUM(J231:J234)</f>
        <v>1983236.7002227074</v>
      </c>
      <c r="K235" s="38"/>
    </row>
    <row r="236" spans="1:11" x14ac:dyDescent="0.2">
      <c r="A236" s="42"/>
      <c r="B236" s="31"/>
      <c r="C236" s="31"/>
      <c r="D236" s="31"/>
      <c r="E236" s="43"/>
      <c r="G236" s="42"/>
      <c r="H236" s="31"/>
      <c r="I236" s="31"/>
      <c r="J236" s="31"/>
      <c r="K236" s="43"/>
    </row>
    <row r="238" spans="1:11" x14ac:dyDescent="0.2">
      <c r="A238" s="34"/>
      <c r="B238" s="35"/>
      <c r="C238" s="35"/>
      <c r="D238" s="35"/>
      <c r="E238" s="36"/>
      <c r="G238" s="34"/>
      <c r="H238" s="35"/>
      <c r="I238" s="35"/>
      <c r="J238" s="35"/>
      <c r="K238" s="36"/>
    </row>
    <row r="239" spans="1:11" ht="13.5" x14ac:dyDescent="0.25">
      <c r="A239" s="146" t="s">
        <v>232</v>
      </c>
      <c r="B239" s="147"/>
      <c r="C239" s="147"/>
      <c r="D239" s="147"/>
      <c r="E239" s="148"/>
      <c r="G239" s="146" t="s">
        <v>232</v>
      </c>
      <c r="H239" s="147"/>
      <c r="I239" s="147"/>
      <c r="J239" s="147"/>
      <c r="K239" s="148"/>
    </row>
    <row r="240" spans="1:11" x14ac:dyDescent="0.2">
      <c r="A240" s="37"/>
      <c r="B240" s="2"/>
      <c r="C240" s="2"/>
      <c r="D240" s="2"/>
      <c r="E240" s="38"/>
      <c r="G240" s="39"/>
      <c r="H240" s="2"/>
      <c r="I240" s="2"/>
      <c r="J240" s="2"/>
      <c r="K240" s="38"/>
    </row>
    <row r="241" spans="1:11" x14ac:dyDescent="0.2">
      <c r="A241" s="39"/>
      <c r="B241" s="2" t="s">
        <v>228</v>
      </c>
      <c r="C241" s="1" t="s">
        <v>231</v>
      </c>
      <c r="D241" s="40">
        <f>'Rekap SHU dan Jasa Simpanan'!B46</f>
        <v>58</v>
      </c>
      <c r="E241" s="38"/>
      <c r="G241" s="39"/>
      <c r="H241" s="2" t="s">
        <v>228</v>
      </c>
      <c r="I241" s="1" t="s">
        <v>231</v>
      </c>
      <c r="J241" s="40">
        <f>'Rekap SHU dan Jasa Simpanan'!B47</f>
        <v>59</v>
      </c>
      <c r="K241" s="38"/>
    </row>
    <row r="242" spans="1:11" x14ac:dyDescent="0.2">
      <c r="A242" s="39"/>
      <c r="B242" s="2" t="s">
        <v>229</v>
      </c>
      <c r="C242" s="1" t="s">
        <v>231</v>
      </c>
      <c r="D242" s="7" t="str">
        <f>'Rekap SHU dan Jasa Simpanan'!C46</f>
        <v xml:space="preserve"> Dadang Suhendar</v>
      </c>
      <c r="E242" s="38"/>
      <c r="G242" s="39"/>
      <c r="H242" s="2" t="s">
        <v>229</v>
      </c>
      <c r="I242" s="1" t="s">
        <v>231</v>
      </c>
      <c r="J242" s="2" t="str">
        <f>'Rekap SHU dan Jasa Simpanan'!C47</f>
        <v xml:space="preserve"> Djenal Aripin</v>
      </c>
      <c r="K242" s="38"/>
    </row>
    <row r="243" spans="1:11" x14ac:dyDescent="0.2">
      <c r="A243" s="39"/>
      <c r="B243" s="2" t="s">
        <v>221</v>
      </c>
      <c r="C243" s="1" t="s">
        <v>231</v>
      </c>
      <c r="D243" s="41">
        <f>'Rekap SHU dan Jasa Simpanan'!BD46</f>
        <v>67600</v>
      </c>
      <c r="E243" s="38"/>
      <c r="G243" s="39"/>
      <c r="H243" s="2" t="s">
        <v>221</v>
      </c>
      <c r="I243" s="1" t="s">
        <v>231</v>
      </c>
      <c r="J243" s="41">
        <f>'Rekap SHU dan Jasa Simpanan'!BD47</f>
        <v>146460</v>
      </c>
      <c r="K243" s="38"/>
    </row>
    <row r="244" spans="1:11" x14ac:dyDescent="0.2">
      <c r="A244" s="39"/>
      <c r="B244" s="2" t="s">
        <v>223</v>
      </c>
      <c r="C244" s="1" t="s">
        <v>231</v>
      </c>
      <c r="D244" s="41">
        <f>'Rekap SHU dan Jasa Simpanan'!BQ46</f>
        <v>223274.84428097747</v>
      </c>
      <c r="E244" s="38"/>
      <c r="G244" s="39"/>
      <c r="H244" s="2" t="s">
        <v>223</v>
      </c>
      <c r="I244" s="1" t="s">
        <v>231</v>
      </c>
      <c r="J244" s="41">
        <f>'Rekap SHU dan Jasa Simpanan'!BQ47</f>
        <v>305447.05427071429</v>
      </c>
      <c r="K244" s="38"/>
    </row>
    <row r="245" spans="1:11" x14ac:dyDescent="0.2">
      <c r="A245" s="39"/>
      <c r="B245" s="10" t="s">
        <v>224</v>
      </c>
      <c r="C245" s="1" t="s">
        <v>231</v>
      </c>
      <c r="D245" s="41">
        <f>'Rekap SHU dan Jasa Simpanan'!BR46</f>
        <v>589647.52968772908</v>
      </c>
      <c r="E245" s="38"/>
      <c r="G245" s="39"/>
      <c r="H245" s="10" t="s">
        <v>224</v>
      </c>
      <c r="I245" s="1" t="s">
        <v>231</v>
      </c>
      <c r="J245" s="41">
        <f>'Rekap SHU dan Jasa Simpanan'!BR47</f>
        <v>0</v>
      </c>
      <c r="K245" s="38"/>
    </row>
    <row r="246" spans="1:11" x14ac:dyDescent="0.2">
      <c r="A246" s="42"/>
      <c r="B246" s="31" t="s">
        <v>230</v>
      </c>
      <c r="C246" s="32" t="s">
        <v>231</v>
      </c>
      <c r="D246" s="33">
        <v>50000</v>
      </c>
      <c r="E246" s="43"/>
      <c r="G246" s="39"/>
      <c r="H246" s="31" t="s">
        <v>230</v>
      </c>
      <c r="I246" s="32" t="s">
        <v>231</v>
      </c>
      <c r="J246" s="33">
        <v>50000</v>
      </c>
      <c r="K246" s="43"/>
    </row>
    <row r="247" spans="1:11" x14ac:dyDescent="0.2">
      <c r="A247" s="39"/>
      <c r="B247" s="1" t="s">
        <v>5</v>
      </c>
      <c r="C247" s="2"/>
      <c r="D247" s="41">
        <f>SUM(D243:D246)</f>
        <v>930522.37396870658</v>
      </c>
      <c r="E247" s="38"/>
      <c r="G247" s="44"/>
      <c r="H247" s="1" t="s">
        <v>5</v>
      </c>
      <c r="I247" s="2"/>
      <c r="J247" s="41">
        <f>SUM(J243:J246)</f>
        <v>501907.05427071429</v>
      </c>
      <c r="K247" s="38"/>
    </row>
    <row r="248" spans="1:11" x14ac:dyDescent="0.2">
      <c r="A248" s="42"/>
      <c r="B248" s="31"/>
      <c r="C248" s="31"/>
      <c r="D248" s="31"/>
      <c r="E248" s="43"/>
      <c r="G248" s="42"/>
      <c r="H248" s="31"/>
      <c r="I248" s="31"/>
      <c r="J248" s="31"/>
      <c r="K248" s="43"/>
    </row>
    <row r="253" spans="1:11" x14ac:dyDescent="0.2">
      <c r="A253" s="34"/>
      <c r="B253" s="35"/>
      <c r="C253" s="35"/>
      <c r="D253" s="35"/>
      <c r="E253" s="36"/>
      <c r="G253" s="34"/>
      <c r="H253" s="35"/>
      <c r="I253" s="35"/>
      <c r="J253" s="35"/>
      <c r="K253" s="36"/>
    </row>
    <row r="254" spans="1:11" ht="13.5" x14ac:dyDescent="0.25">
      <c r="A254" s="146" t="s">
        <v>232</v>
      </c>
      <c r="B254" s="147"/>
      <c r="C254" s="147"/>
      <c r="D254" s="147"/>
      <c r="E254" s="148"/>
      <c r="G254" s="146" t="s">
        <v>232</v>
      </c>
      <c r="H254" s="147"/>
      <c r="I254" s="147"/>
      <c r="J254" s="147"/>
      <c r="K254" s="148"/>
    </row>
    <row r="255" spans="1:11" x14ac:dyDescent="0.2">
      <c r="A255" s="37"/>
      <c r="B255" s="2"/>
      <c r="C255" s="2"/>
      <c r="D255" s="2"/>
      <c r="E255" s="38"/>
      <c r="G255" s="39"/>
      <c r="H255" s="2"/>
      <c r="I255" s="2"/>
      <c r="J255" s="2"/>
      <c r="K255" s="38"/>
    </row>
    <row r="256" spans="1:11" x14ac:dyDescent="0.2">
      <c r="A256" s="39"/>
      <c r="B256" s="2" t="s">
        <v>228</v>
      </c>
      <c r="C256" s="1" t="s">
        <v>231</v>
      </c>
      <c r="D256" s="40">
        <f xml:space="preserve">   'Rekap SHU dan Jasa Simpanan'!B48</f>
        <v>60</v>
      </c>
      <c r="E256" s="38"/>
      <c r="G256" s="39"/>
      <c r="H256" s="2" t="s">
        <v>228</v>
      </c>
      <c r="I256" s="1" t="s">
        <v>231</v>
      </c>
      <c r="J256" s="40">
        <f>'Rekap SHU dan Jasa Simpanan'!B49</f>
        <v>61</v>
      </c>
      <c r="K256" s="38"/>
    </row>
    <row r="257" spans="1:11" x14ac:dyDescent="0.2">
      <c r="A257" s="39"/>
      <c r="B257" s="2" t="s">
        <v>229</v>
      </c>
      <c r="C257" s="1" t="s">
        <v>231</v>
      </c>
      <c r="D257" s="2" t="str">
        <f>'Rekap SHU dan Jasa Simpanan'!C48</f>
        <v xml:space="preserve"> Wawan Suryana</v>
      </c>
      <c r="E257" s="38"/>
      <c r="G257" s="39"/>
      <c r="H257" s="2" t="s">
        <v>229</v>
      </c>
      <c r="I257" s="1" t="s">
        <v>231</v>
      </c>
      <c r="J257" s="2" t="str">
        <f>'Rekap SHU dan Jasa Simpanan'!C49</f>
        <v xml:space="preserve"> Suryadi</v>
      </c>
      <c r="K257" s="38"/>
    </row>
    <row r="258" spans="1:11" x14ac:dyDescent="0.2">
      <c r="A258" s="39"/>
      <c r="B258" s="2" t="s">
        <v>221</v>
      </c>
      <c r="C258" s="1" t="s">
        <v>231</v>
      </c>
      <c r="D258" s="41">
        <f>'Rekap SHU dan Jasa Simpanan'!BD48</f>
        <v>104350</v>
      </c>
      <c r="E258" s="38"/>
      <c r="G258" s="39"/>
      <c r="H258" s="2" t="s">
        <v>221</v>
      </c>
      <c r="I258" s="1" t="s">
        <v>231</v>
      </c>
      <c r="J258" s="41">
        <f>'Rekap SHU dan Jasa Simpanan'!BD49</f>
        <v>52160</v>
      </c>
      <c r="K258" s="38"/>
    </row>
    <row r="259" spans="1:11" x14ac:dyDescent="0.2">
      <c r="A259" s="39"/>
      <c r="B259" s="2" t="s">
        <v>223</v>
      </c>
      <c r="C259" s="1" t="s">
        <v>231</v>
      </c>
      <c r="D259" s="41">
        <f>'Rekap SHU dan Jasa Simpanan'!BQ48</f>
        <v>258032.03748046633</v>
      </c>
      <c r="E259" s="38"/>
      <c r="G259" s="39"/>
      <c r="H259" s="2" t="s">
        <v>223</v>
      </c>
      <c r="I259" s="1" t="s">
        <v>231</v>
      </c>
      <c r="J259" s="41">
        <f>'Rekap SHU dan Jasa Simpanan'!BQ49</f>
        <v>207119.65244229353</v>
      </c>
      <c r="K259" s="38"/>
    </row>
    <row r="260" spans="1:11" x14ac:dyDescent="0.2">
      <c r="A260" s="39"/>
      <c r="B260" s="10" t="s">
        <v>224</v>
      </c>
      <c r="C260" s="1" t="s">
        <v>231</v>
      </c>
      <c r="D260" s="41">
        <f>'Rekap SHU dan Jasa Simpanan'!BR48</f>
        <v>393098.3531251527</v>
      </c>
      <c r="E260" s="38"/>
      <c r="G260" s="39"/>
      <c r="H260" s="10" t="s">
        <v>224</v>
      </c>
      <c r="I260" s="1" t="s">
        <v>231</v>
      </c>
      <c r="J260" s="41">
        <f>'Rekap SHU dan Jasa Simpanan'!BR49</f>
        <v>589647.52968772908</v>
      </c>
      <c r="K260" s="38"/>
    </row>
    <row r="261" spans="1:11" x14ac:dyDescent="0.2">
      <c r="A261" s="42"/>
      <c r="B261" s="31" t="s">
        <v>230</v>
      </c>
      <c r="C261" s="32" t="s">
        <v>231</v>
      </c>
      <c r="D261" s="33">
        <v>50000</v>
      </c>
      <c r="E261" s="43"/>
      <c r="G261" s="39"/>
      <c r="H261" s="31" t="s">
        <v>230</v>
      </c>
      <c r="I261" s="32" t="s">
        <v>231</v>
      </c>
      <c r="J261" s="33">
        <v>50000</v>
      </c>
      <c r="K261" s="43"/>
    </row>
    <row r="262" spans="1:11" x14ac:dyDescent="0.2">
      <c r="A262" s="39"/>
      <c r="B262" s="1" t="s">
        <v>5</v>
      </c>
      <c r="C262" s="2"/>
      <c r="D262" s="41">
        <f>SUM(D258:D261)</f>
        <v>805480.39060561894</v>
      </c>
      <c r="E262" s="38"/>
      <c r="G262" s="44"/>
      <c r="H262" s="1" t="s">
        <v>5</v>
      </c>
      <c r="I262" s="2"/>
      <c r="J262" s="41">
        <f>SUM(J258:J261)</f>
        <v>898927.18213002267</v>
      </c>
      <c r="K262" s="38"/>
    </row>
    <row r="263" spans="1:11" x14ac:dyDescent="0.2">
      <c r="A263" s="42"/>
      <c r="B263" s="31"/>
      <c r="C263" s="31"/>
      <c r="D263" s="31"/>
      <c r="E263" s="43"/>
      <c r="G263" s="42"/>
      <c r="H263" s="31"/>
      <c r="I263" s="31"/>
      <c r="J263" s="31"/>
      <c r="K263" s="43"/>
    </row>
    <row r="265" spans="1:11" x14ac:dyDescent="0.2">
      <c r="A265" s="34"/>
      <c r="B265" s="35"/>
      <c r="C265" s="35"/>
      <c r="D265" s="35"/>
      <c r="E265" s="36"/>
      <c r="G265" s="34"/>
      <c r="H265" s="35"/>
      <c r="I265" s="35"/>
      <c r="J265" s="35"/>
      <c r="K265" s="36"/>
    </row>
    <row r="266" spans="1:11" ht="13.5" x14ac:dyDescent="0.25">
      <c r="A266" s="146" t="s">
        <v>232</v>
      </c>
      <c r="B266" s="147"/>
      <c r="C266" s="147"/>
      <c r="D266" s="147"/>
      <c r="E266" s="148"/>
      <c r="G266" s="146" t="s">
        <v>232</v>
      </c>
      <c r="H266" s="147"/>
      <c r="I266" s="147"/>
      <c r="J266" s="147"/>
      <c r="K266" s="148"/>
    </row>
    <row r="267" spans="1:11" x14ac:dyDescent="0.2">
      <c r="A267" s="37"/>
      <c r="B267" s="2"/>
      <c r="C267" s="2"/>
      <c r="D267" s="2"/>
      <c r="E267" s="38"/>
      <c r="G267" s="39"/>
      <c r="H267" s="2"/>
      <c r="I267" s="2"/>
      <c r="J267" s="2"/>
      <c r="K267" s="38"/>
    </row>
    <row r="268" spans="1:11" x14ac:dyDescent="0.2">
      <c r="A268" s="39"/>
      <c r="B268" s="2" t="s">
        <v>228</v>
      </c>
      <c r="C268" s="1" t="s">
        <v>231</v>
      </c>
      <c r="D268" s="40">
        <f>'Rekap SHU dan Jasa Simpanan'!B50</f>
        <v>62</v>
      </c>
      <c r="E268" s="38"/>
      <c r="G268" s="39"/>
      <c r="H268" s="2" t="s">
        <v>228</v>
      </c>
      <c r="I268" s="1" t="s">
        <v>231</v>
      </c>
      <c r="J268" s="40">
        <f>'Rekap SHU dan Jasa Simpanan'!B51</f>
        <v>63</v>
      </c>
      <c r="K268" s="38"/>
    </row>
    <row r="269" spans="1:11" x14ac:dyDescent="0.2">
      <c r="A269" s="39"/>
      <c r="B269" s="2" t="s">
        <v>229</v>
      </c>
      <c r="C269" s="1" t="s">
        <v>231</v>
      </c>
      <c r="D269" s="7" t="str">
        <f>'Rekap SHU dan Jasa Simpanan'!C50</f>
        <v xml:space="preserve"> Duyeh</v>
      </c>
      <c r="E269" s="38"/>
      <c r="G269" s="39"/>
      <c r="H269" s="2" t="s">
        <v>229</v>
      </c>
      <c r="I269" s="45" t="s">
        <v>231</v>
      </c>
      <c r="J269" s="2" t="str">
        <f>'Rekap SHU dan Jasa Simpanan'!C51</f>
        <v xml:space="preserve"> Ujang Suparman</v>
      </c>
      <c r="K269" s="38"/>
    </row>
    <row r="270" spans="1:11" x14ac:dyDescent="0.2">
      <c r="A270" s="39"/>
      <c r="B270" s="2" t="s">
        <v>221</v>
      </c>
      <c r="C270" s="1" t="s">
        <v>231</v>
      </c>
      <c r="D270" s="41">
        <f>'Rekap SHU dan Jasa Simpanan'!BD50</f>
        <v>97460</v>
      </c>
      <c r="E270" s="38"/>
      <c r="G270" s="39"/>
      <c r="H270" s="2" t="s">
        <v>221</v>
      </c>
      <c r="I270" s="1" t="s">
        <v>231</v>
      </c>
      <c r="J270" s="41">
        <f>'Rekap SHU dan Jasa Simpanan'!BD51</f>
        <v>52790</v>
      </c>
      <c r="K270" s="38"/>
    </row>
    <row r="271" spans="1:11" x14ac:dyDescent="0.2">
      <c r="A271" s="39"/>
      <c r="B271" s="2" t="s">
        <v>223</v>
      </c>
      <c r="C271" s="1" t="s">
        <v>231</v>
      </c>
      <c r="D271" s="41">
        <f>'Rekap SHU dan Jasa Simpanan'!BQ50</f>
        <v>227277.07198126437</v>
      </c>
      <c r="E271" s="38"/>
      <c r="G271" s="39"/>
      <c r="H271" s="2" t="s">
        <v>223</v>
      </c>
      <c r="I271" s="1" t="s">
        <v>231</v>
      </c>
      <c r="J271" s="41">
        <f>'Rekap SHU dan Jasa Simpanan'!BQ51</f>
        <v>207713.53167425931</v>
      </c>
      <c r="K271" s="38"/>
    </row>
    <row r="272" spans="1:11" x14ac:dyDescent="0.2">
      <c r="A272" s="39"/>
      <c r="B272" s="10" t="s">
        <v>224</v>
      </c>
      <c r="C272" s="1" t="s">
        <v>231</v>
      </c>
      <c r="D272" s="41">
        <f>'Rekap SHU dan Jasa Simpanan'!BR50</f>
        <v>298099.58445324079</v>
      </c>
      <c r="E272" s="38"/>
      <c r="G272" s="39"/>
      <c r="H272" s="10" t="s">
        <v>224</v>
      </c>
      <c r="I272" s="1" t="s">
        <v>231</v>
      </c>
      <c r="J272" s="41">
        <f>'Rekap SHU dan Jasa Simpanan'!BR51</f>
        <v>628957.36500024435</v>
      </c>
      <c r="K272" s="38"/>
    </row>
    <row r="273" spans="1:11" x14ac:dyDescent="0.2">
      <c r="A273" s="42"/>
      <c r="B273" s="31" t="s">
        <v>230</v>
      </c>
      <c r="C273" s="32" t="s">
        <v>231</v>
      </c>
      <c r="D273" s="33">
        <v>50000</v>
      </c>
      <c r="E273" s="43"/>
      <c r="G273" s="39"/>
      <c r="H273" s="31" t="s">
        <v>230</v>
      </c>
      <c r="I273" s="32" t="s">
        <v>231</v>
      </c>
      <c r="J273" s="33">
        <v>50000</v>
      </c>
      <c r="K273" s="43"/>
    </row>
    <row r="274" spans="1:11" x14ac:dyDescent="0.2">
      <c r="A274" s="39"/>
      <c r="B274" s="1" t="s">
        <v>5</v>
      </c>
      <c r="C274" s="2"/>
      <c r="D274" s="41">
        <f>SUM(D270:D273)</f>
        <v>672836.65643450525</v>
      </c>
      <c r="E274" s="38"/>
      <c r="G274" s="44"/>
      <c r="H274" s="1" t="s">
        <v>5</v>
      </c>
      <c r="I274" s="2"/>
      <c r="J274" s="41">
        <f>SUM(J270:J273)</f>
        <v>939460.89667450369</v>
      </c>
      <c r="K274" s="38"/>
    </row>
    <row r="275" spans="1:11" x14ac:dyDescent="0.2">
      <c r="A275" s="42"/>
      <c r="B275" s="31"/>
      <c r="C275" s="31"/>
      <c r="D275" s="31"/>
      <c r="E275" s="43"/>
      <c r="G275" s="42"/>
      <c r="H275" s="31"/>
      <c r="I275" s="31"/>
      <c r="J275" s="31"/>
      <c r="K275" s="43"/>
    </row>
    <row r="277" spans="1:11" x14ac:dyDescent="0.2">
      <c r="A277" s="34"/>
      <c r="B277" s="35"/>
      <c r="C277" s="35"/>
      <c r="D277" s="35"/>
      <c r="E277" s="36"/>
      <c r="G277" s="34"/>
      <c r="H277" s="35"/>
      <c r="I277" s="35"/>
      <c r="J277" s="35"/>
      <c r="K277" s="36"/>
    </row>
    <row r="278" spans="1:11" ht="13.5" x14ac:dyDescent="0.25">
      <c r="A278" s="146" t="s">
        <v>232</v>
      </c>
      <c r="B278" s="147"/>
      <c r="C278" s="147"/>
      <c r="D278" s="147"/>
      <c r="E278" s="148"/>
      <c r="G278" s="146" t="s">
        <v>232</v>
      </c>
      <c r="H278" s="147"/>
      <c r="I278" s="147"/>
      <c r="J278" s="147"/>
      <c r="K278" s="148"/>
    </row>
    <row r="279" spans="1:11" x14ac:dyDescent="0.2">
      <c r="A279" s="37"/>
      <c r="B279" s="2"/>
      <c r="C279" s="2"/>
      <c r="D279" s="2"/>
      <c r="E279" s="38"/>
      <c r="G279" s="39"/>
      <c r="H279" s="2"/>
      <c r="I279" s="2"/>
      <c r="J279" s="2"/>
      <c r="K279" s="38"/>
    </row>
    <row r="280" spans="1:11" x14ac:dyDescent="0.2">
      <c r="A280" s="39"/>
      <c r="B280" s="2" t="s">
        <v>228</v>
      </c>
      <c r="C280" s="1" t="s">
        <v>231</v>
      </c>
      <c r="D280" s="40">
        <f>'Rekap SHU dan Jasa Simpanan'!B52</f>
        <v>64</v>
      </c>
      <c r="E280" s="38"/>
      <c r="G280" s="39"/>
      <c r="H280" s="2" t="s">
        <v>228</v>
      </c>
      <c r="I280" s="1" t="s">
        <v>231</v>
      </c>
      <c r="J280" s="40">
        <f>'Rekap SHU dan Jasa Simpanan'!B53</f>
        <v>65</v>
      </c>
      <c r="K280" s="38"/>
    </row>
    <row r="281" spans="1:11" x14ac:dyDescent="0.2">
      <c r="A281" s="39"/>
      <c r="B281" s="2" t="s">
        <v>229</v>
      </c>
      <c r="C281" s="1" t="s">
        <v>231</v>
      </c>
      <c r="D281" s="7" t="str">
        <f>'Rekap SHU dan Jasa Simpanan'!C52</f>
        <v xml:space="preserve"> Saepuloh</v>
      </c>
      <c r="E281" s="38"/>
      <c r="G281" s="39"/>
      <c r="H281" s="2" t="s">
        <v>229</v>
      </c>
      <c r="I281" s="1" t="s">
        <v>231</v>
      </c>
      <c r="J281" s="2" t="str">
        <f>'Rekap SHU dan Jasa Simpanan'!C53</f>
        <v xml:space="preserve"> Hedi Suyono</v>
      </c>
      <c r="K281" s="38"/>
    </row>
    <row r="282" spans="1:11" x14ac:dyDescent="0.2">
      <c r="A282" s="39"/>
      <c r="B282" s="2" t="s">
        <v>221</v>
      </c>
      <c r="C282" s="1" t="s">
        <v>231</v>
      </c>
      <c r="D282" s="41">
        <f>'Rekap SHU dan Jasa Simpanan'!BD52</f>
        <v>90220</v>
      </c>
      <c r="E282" s="38"/>
      <c r="G282" s="39"/>
      <c r="H282" s="2" t="s">
        <v>221</v>
      </c>
      <c r="I282" s="1" t="s">
        <v>231</v>
      </c>
      <c r="J282" s="41">
        <f>'Rekap SHU dan Jasa Simpanan'!BD53</f>
        <v>1544105</v>
      </c>
      <c r="K282" s="38"/>
    </row>
    <row r="283" spans="1:11" x14ac:dyDescent="0.2">
      <c r="A283" s="39"/>
      <c r="B283" s="2" t="s">
        <v>223</v>
      </c>
      <c r="C283" s="1" t="s">
        <v>231</v>
      </c>
      <c r="D283" s="41">
        <f>'Rekap SHU dan Jasa Simpanan'!BQ52</f>
        <v>245759.99874156792</v>
      </c>
      <c r="E283" s="38"/>
      <c r="G283" s="39"/>
      <c r="H283" s="2" t="s">
        <v>223</v>
      </c>
      <c r="I283" s="1" t="s">
        <v>231</v>
      </c>
      <c r="J283" s="41">
        <f>'Rekap SHU dan Jasa Simpanan'!BQ53</f>
        <v>1865214.1057982054</v>
      </c>
      <c r="K283" s="38"/>
    </row>
    <row r="284" spans="1:11" x14ac:dyDescent="0.2">
      <c r="A284" s="39"/>
      <c r="B284" s="10" t="s">
        <v>224</v>
      </c>
      <c r="C284" s="1" t="s">
        <v>231</v>
      </c>
      <c r="D284" s="41">
        <f>'Rekap SHU dan Jasa Simpanan'!BR52</f>
        <v>589647.52968772908</v>
      </c>
      <c r="E284" s="38"/>
      <c r="G284" s="39"/>
      <c r="H284" s="10" t="s">
        <v>224</v>
      </c>
      <c r="I284" s="1" t="s">
        <v>231</v>
      </c>
      <c r="J284" s="41">
        <f>'Rekap SHU dan Jasa Simpanan'!BR53</f>
        <v>412753.27078141033</v>
      </c>
      <c r="K284" s="38"/>
    </row>
    <row r="285" spans="1:11" x14ac:dyDescent="0.2">
      <c r="A285" s="42"/>
      <c r="B285" s="31" t="s">
        <v>230</v>
      </c>
      <c r="C285" s="32" t="s">
        <v>231</v>
      </c>
      <c r="D285" s="33">
        <v>50000</v>
      </c>
      <c r="E285" s="43"/>
      <c r="G285" s="39"/>
      <c r="H285" s="31" t="s">
        <v>230</v>
      </c>
      <c r="I285" s="32" t="s">
        <v>231</v>
      </c>
      <c r="J285" s="33">
        <v>50000</v>
      </c>
      <c r="K285" s="43"/>
    </row>
    <row r="286" spans="1:11" x14ac:dyDescent="0.2">
      <c r="A286" s="39"/>
      <c r="B286" s="1" t="s">
        <v>5</v>
      </c>
      <c r="C286" s="2"/>
      <c r="D286" s="41">
        <f>SUM(D282:D285)</f>
        <v>975627.52842929703</v>
      </c>
      <c r="E286" s="38"/>
      <c r="G286" s="44"/>
      <c r="H286" s="1" t="s">
        <v>5</v>
      </c>
      <c r="I286" s="2"/>
      <c r="J286" s="41">
        <f>SUM(J282:J285)</f>
        <v>3872072.3765796158</v>
      </c>
      <c r="K286" s="38"/>
    </row>
    <row r="287" spans="1:11" x14ac:dyDescent="0.2">
      <c r="A287" s="42"/>
      <c r="B287" s="31"/>
      <c r="C287" s="31"/>
      <c r="D287" s="31"/>
      <c r="E287" s="43"/>
      <c r="G287" s="42"/>
      <c r="H287" s="31"/>
      <c r="I287" s="31"/>
      <c r="J287" s="31"/>
      <c r="K287" s="43"/>
    </row>
    <row r="289" spans="1:11" x14ac:dyDescent="0.2">
      <c r="A289" s="34"/>
      <c r="B289" s="35"/>
      <c r="C289" s="35"/>
      <c r="D289" s="35"/>
      <c r="E289" s="36"/>
      <c r="G289" s="34"/>
      <c r="H289" s="35"/>
      <c r="I289" s="35"/>
      <c r="J289" s="35"/>
      <c r="K289" s="36"/>
    </row>
    <row r="290" spans="1:11" ht="13.5" x14ac:dyDescent="0.25">
      <c r="A290" s="146" t="s">
        <v>232</v>
      </c>
      <c r="B290" s="147"/>
      <c r="C290" s="147"/>
      <c r="D290" s="147"/>
      <c r="E290" s="148"/>
      <c r="G290" s="146" t="s">
        <v>232</v>
      </c>
      <c r="H290" s="147"/>
      <c r="I290" s="147"/>
      <c r="J290" s="147"/>
      <c r="K290" s="148"/>
    </row>
    <row r="291" spans="1:11" x14ac:dyDescent="0.2">
      <c r="A291" s="37"/>
      <c r="B291" s="2"/>
      <c r="C291" s="2"/>
      <c r="D291" s="2"/>
      <c r="E291" s="38"/>
      <c r="G291" s="39"/>
      <c r="H291" s="2"/>
      <c r="I291" s="2"/>
      <c r="J291" s="2"/>
      <c r="K291" s="38"/>
    </row>
    <row r="292" spans="1:11" x14ac:dyDescent="0.2">
      <c r="A292" s="39"/>
      <c r="B292" s="2" t="s">
        <v>228</v>
      </c>
      <c r="C292" s="1" t="s">
        <v>231</v>
      </c>
      <c r="D292" s="40">
        <f>'Rekap SHU dan Jasa Simpanan'!B54</f>
        <v>66</v>
      </c>
      <c r="E292" s="38"/>
      <c r="G292" s="39"/>
      <c r="H292" s="2" t="s">
        <v>228</v>
      </c>
      <c r="I292" s="1" t="s">
        <v>231</v>
      </c>
      <c r="J292" s="40">
        <f>'Rekap SHU dan Jasa Simpanan'!B55</f>
        <v>67</v>
      </c>
      <c r="K292" s="38"/>
    </row>
    <row r="293" spans="1:11" x14ac:dyDescent="0.2">
      <c r="A293" s="39"/>
      <c r="B293" s="2" t="s">
        <v>229</v>
      </c>
      <c r="C293" s="1" t="s">
        <v>231</v>
      </c>
      <c r="D293" s="7" t="str">
        <f>'Rekap SHU dan Jasa Simpanan'!C54</f>
        <v xml:space="preserve"> Supardi</v>
      </c>
      <c r="E293" s="38"/>
      <c r="G293" s="39"/>
      <c r="H293" s="2" t="s">
        <v>229</v>
      </c>
      <c r="I293" s="1" t="s">
        <v>231</v>
      </c>
      <c r="J293" s="2" t="str">
        <f>'Rekap SHU dan Jasa Simpanan'!C55</f>
        <v xml:space="preserve"> Ibu Siti Aminah</v>
      </c>
      <c r="K293" s="38"/>
    </row>
    <row r="294" spans="1:11" x14ac:dyDescent="0.2">
      <c r="A294" s="39"/>
      <c r="B294" s="2" t="s">
        <v>221</v>
      </c>
      <c r="C294" s="1" t="s">
        <v>231</v>
      </c>
      <c r="D294" s="41">
        <f>'Rekap SHU dan Jasa Simpanan'!BD54</f>
        <v>625770</v>
      </c>
      <c r="E294" s="38"/>
      <c r="G294" s="39"/>
      <c r="H294" s="2" t="s">
        <v>221</v>
      </c>
      <c r="I294" s="1" t="s">
        <v>231</v>
      </c>
      <c r="J294" s="41">
        <f>'Rekap SHU dan Jasa Simpanan'!BD55</f>
        <v>117120</v>
      </c>
      <c r="K294" s="38"/>
    </row>
    <row r="295" spans="1:11" x14ac:dyDescent="0.2">
      <c r="A295" s="39"/>
      <c r="B295" s="2" t="s">
        <v>223</v>
      </c>
      <c r="C295" s="1" t="s">
        <v>231</v>
      </c>
      <c r="D295" s="41">
        <f>'Rekap SHU dan Jasa Simpanan'!BQ54</f>
        <v>854587.06622316036</v>
      </c>
      <c r="E295" s="38"/>
      <c r="G295" s="39"/>
      <c r="H295" s="2" t="s">
        <v>223</v>
      </c>
      <c r="I295" s="1" t="s">
        <v>231</v>
      </c>
      <c r="J295" s="41">
        <f>'Rekap SHU dan Jasa Simpanan'!BQ55</f>
        <v>276081.4496026726</v>
      </c>
      <c r="K295" s="38"/>
    </row>
    <row r="296" spans="1:11" x14ac:dyDescent="0.2">
      <c r="A296" s="39"/>
      <c r="B296" s="10" t="s">
        <v>224</v>
      </c>
      <c r="C296" s="1" t="s">
        <v>231</v>
      </c>
      <c r="D296" s="41">
        <f>'Rekap SHU dan Jasa Simpanan'!BR54</f>
        <v>471718.02375018329</v>
      </c>
      <c r="E296" s="38"/>
      <c r="G296" s="39"/>
      <c r="H296" s="10" t="s">
        <v>224</v>
      </c>
      <c r="I296" s="1" t="s">
        <v>231</v>
      </c>
      <c r="J296" s="41">
        <f>'Rekap SHU dan Jasa Simpanan'!BR55</f>
        <v>39309.835312515272</v>
      </c>
      <c r="K296" s="38"/>
    </row>
    <row r="297" spans="1:11" x14ac:dyDescent="0.2">
      <c r="A297" s="42"/>
      <c r="B297" s="31" t="s">
        <v>230</v>
      </c>
      <c r="C297" s="32" t="s">
        <v>231</v>
      </c>
      <c r="D297" s="33">
        <v>50000</v>
      </c>
      <c r="E297" s="43"/>
      <c r="G297" s="39"/>
      <c r="H297" s="31" t="s">
        <v>230</v>
      </c>
      <c r="I297" s="32" t="s">
        <v>231</v>
      </c>
      <c r="J297" s="33">
        <v>0</v>
      </c>
      <c r="K297" s="43"/>
    </row>
    <row r="298" spans="1:11" x14ac:dyDescent="0.2">
      <c r="A298" s="39"/>
      <c r="B298" s="1" t="s">
        <v>5</v>
      </c>
      <c r="C298" s="2"/>
      <c r="D298" s="41">
        <f>SUM(D294:D297)</f>
        <v>2002075.0899733435</v>
      </c>
      <c r="E298" s="38"/>
      <c r="G298" s="44"/>
      <c r="H298" s="1" t="s">
        <v>5</v>
      </c>
      <c r="I298" s="2"/>
      <c r="J298" s="41">
        <f>SUM(J294:J297)</f>
        <v>432511.28491518786</v>
      </c>
      <c r="K298" s="38"/>
    </row>
    <row r="299" spans="1:11" x14ac:dyDescent="0.2">
      <c r="A299" s="42"/>
      <c r="B299" s="31"/>
      <c r="C299" s="31"/>
      <c r="D299" s="31"/>
      <c r="E299" s="43"/>
      <c r="G299" s="42"/>
      <c r="H299" s="31"/>
      <c r="I299" s="31"/>
      <c r="J299" s="31"/>
      <c r="K299" s="43"/>
    </row>
    <row r="301" spans="1:11" x14ac:dyDescent="0.2">
      <c r="A301" s="34"/>
      <c r="B301" s="35"/>
      <c r="C301" s="35"/>
      <c r="D301" s="35"/>
      <c r="E301" s="36"/>
      <c r="G301" s="34"/>
      <c r="H301" s="35"/>
      <c r="I301" s="35"/>
      <c r="J301" s="35"/>
      <c r="K301" s="36"/>
    </row>
    <row r="302" spans="1:11" ht="13.5" x14ac:dyDescent="0.25">
      <c r="A302" s="146" t="s">
        <v>232</v>
      </c>
      <c r="B302" s="147"/>
      <c r="C302" s="147"/>
      <c r="D302" s="147"/>
      <c r="E302" s="148"/>
      <c r="G302" s="146" t="s">
        <v>232</v>
      </c>
      <c r="H302" s="147"/>
      <c r="I302" s="147"/>
      <c r="J302" s="147"/>
      <c r="K302" s="148"/>
    </row>
    <row r="303" spans="1:11" x14ac:dyDescent="0.2">
      <c r="A303" s="37"/>
      <c r="B303" s="2"/>
      <c r="C303" s="2"/>
      <c r="D303" s="2"/>
      <c r="E303" s="38"/>
      <c r="G303" s="39"/>
      <c r="H303" s="2"/>
      <c r="I303" s="2"/>
      <c r="J303" s="2"/>
      <c r="K303" s="38"/>
    </row>
    <row r="304" spans="1:11" x14ac:dyDescent="0.2">
      <c r="A304" s="39"/>
      <c r="B304" s="2" t="s">
        <v>228</v>
      </c>
      <c r="C304" s="1" t="s">
        <v>231</v>
      </c>
      <c r="D304" s="40">
        <f xml:space="preserve">   'Rekap SHU dan Jasa Simpanan'!B56</f>
        <v>70</v>
      </c>
      <c r="E304" s="38"/>
      <c r="G304" s="39"/>
      <c r="H304" s="2" t="s">
        <v>228</v>
      </c>
      <c r="I304" s="1" t="s">
        <v>231</v>
      </c>
      <c r="J304" s="40">
        <f>'Rekap SHU dan Jasa Simpanan'!B57</f>
        <v>73</v>
      </c>
      <c r="K304" s="38"/>
    </row>
    <row r="305" spans="1:11" x14ac:dyDescent="0.2">
      <c r="A305" s="39"/>
      <c r="B305" s="2" t="s">
        <v>229</v>
      </c>
      <c r="C305" s="1" t="s">
        <v>231</v>
      </c>
      <c r="D305" s="2" t="str">
        <f>'Rekap SHU dan Jasa Simpanan'!C56</f>
        <v xml:space="preserve"> Bpk.H.Udin Ismail</v>
      </c>
      <c r="E305" s="38"/>
      <c r="G305" s="39"/>
      <c r="H305" s="2" t="s">
        <v>229</v>
      </c>
      <c r="I305" s="1" t="s">
        <v>231</v>
      </c>
      <c r="J305" s="2" t="str">
        <f>'Rekap SHU dan Jasa Simpanan'!C57</f>
        <v xml:space="preserve"> Bpk.H.Iskandar</v>
      </c>
      <c r="K305" s="38"/>
    </row>
    <row r="306" spans="1:11" x14ac:dyDescent="0.2">
      <c r="A306" s="39"/>
      <c r="B306" s="2" t="s">
        <v>221</v>
      </c>
      <c r="C306" s="1" t="s">
        <v>231</v>
      </c>
      <c r="D306" s="41">
        <f>'Rekap SHU dan Jasa Simpanan'!BD56</f>
        <v>111665</v>
      </c>
      <c r="E306" s="38"/>
      <c r="G306" s="39"/>
      <c r="H306" s="2" t="s">
        <v>221</v>
      </c>
      <c r="I306" s="1" t="s">
        <v>231</v>
      </c>
      <c r="J306" s="41">
        <f>'Rekap SHU dan Jasa Simpanan'!BD57</f>
        <v>35102.5</v>
      </c>
      <c r="K306" s="38"/>
    </row>
    <row r="307" spans="1:11" x14ac:dyDescent="0.2">
      <c r="A307" s="39"/>
      <c r="B307" s="2" t="s">
        <v>223</v>
      </c>
      <c r="C307" s="1" t="s">
        <v>231</v>
      </c>
      <c r="D307" s="41">
        <f>'Rekap SHU dan Jasa Simpanan'!BQ56</f>
        <v>240833.79123378737</v>
      </c>
      <c r="E307" s="38"/>
      <c r="G307" s="39"/>
      <c r="H307" s="2" t="s">
        <v>223</v>
      </c>
      <c r="I307" s="1" t="s">
        <v>231</v>
      </c>
      <c r="J307" s="41">
        <f>'Rekap SHU dan Jasa Simpanan'!BQ57</f>
        <v>156140.96515295247</v>
      </c>
      <c r="K307" s="38"/>
    </row>
    <row r="308" spans="1:11" x14ac:dyDescent="0.2">
      <c r="A308" s="39"/>
      <c r="B308" s="10" t="s">
        <v>224</v>
      </c>
      <c r="C308" s="1" t="s">
        <v>231</v>
      </c>
      <c r="D308" s="41">
        <f>'Rekap SHU dan Jasa Simpanan'!BR56</f>
        <v>72068.031406277994</v>
      </c>
      <c r="E308" s="38"/>
      <c r="G308" s="39"/>
      <c r="H308" s="10" t="s">
        <v>224</v>
      </c>
      <c r="I308" s="1" t="s">
        <v>231</v>
      </c>
      <c r="J308" s="41">
        <f>'Rekap SHU dan Jasa Simpanan'!BR57</f>
        <v>49137.294140644088</v>
      </c>
      <c r="K308" s="38"/>
    </row>
    <row r="309" spans="1:11" x14ac:dyDescent="0.2">
      <c r="A309" s="42"/>
      <c r="B309" s="31" t="s">
        <v>230</v>
      </c>
      <c r="C309" s="32" t="s">
        <v>231</v>
      </c>
      <c r="D309" s="33">
        <v>0</v>
      </c>
      <c r="E309" s="43"/>
      <c r="G309" s="39"/>
      <c r="H309" s="31" t="s">
        <v>230</v>
      </c>
      <c r="I309" s="32" t="s">
        <v>231</v>
      </c>
      <c r="J309" s="33">
        <v>0</v>
      </c>
      <c r="K309" s="43"/>
    </row>
    <row r="310" spans="1:11" x14ac:dyDescent="0.2">
      <c r="A310" s="39"/>
      <c r="B310" s="1" t="s">
        <v>5</v>
      </c>
      <c r="C310" s="2"/>
      <c r="D310" s="41">
        <f>SUM(D306:D309)</f>
        <v>424566.82264006534</v>
      </c>
      <c r="E310" s="38"/>
      <c r="G310" s="44"/>
      <c r="H310" s="1" t="s">
        <v>5</v>
      </c>
      <c r="I310" s="2"/>
      <c r="J310" s="41">
        <f>SUM(J306:J309)</f>
        <v>240380.75929359655</v>
      </c>
      <c r="K310" s="38"/>
    </row>
    <row r="311" spans="1:11" x14ac:dyDescent="0.2">
      <c r="A311" s="42"/>
      <c r="B311" s="31"/>
      <c r="C311" s="31"/>
      <c r="D311" s="31"/>
      <c r="E311" s="43"/>
      <c r="G311" s="42"/>
      <c r="H311" s="31"/>
      <c r="I311" s="31"/>
      <c r="J311" s="31"/>
      <c r="K311" s="43"/>
    </row>
    <row r="316" spans="1:11" x14ac:dyDescent="0.2">
      <c r="A316" s="34"/>
      <c r="B316" s="35"/>
      <c r="C316" s="35"/>
      <c r="D316" s="35"/>
      <c r="E316" s="36"/>
      <c r="G316" s="34"/>
      <c r="H316" s="35"/>
      <c r="I316" s="35"/>
      <c r="J316" s="35"/>
      <c r="K316" s="36"/>
    </row>
    <row r="317" spans="1:11" ht="13.5" x14ac:dyDescent="0.25">
      <c r="A317" s="146" t="s">
        <v>232</v>
      </c>
      <c r="B317" s="147"/>
      <c r="C317" s="147"/>
      <c r="D317" s="147"/>
      <c r="E317" s="148"/>
      <c r="G317" s="146" t="s">
        <v>232</v>
      </c>
      <c r="H317" s="147"/>
      <c r="I317" s="147"/>
      <c r="J317" s="147"/>
      <c r="K317" s="148"/>
    </row>
    <row r="318" spans="1:11" x14ac:dyDescent="0.2">
      <c r="A318" s="37"/>
      <c r="B318" s="2"/>
      <c r="C318" s="2"/>
      <c r="D318" s="2"/>
      <c r="E318" s="38"/>
      <c r="G318" s="39"/>
      <c r="H318" s="2"/>
      <c r="I318" s="2"/>
      <c r="J318" s="2"/>
      <c r="K318" s="38"/>
    </row>
    <row r="319" spans="1:11" x14ac:dyDescent="0.2">
      <c r="A319" s="39"/>
      <c r="B319" s="2" t="s">
        <v>228</v>
      </c>
      <c r="C319" s="1" t="s">
        <v>231</v>
      </c>
      <c r="D319" s="40">
        <f>'Rekap SHU dan Jasa Simpanan'!B58</f>
        <v>75</v>
      </c>
      <c r="E319" s="38"/>
      <c r="G319" s="39"/>
      <c r="H319" s="2" t="s">
        <v>228</v>
      </c>
      <c r="I319" s="1" t="s">
        <v>231</v>
      </c>
      <c r="J319" s="40">
        <f>'Rekap SHU dan Jasa Simpanan'!B59</f>
        <v>76</v>
      </c>
      <c r="K319" s="38"/>
    </row>
    <row r="320" spans="1:11" x14ac:dyDescent="0.2">
      <c r="A320" s="39"/>
      <c r="B320" s="2" t="s">
        <v>229</v>
      </c>
      <c r="C320" s="1" t="s">
        <v>231</v>
      </c>
      <c r="D320" s="2" t="str">
        <f>'Rekap SHU dan Jasa Simpanan'!C58</f>
        <v xml:space="preserve"> Ridha Rasyid</v>
      </c>
      <c r="E320" s="38"/>
      <c r="G320" s="39"/>
      <c r="H320" s="2" t="s">
        <v>229</v>
      </c>
      <c r="I320" s="1" t="s">
        <v>231</v>
      </c>
      <c r="J320" s="2" t="str">
        <f>'Rekap SHU dan Jasa Simpanan'!C59</f>
        <v xml:space="preserve"> Bahrudin</v>
      </c>
      <c r="K320" s="38"/>
    </row>
    <row r="321" spans="1:11" x14ac:dyDescent="0.2">
      <c r="A321" s="39"/>
      <c r="B321" s="2" t="s">
        <v>221</v>
      </c>
      <c r="C321" s="1" t="s">
        <v>231</v>
      </c>
      <c r="D321" s="41">
        <f>'Rekap SHU dan Jasa Simpanan'!BD58</f>
        <v>67700</v>
      </c>
      <c r="E321" s="38"/>
      <c r="G321" s="39"/>
      <c r="H321" s="2" t="s">
        <v>221</v>
      </c>
      <c r="I321" s="1" t="s">
        <v>231</v>
      </c>
      <c r="J321" s="41">
        <f>'Rekap SHU dan Jasa Simpanan'!BD59</f>
        <v>64250</v>
      </c>
      <c r="K321" s="38"/>
    </row>
    <row r="322" spans="1:11" x14ac:dyDescent="0.2">
      <c r="A322" s="39"/>
      <c r="B322" s="2" t="s">
        <v>223</v>
      </c>
      <c r="C322" s="1" t="s">
        <v>231</v>
      </c>
      <c r="D322" s="41">
        <f>'Rekap SHU dan Jasa Simpanan'!BQ58</f>
        <v>192345.22660092622</v>
      </c>
      <c r="E322" s="38"/>
      <c r="G322" s="39"/>
      <c r="H322" s="2" t="s">
        <v>223</v>
      </c>
      <c r="I322" s="1" t="s">
        <v>231</v>
      </c>
      <c r="J322" s="41">
        <f>'Rekap SHU dan Jasa Simpanan'!BQ59</f>
        <v>187040.54020652996</v>
      </c>
      <c r="K322" s="38"/>
    </row>
    <row r="323" spans="1:11" x14ac:dyDescent="0.2">
      <c r="A323" s="39"/>
      <c r="B323" s="10" t="s">
        <v>224</v>
      </c>
      <c r="C323" s="1" t="s">
        <v>231</v>
      </c>
      <c r="D323" s="41">
        <f>'Rekap SHU dan Jasa Simpanan'!BR58</f>
        <v>58964.752968772911</v>
      </c>
      <c r="E323" s="38"/>
      <c r="G323" s="39"/>
      <c r="H323" s="10" t="s">
        <v>224</v>
      </c>
      <c r="I323" s="1" t="s">
        <v>231</v>
      </c>
      <c r="J323" s="41">
        <f>'Rekap SHU dan Jasa Simpanan'!BR59</f>
        <v>196549.17656257635</v>
      </c>
      <c r="K323" s="38"/>
    </row>
    <row r="324" spans="1:11" x14ac:dyDescent="0.2">
      <c r="A324" s="42"/>
      <c r="B324" s="31" t="s">
        <v>230</v>
      </c>
      <c r="C324" s="32" t="s">
        <v>231</v>
      </c>
      <c r="D324" s="33">
        <v>0</v>
      </c>
      <c r="E324" s="43"/>
      <c r="G324" s="39"/>
      <c r="H324" s="31" t="s">
        <v>230</v>
      </c>
      <c r="I324" s="32" t="s">
        <v>231</v>
      </c>
      <c r="J324" s="33">
        <v>0</v>
      </c>
      <c r="K324" s="43"/>
    </row>
    <row r="325" spans="1:11" x14ac:dyDescent="0.2">
      <c r="A325" s="39"/>
      <c r="B325" s="1" t="s">
        <v>5</v>
      </c>
      <c r="C325" s="2"/>
      <c r="D325" s="41">
        <f>SUM(D321:D324)</f>
        <v>319009.97956969915</v>
      </c>
      <c r="E325" s="38"/>
      <c r="G325" s="44"/>
      <c r="H325" s="1" t="s">
        <v>5</v>
      </c>
      <c r="I325" s="2"/>
      <c r="J325" s="41">
        <f>SUM(J321:J324)</f>
        <v>447839.71676910634</v>
      </c>
      <c r="K325" s="38"/>
    </row>
    <row r="326" spans="1:11" x14ac:dyDescent="0.2">
      <c r="A326" s="42"/>
      <c r="B326" s="31"/>
      <c r="C326" s="31"/>
      <c r="D326" s="31"/>
      <c r="E326" s="43"/>
      <c r="G326" s="42"/>
      <c r="H326" s="31"/>
      <c r="I326" s="31"/>
      <c r="J326" s="31"/>
      <c r="K326" s="43"/>
    </row>
    <row r="328" spans="1:11" x14ac:dyDescent="0.2">
      <c r="A328" s="34"/>
      <c r="B328" s="35"/>
      <c r="C328" s="35"/>
      <c r="D328" s="35"/>
      <c r="E328" s="36"/>
      <c r="G328" s="34"/>
      <c r="H328" s="35"/>
      <c r="I328" s="35"/>
      <c r="J328" s="35"/>
      <c r="K328" s="36"/>
    </row>
    <row r="329" spans="1:11" ht="13.5" x14ac:dyDescent="0.25">
      <c r="A329" s="146" t="s">
        <v>232</v>
      </c>
      <c r="B329" s="147"/>
      <c r="C329" s="147"/>
      <c r="D329" s="147"/>
      <c r="E329" s="148"/>
      <c r="G329" s="146" t="s">
        <v>232</v>
      </c>
      <c r="H329" s="147"/>
      <c r="I329" s="147"/>
      <c r="J329" s="147"/>
      <c r="K329" s="148"/>
    </row>
    <row r="330" spans="1:11" x14ac:dyDescent="0.2">
      <c r="A330" s="37"/>
      <c r="B330" s="2"/>
      <c r="C330" s="2"/>
      <c r="D330" s="2"/>
      <c r="E330" s="38"/>
      <c r="G330" s="39"/>
      <c r="H330" s="2"/>
      <c r="I330" s="2"/>
      <c r="J330" s="2"/>
      <c r="K330" s="38"/>
    </row>
    <row r="331" spans="1:11" x14ac:dyDescent="0.2">
      <c r="A331" s="39"/>
      <c r="B331" s="2" t="s">
        <v>228</v>
      </c>
      <c r="C331" s="1" t="s">
        <v>231</v>
      </c>
      <c r="D331" s="40">
        <f>'Rekap SHU dan Jasa Simpanan'!B60</f>
        <v>79</v>
      </c>
      <c r="E331" s="38"/>
      <c r="G331" s="39"/>
      <c r="H331" s="2" t="s">
        <v>228</v>
      </c>
      <c r="I331" s="1" t="s">
        <v>231</v>
      </c>
      <c r="J331" s="40">
        <f>'Rekap SHU dan Jasa Simpanan'!B61</f>
        <v>80</v>
      </c>
      <c r="K331" s="38"/>
    </row>
    <row r="332" spans="1:11" x14ac:dyDescent="0.2">
      <c r="A332" s="39"/>
      <c r="B332" s="2" t="s">
        <v>229</v>
      </c>
      <c r="C332" s="1" t="s">
        <v>231</v>
      </c>
      <c r="D332" s="7" t="str">
        <f>'Rekap SHU dan Jasa Simpanan'!C60</f>
        <v xml:space="preserve"> Bpk. Umar Suparman</v>
      </c>
      <c r="E332" s="38"/>
      <c r="G332" s="39"/>
      <c r="H332" s="2" t="s">
        <v>229</v>
      </c>
      <c r="I332" s="1" t="s">
        <v>231</v>
      </c>
      <c r="J332" s="2" t="str">
        <f>'Rekap SHU dan Jasa Simpanan'!C61</f>
        <v xml:space="preserve"> Ibu Hj.Mariam</v>
      </c>
      <c r="K332" s="38"/>
    </row>
    <row r="333" spans="1:11" x14ac:dyDescent="0.2">
      <c r="A333" s="39"/>
      <c r="B333" s="2" t="s">
        <v>221</v>
      </c>
      <c r="C333" s="1" t="s">
        <v>231</v>
      </c>
      <c r="D333" s="41">
        <f>'Rekap SHU dan Jasa Simpanan'!BD60</f>
        <v>15320</v>
      </c>
      <c r="E333" s="38"/>
      <c r="G333" s="39"/>
      <c r="H333" s="2" t="s">
        <v>221</v>
      </c>
      <c r="I333" s="1" t="s">
        <v>231</v>
      </c>
      <c r="J333" s="41">
        <f>'Rekap SHU dan Jasa Simpanan'!BD61</f>
        <v>117465</v>
      </c>
      <c r="K333" s="38"/>
    </row>
    <row r="334" spans="1:11" x14ac:dyDescent="0.2">
      <c r="A334" s="39"/>
      <c r="B334" s="2" t="s">
        <v>223</v>
      </c>
      <c r="C334" s="1" t="s">
        <v>231</v>
      </c>
      <c r="D334" s="41">
        <f>'Rekap SHU dan Jasa Simpanan'!BQ60</f>
        <v>136712.41893956024</v>
      </c>
      <c r="E334" s="38"/>
      <c r="G334" s="39"/>
      <c r="H334" s="2" t="s">
        <v>223</v>
      </c>
      <c r="I334" s="1" t="s">
        <v>231</v>
      </c>
      <c r="J334" s="41">
        <f>'Rekap SHU dan Jasa Simpanan'!BQ61</f>
        <v>238143.35271789497</v>
      </c>
      <c r="K334" s="38"/>
    </row>
    <row r="335" spans="1:11" x14ac:dyDescent="0.2">
      <c r="A335" s="39"/>
      <c r="B335" s="10" t="s">
        <v>224</v>
      </c>
      <c r="C335" s="1" t="s">
        <v>231</v>
      </c>
      <c r="D335" s="41">
        <f>'Rekap SHU dan Jasa Simpanan'!BR60</f>
        <v>196549.17656257635</v>
      </c>
      <c r="E335" s="38"/>
      <c r="G335" s="39"/>
      <c r="H335" s="10" t="s">
        <v>224</v>
      </c>
      <c r="I335" s="1" t="s">
        <v>231</v>
      </c>
      <c r="J335" s="41">
        <f>'Rekap SHU dan Jasa Simpanan'!BR61</f>
        <v>0</v>
      </c>
      <c r="K335" s="38"/>
    </row>
    <row r="336" spans="1:11" x14ac:dyDescent="0.2">
      <c r="A336" s="42"/>
      <c r="B336" s="31" t="s">
        <v>230</v>
      </c>
      <c r="C336" s="32" t="s">
        <v>231</v>
      </c>
      <c r="D336" s="33">
        <v>0</v>
      </c>
      <c r="E336" s="43"/>
      <c r="G336" s="39"/>
      <c r="H336" s="31" t="s">
        <v>230</v>
      </c>
      <c r="I336" s="32" t="s">
        <v>231</v>
      </c>
      <c r="J336" s="33">
        <v>0</v>
      </c>
      <c r="K336" s="43"/>
    </row>
    <row r="337" spans="1:11" x14ac:dyDescent="0.2">
      <c r="A337" s="39"/>
      <c r="B337" s="1" t="s">
        <v>5</v>
      </c>
      <c r="C337" s="2"/>
      <c r="D337" s="41">
        <f>SUM(D333:D336)</f>
        <v>348581.59550213662</v>
      </c>
      <c r="E337" s="38"/>
      <c r="G337" s="44"/>
      <c r="H337" s="1" t="s">
        <v>5</v>
      </c>
      <c r="I337" s="2"/>
      <c r="J337" s="41">
        <f>SUM(J333:J336)</f>
        <v>355608.35271789494</v>
      </c>
      <c r="K337" s="38"/>
    </row>
    <row r="338" spans="1:11" x14ac:dyDescent="0.2">
      <c r="A338" s="42"/>
      <c r="B338" s="31"/>
      <c r="C338" s="31"/>
      <c r="D338" s="31"/>
      <c r="E338" s="43"/>
      <c r="G338" s="42"/>
      <c r="H338" s="31"/>
      <c r="I338" s="31"/>
      <c r="J338" s="31"/>
      <c r="K338" s="43"/>
    </row>
    <row r="340" spans="1:11" x14ac:dyDescent="0.2">
      <c r="A340" s="34"/>
      <c r="B340" s="35"/>
      <c r="C340" s="35"/>
      <c r="D340" s="35"/>
      <c r="E340" s="36"/>
      <c r="G340" s="34"/>
      <c r="H340" s="35"/>
      <c r="I340" s="35"/>
      <c r="J340" s="35"/>
      <c r="K340" s="36"/>
    </row>
    <row r="341" spans="1:11" ht="13.5" x14ac:dyDescent="0.25">
      <c r="A341" s="146" t="s">
        <v>232</v>
      </c>
      <c r="B341" s="147"/>
      <c r="C341" s="147"/>
      <c r="D341" s="147"/>
      <c r="E341" s="148"/>
      <c r="G341" s="146" t="s">
        <v>232</v>
      </c>
      <c r="H341" s="147"/>
      <c r="I341" s="147"/>
      <c r="J341" s="147"/>
      <c r="K341" s="148"/>
    </row>
    <row r="342" spans="1:11" x14ac:dyDescent="0.2">
      <c r="A342" s="37"/>
      <c r="B342" s="2"/>
      <c r="C342" s="2"/>
      <c r="D342" s="2"/>
      <c r="E342" s="38"/>
      <c r="G342" s="39"/>
      <c r="H342" s="2"/>
      <c r="I342" s="2"/>
      <c r="J342" s="2"/>
      <c r="K342" s="38"/>
    </row>
    <row r="343" spans="1:11" x14ac:dyDescent="0.2">
      <c r="A343" s="39"/>
      <c r="B343" s="2" t="s">
        <v>228</v>
      </c>
      <c r="C343" s="1" t="s">
        <v>231</v>
      </c>
      <c r="D343" s="40">
        <f>'Rekap SHU dan Jasa Simpanan'!B62</f>
        <v>82</v>
      </c>
      <c r="E343" s="38"/>
      <c r="G343" s="39"/>
      <c r="H343" s="2" t="s">
        <v>228</v>
      </c>
      <c r="I343" s="1" t="s">
        <v>231</v>
      </c>
      <c r="J343" s="40">
        <f>'Rekap SHU dan Jasa Simpanan'!B63</f>
        <v>83</v>
      </c>
      <c r="K343" s="38"/>
    </row>
    <row r="344" spans="1:11" x14ac:dyDescent="0.2">
      <c r="A344" s="39"/>
      <c r="B344" s="2" t="s">
        <v>229</v>
      </c>
      <c r="C344" s="1" t="s">
        <v>231</v>
      </c>
      <c r="D344" s="7" t="str">
        <f>'Rekap SHU dan Jasa Simpanan'!C62</f>
        <v xml:space="preserve"> Ibu Kiki M.Junaedi</v>
      </c>
      <c r="E344" s="38"/>
      <c r="G344" s="39"/>
      <c r="H344" s="2" t="s">
        <v>229</v>
      </c>
      <c r="I344" s="1" t="s">
        <v>231</v>
      </c>
      <c r="J344" s="2" t="str">
        <f>'Rekap SHU dan Jasa Simpanan'!C63</f>
        <v xml:space="preserve"> Ibu Emeh</v>
      </c>
      <c r="K344" s="38"/>
    </row>
    <row r="345" spans="1:11" x14ac:dyDescent="0.2">
      <c r="A345" s="39"/>
      <c r="B345" s="2" t="s">
        <v>221</v>
      </c>
      <c r="C345" s="1" t="s">
        <v>231</v>
      </c>
      <c r="D345" s="41">
        <f>'Rekap SHU dan Jasa Simpanan'!BD62</f>
        <v>273180</v>
      </c>
      <c r="E345" s="38"/>
      <c r="G345" s="39"/>
      <c r="H345" s="2" t="s">
        <v>221</v>
      </c>
      <c r="I345" s="1" t="s">
        <v>231</v>
      </c>
      <c r="J345" s="41">
        <f>'Rekap SHU dan Jasa Simpanan'!BD63</f>
        <v>43645</v>
      </c>
      <c r="K345" s="38"/>
    </row>
    <row r="346" spans="1:11" x14ac:dyDescent="0.2">
      <c r="A346" s="39"/>
      <c r="B346" s="2" t="s">
        <v>223</v>
      </c>
      <c r="C346" s="1" t="s">
        <v>231</v>
      </c>
      <c r="D346" s="41">
        <f>'Rekap SHU dan Jasa Simpanan'!BQ62</f>
        <v>379238.12934205332</v>
      </c>
      <c r="E346" s="38"/>
      <c r="G346" s="39"/>
      <c r="H346" s="2" t="s">
        <v>223</v>
      </c>
      <c r="I346" s="1" t="s">
        <v>231</v>
      </c>
      <c r="J346" s="41">
        <f>'Rekap SHU dan Jasa Simpanan'!BQ63</f>
        <v>166171.55960495025</v>
      </c>
      <c r="K346" s="38"/>
    </row>
    <row r="347" spans="1:11" x14ac:dyDescent="0.2">
      <c r="A347" s="39"/>
      <c r="B347" s="10" t="s">
        <v>224</v>
      </c>
      <c r="C347" s="1" t="s">
        <v>231</v>
      </c>
      <c r="D347" s="41">
        <f>'Rekap SHU dan Jasa Simpanan'!BR62</f>
        <v>0</v>
      </c>
      <c r="E347" s="38"/>
      <c r="G347" s="39"/>
      <c r="H347" s="10" t="s">
        <v>224</v>
      </c>
      <c r="I347" s="1" t="s">
        <v>231</v>
      </c>
      <c r="J347" s="41">
        <f>'Rekap SHU dan Jasa Simpanan'!BR63</f>
        <v>196549.17656257635</v>
      </c>
      <c r="K347" s="38"/>
    </row>
    <row r="348" spans="1:11" x14ac:dyDescent="0.2">
      <c r="A348" s="42"/>
      <c r="B348" s="31" t="s">
        <v>230</v>
      </c>
      <c r="C348" s="32" t="s">
        <v>231</v>
      </c>
      <c r="D348" s="33">
        <v>0</v>
      </c>
      <c r="E348" s="43"/>
      <c r="G348" s="39"/>
      <c r="H348" s="31" t="s">
        <v>230</v>
      </c>
      <c r="I348" s="32" t="s">
        <v>231</v>
      </c>
      <c r="J348" s="33">
        <v>0</v>
      </c>
      <c r="K348" s="43"/>
    </row>
    <row r="349" spans="1:11" x14ac:dyDescent="0.2">
      <c r="A349" s="39"/>
      <c r="B349" s="1" t="s">
        <v>5</v>
      </c>
      <c r="C349" s="2"/>
      <c r="D349" s="41">
        <f>SUM(D345:D348)</f>
        <v>652418.12934205332</v>
      </c>
      <c r="E349" s="38"/>
      <c r="G349" s="44"/>
      <c r="H349" s="1" t="s">
        <v>5</v>
      </c>
      <c r="I349" s="2"/>
      <c r="J349" s="41">
        <f>SUM(J345:J348)</f>
        <v>406365.73616752657</v>
      </c>
      <c r="K349" s="38"/>
    </row>
    <row r="350" spans="1:11" x14ac:dyDescent="0.2">
      <c r="A350" s="42"/>
      <c r="B350" s="31"/>
      <c r="C350" s="31"/>
      <c r="D350" s="31"/>
      <c r="E350" s="43"/>
      <c r="G350" s="42"/>
      <c r="H350" s="31"/>
      <c r="I350" s="31"/>
      <c r="J350" s="31"/>
      <c r="K350" s="43"/>
    </row>
    <row r="352" spans="1:11" x14ac:dyDescent="0.2">
      <c r="A352" s="34"/>
      <c r="B352" s="35"/>
      <c r="C352" s="35"/>
      <c r="D352" s="35"/>
      <c r="E352" s="36"/>
      <c r="G352" s="34"/>
      <c r="H352" s="35"/>
      <c r="I352" s="35"/>
      <c r="J352" s="35"/>
      <c r="K352" s="36"/>
    </row>
    <row r="353" spans="1:11" ht="13.5" x14ac:dyDescent="0.25">
      <c r="A353" s="146" t="s">
        <v>232</v>
      </c>
      <c r="B353" s="147"/>
      <c r="C353" s="147"/>
      <c r="D353" s="147"/>
      <c r="E353" s="148"/>
      <c r="G353" s="146" t="s">
        <v>232</v>
      </c>
      <c r="H353" s="147"/>
      <c r="I353" s="147"/>
      <c r="J353" s="147"/>
      <c r="K353" s="148"/>
    </row>
    <row r="354" spans="1:11" x14ac:dyDescent="0.2">
      <c r="A354" s="37"/>
      <c r="B354" s="2"/>
      <c r="C354" s="2"/>
      <c r="D354" s="2"/>
      <c r="E354" s="38"/>
      <c r="G354" s="39"/>
      <c r="H354" s="2"/>
      <c r="I354" s="2"/>
      <c r="J354" s="2"/>
      <c r="K354" s="38"/>
    </row>
    <row r="355" spans="1:11" x14ac:dyDescent="0.2">
      <c r="A355" s="39"/>
      <c r="B355" s="2" t="s">
        <v>228</v>
      </c>
      <c r="C355" s="1" t="s">
        <v>231</v>
      </c>
      <c r="D355" s="40">
        <f>'Rekap SHU dan Jasa Simpanan'!B64</f>
        <v>88</v>
      </c>
      <c r="E355" s="38"/>
      <c r="G355" s="39"/>
      <c r="H355" s="2" t="s">
        <v>228</v>
      </c>
      <c r="I355" s="1" t="s">
        <v>231</v>
      </c>
      <c r="J355" s="40">
        <f>'Rekap SHU dan Jasa Simpanan'!B65</f>
        <v>95</v>
      </c>
      <c r="K355" s="38"/>
    </row>
    <row r="356" spans="1:11" x14ac:dyDescent="0.2">
      <c r="A356" s="39"/>
      <c r="B356" s="2" t="s">
        <v>229</v>
      </c>
      <c r="C356" s="1" t="s">
        <v>231</v>
      </c>
      <c r="D356" s="7" t="str">
        <f>'Rekap SHU dan Jasa Simpanan'!C64</f>
        <v xml:space="preserve"> Ibu Suniah</v>
      </c>
      <c r="E356" s="38"/>
      <c r="G356" s="39"/>
      <c r="H356" s="2" t="s">
        <v>229</v>
      </c>
      <c r="I356" s="1" t="s">
        <v>231</v>
      </c>
      <c r="J356" s="2" t="str">
        <f>'Rekap SHU dan Jasa Simpanan'!C65</f>
        <v xml:space="preserve"> Ajat bin Ading</v>
      </c>
      <c r="K356" s="38"/>
    </row>
    <row r="357" spans="1:11" x14ac:dyDescent="0.2">
      <c r="A357" s="39"/>
      <c r="B357" s="2" t="s">
        <v>221</v>
      </c>
      <c r="C357" s="1" t="s">
        <v>231</v>
      </c>
      <c r="D357" s="41">
        <f>'Rekap SHU dan Jasa Simpanan'!BD64</f>
        <v>10275</v>
      </c>
      <c r="E357" s="38"/>
      <c r="G357" s="39"/>
      <c r="H357" s="2" t="s">
        <v>221</v>
      </c>
      <c r="I357" s="1" t="s">
        <v>231</v>
      </c>
      <c r="J357" s="41">
        <f>'Rekap SHU dan Jasa Simpanan'!BD65</f>
        <v>112650</v>
      </c>
      <c r="K357" s="38"/>
    </row>
    <row r="358" spans="1:11" x14ac:dyDescent="0.2">
      <c r="A358" s="39"/>
      <c r="B358" s="2" t="s">
        <v>223</v>
      </c>
      <c r="C358" s="1" t="s">
        <v>231</v>
      </c>
      <c r="D358" s="41">
        <f>'Rekap SHU dan Jasa Simpanan'!BQ64</f>
        <v>131518.52404940181</v>
      </c>
      <c r="E358" s="38"/>
      <c r="G358" s="39"/>
      <c r="H358" s="2" t="s">
        <v>223</v>
      </c>
      <c r="I358" s="1" t="s">
        <v>231</v>
      </c>
      <c r="J358" s="41">
        <f>'Rekap SHU dan Jasa Simpanan'!BQ65</f>
        <v>235028.30761618452</v>
      </c>
      <c r="K358" s="38"/>
    </row>
    <row r="359" spans="1:11" x14ac:dyDescent="0.2">
      <c r="A359" s="39"/>
      <c r="B359" s="10" t="s">
        <v>224</v>
      </c>
      <c r="C359" s="1" t="s">
        <v>231</v>
      </c>
      <c r="D359" s="41">
        <f>'Rekap SHU dan Jasa Simpanan'!BR64</f>
        <v>32758.196093762726</v>
      </c>
      <c r="E359" s="38"/>
      <c r="G359" s="39"/>
      <c r="H359" s="10" t="s">
        <v>224</v>
      </c>
      <c r="I359" s="1" t="s">
        <v>231</v>
      </c>
      <c r="J359" s="41">
        <f>'Rekap SHU dan Jasa Simpanan'!BR65</f>
        <v>147411.88242193227</v>
      </c>
      <c r="K359" s="38"/>
    </row>
    <row r="360" spans="1:11" x14ac:dyDescent="0.2">
      <c r="A360" s="42"/>
      <c r="B360" s="31" t="s">
        <v>230</v>
      </c>
      <c r="C360" s="32" t="s">
        <v>231</v>
      </c>
      <c r="D360" s="33">
        <v>0</v>
      </c>
      <c r="E360" s="43"/>
      <c r="G360" s="39"/>
      <c r="H360" s="31" t="s">
        <v>230</v>
      </c>
      <c r="I360" s="32" t="s">
        <v>231</v>
      </c>
      <c r="J360" s="33">
        <v>0</v>
      </c>
      <c r="K360" s="43"/>
    </row>
    <row r="361" spans="1:11" x14ac:dyDescent="0.2">
      <c r="A361" s="39"/>
      <c r="B361" s="1" t="s">
        <v>5</v>
      </c>
      <c r="C361" s="2"/>
      <c r="D361" s="41">
        <f>SUM(D357:D360)</f>
        <v>174551.72014316454</v>
      </c>
      <c r="E361" s="38"/>
      <c r="G361" s="44"/>
      <c r="H361" s="1" t="s">
        <v>5</v>
      </c>
      <c r="I361" s="2"/>
      <c r="J361" s="41">
        <f>SUM(J357:J360)</f>
        <v>495090.19003811677</v>
      </c>
      <c r="K361" s="38"/>
    </row>
    <row r="362" spans="1:11" x14ac:dyDescent="0.2">
      <c r="A362" s="42"/>
      <c r="B362" s="31"/>
      <c r="C362" s="31"/>
      <c r="D362" s="31"/>
      <c r="E362" s="43"/>
      <c r="G362" s="42"/>
      <c r="H362" s="31"/>
      <c r="I362" s="31"/>
      <c r="J362" s="31"/>
      <c r="K362" s="43"/>
    </row>
    <row r="364" spans="1:11" x14ac:dyDescent="0.2">
      <c r="A364" s="34"/>
      <c r="B364" s="35"/>
      <c r="C364" s="35"/>
      <c r="D364" s="35"/>
      <c r="E364" s="36"/>
      <c r="G364" s="34"/>
      <c r="H364" s="35"/>
      <c r="I364" s="35"/>
      <c r="J364" s="35"/>
      <c r="K364" s="36"/>
    </row>
    <row r="365" spans="1:11" ht="13.5" x14ac:dyDescent="0.25">
      <c r="A365" s="146" t="s">
        <v>232</v>
      </c>
      <c r="B365" s="147"/>
      <c r="C365" s="147"/>
      <c r="D365" s="147"/>
      <c r="E365" s="148"/>
      <c r="G365" s="146" t="s">
        <v>232</v>
      </c>
      <c r="H365" s="147"/>
      <c r="I365" s="147"/>
      <c r="J365" s="147"/>
      <c r="K365" s="148"/>
    </row>
    <row r="366" spans="1:11" x14ac:dyDescent="0.2">
      <c r="A366" s="37"/>
      <c r="B366" s="2"/>
      <c r="C366" s="2"/>
      <c r="D366" s="2"/>
      <c r="E366" s="38"/>
      <c r="G366" s="39"/>
      <c r="H366" s="2"/>
      <c r="I366" s="2"/>
      <c r="J366" s="2"/>
      <c r="K366" s="38"/>
    </row>
    <row r="367" spans="1:11" x14ac:dyDescent="0.2">
      <c r="A367" s="39"/>
      <c r="B367" s="2" t="s">
        <v>228</v>
      </c>
      <c r="C367" s="1" t="s">
        <v>231</v>
      </c>
      <c r="D367" s="40">
        <f xml:space="preserve">   'Rekap SHU dan Jasa Simpanan'!B66</f>
        <v>98</v>
      </c>
      <c r="E367" s="38"/>
      <c r="G367" s="39"/>
      <c r="H367" s="2" t="s">
        <v>228</v>
      </c>
      <c r="I367" s="1" t="s">
        <v>231</v>
      </c>
      <c r="J367" s="40">
        <f>'Rekap SHU dan Jasa Simpanan'!B67</f>
        <v>102</v>
      </c>
      <c r="K367" s="38"/>
    </row>
    <row r="368" spans="1:11" x14ac:dyDescent="0.2">
      <c r="A368" s="39"/>
      <c r="B368" s="2" t="s">
        <v>229</v>
      </c>
      <c r="C368" s="1" t="s">
        <v>231</v>
      </c>
      <c r="D368" s="2" t="str">
        <f>'Rekap SHU dan Jasa Simpanan'!C66</f>
        <v xml:space="preserve"> Suhendi</v>
      </c>
      <c r="E368" s="38"/>
      <c r="G368" s="39"/>
      <c r="H368" s="2" t="s">
        <v>229</v>
      </c>
      <c r="I368" s="1" t="s">
        <v>231</v>
      </c>
      <c r="J368" s="2" t="str">
        <f>'Rekap SHU dan Jasa Simpanan'!C67</f>
        <v xml:space="preserve"> Kamil Supardi</v>
      </c>
      <c r="K368" s="38"/>
    </row>
    <row r="369" spans="1:11" x14ac:dyDescent="0.2">
      <c r="A369" s="39"/>
      <c r="B369" s="2" t="s">
        <v>221</v>
      </c>
      <c r="C369" s="1" t="s">
        <v>231</v>
      </c>
      <c r="D369" s="41">
        <f>'Rekap SHU dan Jasa Simpanan'!BD66</f>
        <v>498580</v>
      </c>
      <c r="E369" s="38"/>
      <c r="G369" s="39"/>
      <c r="H369" s="2" t="s">
        <v>221</v>
      </c>
      <c r="I369" s="1" t="s">
        <v>231</v>
      </c>
      <c r="J369" s="41">
        <f>'Rekap SHU dan Jasa Simpanan'!BD67</f>
        <v>147600</v>
      </c>
      <c r="K369" s="38"/>
    </row>
    <row r="370" spans="1:11" x14ac:dyDescent="0.2">
      <c r="A370" s="39"/>
      <c r="B370" s="2" t="s">
        <v>223</v>
      </c>
      <c r="C370" s="1" t="s">
        <v>231</v>
      </c>
      <c r="D370" s="41">
        <f>'Rekap SHU dan Jasa Simpanan'!BQ66</f>
        <v>648251.22800146777</v>
      </c>
      <c r="E370" s="38"/>
      <c r="G370" s="39"/>
      <c r="H370" s="2" t="s">
        <v>223</v>
      </c>
      <c r="I370" s="1" t="s">
        <v>231</v>
      </c>
      <c r="J370" s="41">
        <f>'Rekap SHU dan Jasa Simpanan'!BQ67</f>
        <v>247610.60101043602</v>
      </c>
      <c r="K370" s="38"/>
    </row>
    <row r="371" spans="1:11" x14ac:dyDescent="0.2">
      <c r="A371" s="39"/>
      <c r="B371" s="10" t="s">
        <v>224</v>
      </c>
      <c r="C371" s="1" t="s">
        <v>231</v>
      </c>
      <c r="D371" s="41">
        <f>'Rekap SHU dan Jasa Simpanan'!BR66</f>
        <v>0</v>
      </c>
      <c r="E371" s="38"/>
      <c r="G371" s="39"/>
      <c r="H371" s="10" t="s">
        <v>224</v>
      </c>
      <c r="I371" s="1" t="s">
        <v>231</v>
      </c>
      <c r="J371" s="41">
        <f>'Rekap SHU dan Jasa Simpanan'!BR67</f>
        <v>85171.309843783092</v>
      </c>
      <c r="K371" s="38"/>
    </row>
    <row r="372" spans="1:11" x14ac:dyDescent="0.2">
      <c r="A372" s="42"/>
      <c r="B372" s="31" t="s">
        <v>230</v>
      </c>
      <c r="C372" s="32" t="s">
        <v>231</v>
      </c>
      <c r="D372" s="33">
        <v>0</v>
      </c>
      <c r="E372" s="43"/>
      <c r="G372" s="39"/>
      <c r="H372" s="31" t="s">
        <v>230</v>
      </c>
      <c r="I372" s="32" t="s">
        <v>231</v>
      </c>
      <c r="J372" s="33">
        <v>0</v>
      </c>
      <c r="K372" s="43"/>
    </row>
    <row r="373" spans="1:11" x14ac:dyDescent="0.2">
      <c r="A373" s="39"/>
      <c r="B373" s="1" t="s">
        <v>5</v>
      </c>
      <c r="C373" s="2"/>
      <c r="D373" s="41">
        <f>SUM(D369:D372)</f>
        <v>1146831.2280014679</v>
      </c>
      <c r="E373" s="38"/>
      <c r="G373" s="44"/>
      <c r="H373" s="1" t="s">
        <v>5</v>
      </c>
      <c r="I373" s="2"/>
      <c r="J373" s="41">
        <f>SUM(J369:J372)</f>
        <v>480381.91085421911</v>
      </c>
      <c r="K373" s="38"/>
    </row>
    <row r="374" spans="1:11" x14ac:dyDescent="0.2">
      <c r="A374" s="42"/>
      <c r="B374" s="31"/>
      <c r="C374" s="31"/>
      <c r="D374" s="31"/>
      <c r="E374" s="43"/>
      <c r="G374" s="42"/>
      <c r="H374" s="31"/>
      <c r="I374" s="31"/>
      <c r="J374" s="31"/>
      <c r="K374" s="43"/>
    </row>
    <row r="379" spans="1:11" x14ac:dyDescent="0.2">
      <c r="A379" s="34"/>
      <c r="B379" s="35"/>
      <c r="C379" s="35"/>
      <c r="D379" s="35"/>
      <c r="E379" s="36"/>
      <c r="G379" s="34"/>
      <c r="H379" s="35"/>
      <c r="I379" s="35"/>
      <c r="J379" s="35"/>
      <c r="K379" s="36"/>
    </row>
    <row r="380" spans="1:11" ht="13.5" x14ac:dyDescent="0.25">
      <c r="A380" s="146" t="s">
        <v>232</v>
      </c>
      <c r="B380" s="147"/>
      <c r="C380" s="147"/>
      <c r="D380" s="147"/>
      <c r="E380" s="148"/>
      <c r="G380" s="146" t="s">
        <v>232</v>
      </c>
      <c r="H380" s="147"/>
      <c r="I380" s="147"/>
      <c r="J380" s="147"/>
      <c r="K380" s="148"/>
    </row>
    <row r="381" spans="1:11" x14ac:dyDescent="0.2">
      <c r="A381" s="37"/>
      <c r="B381" s="2"/>
      <c r="C381" s="2"/>
      <c r="D381" s="2"/>
      <c r="E381" s="38"/>
      <c r="G381" s="39"/>
      <c r="H381" s="2"/>
      <c r="I381" s="2"/>
      <c r="J381" s="2"/>
      <c r="K381" s="38"/>
    </row>
    <row r="382" spans="1:11" x14ac:dyDescent="0.2">
      <c r="A382" s="39"/>
      <c r="B382" s="2" t="s">
        <v>228</v>
      </c>
      <c r="C382" s="1" t="s">
        <v>231</v>
      </c>
      <c r="D382" s="40">
        <f xml:space="preserve">   'Rekap SHU dan Jasa Simpanan'!B68</f>
        <v>106</v>
      </c>
      <c r="E382" s="38"/>
      <c r="G382" s="39"/>
      <c r="H382" s="2" t="s">
        <v>228</v>
      </c>
      <c r="I382" s="1" t="s">
        <v>231</v>
      </c>
      <c r="J382" s="40">
        <f>'Rekap SHU dan Jasa Simpanan'!B69</f>
        <v>107</v>
      </c>
      <c r="K382" s="38"/>
    </row>
    <row r="383" spans="1:11" x14ac:dyDescent="0.2">
      <c r="A383" s="39"/>
      <c r="B383" s="2" t="s">
        <v>229</v>
      </c>
      <c r="C383" s="1" t="s">
        <v>231</v>
      </c>
      <c r="D383" s="2" t="str">
        <f>'Rekap SHU dan Jasa Simpanan'!C68</f>
        <v xml:space="preserve"> Supendi</v>
      </c>
      <c r="E383" s="38"/>
      <c r="G383" s="39"/>
      <c r="H383" s="2" t="s">
        <v>229</v>
      </c>
      <c r="I383" s="1" t="s">
        <v>231</v>
      </c>
      <c r="J383" s="2" t="str">
        <f>'Rekap SHU dan Jasa Simpanan'!C69</f>
        <v xml:space="preserve"> Ibu Sarno</v>
      </c>
      <c r="K383" s="38"/>
    </row>
    <row r="384" spans="1:11" x14ac:dyDescent="0.2">
      <c r="A384" s="39"/>
      <c r="B384" s="2" t="s">
        <v>221</v>
      </c>
      <c r="C384" s="1" t="s">
        <v>231</v>
      </c>
      <c r="D384" s="41">
        <f>'Rekap SHU dan Jasa Simpanan'!BD68</f>
        <v>15250</v>
      </c>
      <c r="E384" s="38"/>
      <c r="G384" s="39"/>
      <c r="H384" s="2" t="s">
        <v>221</v>
      </c>
      <c r="I384" s="1" t="s">
        <v>231</v>
      </c>
      <c r="J384" s="41">
        <f>'Rekap SHU dan Jasa Simpanan'!BD69</f>
        <v>234650</v>
      </c>
      <c r="K384" s="38"/>
    </row>
    <row r="385" spans="1:11" x14ac:dyDescent="0.2">
      <c r="A385" s="39"/>
      <c r="B385" s="2" t="s">
        <v>223</v>
      </c>
      <c r="C385" s="1" t="s">
        <v>231</v>
      </c>
      <c r="D385" s="41">
        <f>'Rekap SHU dan Jasa Simpanan'!BQ68</f>
        <v>134732.81227411184</v>
      </c>
      <c r="E385" s="38"/>
      <c r="G385" s="39"/>
      <c r="H385" s="2" t="s">
        <v>223</v>
      </c>
      <c r="I385" s="1" t="s">
        <v>231</v>
      </c>
      <c r="J385" s="41">
        <f>'Rekap SHU dan Jasa Simpanan'!BQ69</f>
        <v>370423.46916249336</v>
      </c>
      <c r="K385" s="38"/>
    </row>
    <row r="386" spans="1:11" x14ac:dyDescent="0.2">
      <c r="A386" s="39"/>
      <c r="B386" s="10" t="s">
        <v>224</v>
      </c>
      <c r="C386" s="1" t="s">
        <v>231</v>
      </c>
      <c r="D386" s="41">
        <f>'Rekap SHU dan Jasa Simpanan'!BR68</f>
        <v>39309.835312515272</v>
      </c>
      <c r="E386" s="38"/>
      <c r="G386" s="39"/>
      <c r="H386" s="10" t="s">
        <v>224</v>
      </c>
      <c r="I386" s="1" t="s">
        <v>231</v>
      </c>
      <c r="J386" s="41">
        <f>'Rekap SHU dan Jasa Simpanan'!BR69</f>
        <v>5896.4752968772909</v>
      </c>
      <c r="K386" s="38"/>
    </row>
    <row r="387" spans="1:11" x14ac:dyDescent="0.2">
      <c r="A387" s="42"/>
      <c r="B387" s="31" t="s">
        <v>230</v>
      </c>
      <c r="C387" s="32" t="s">
        <v>231</v>
      </c>
      <c r="D387" s="33">
        <v>0</v>
      </c>
      <c r="E387" s="43"/>
      <c r="G387" s="39"/>
      <c r="H387" s="31" t="s">
        <v>230</v>
      </c>
      <c r="I387" s="32" t="s">
        <v>231</v>
      </c>
      <c r="J387" s="33">
        <v>0</v>
      </c>
      <c r="K387" s="43"/>
    </row>
    <row r="388" spans="1:11" x14ac:dyDescent="0.2">
      <c r="A388" s="39"/>
      <c r="B388" s="1" t="s">
        <v>5</v>
      </c>
      <c r="C388" s="2"/>
      <c r="D388" s="41">
        <f>SUM(D384:D387)</f>
        <v>189292.64758662711</v>
      </c>
      <c r="E388" s="38"/>
      <c r="G388" s="44"/>
      <c r="H388" s="1" t="s">
        <v>5</v>
      </c>
      <c r="I388" s="2"/>
      <c r="J388" s="41">
        <f>SUM(J384:J387)</f>
        <v>610969.94445937069</v>
      </c>
      <c r="K388" s="38"/>
    </row>
    <row r="389" spans="1:11" x14ac:dyDescent="0.2">
      <c r="A389" s="42"/>
      <c r="B389" s="31"/>
      <c r="C389" s="31"/>
      <c r="D389" s="31"/>
      <c r="E389" s="43"/>
      <c r="G389" s="42"/>
      <c r="H389" s="31"/>
      <c r="I389" s="31"/>
      <c r="J389" s="31"/>
      <c r="K389" s="43"/>
    </row>
    <row r="391" spans="1:11" x14ac:dyDescent="0.2">
      <c r="A391" s="34"/>
      <c r="B391" s="35"/>
      <c r="C391" s="35"/>
      <c r="D391" s="35"/>
      <c r="E391" s="36"/>
      <c r="G391" s="34"/>
      <c r="H391" s="35"/>
      <c r="I391" s="35"/>
      <c r="J391" s="35"/>
      <c r="K391" s="36"/>
    </row>
    <row r="392" spans="1:11" ht="13.5" x14ac:dyDescent="0.25">
      <c r="A392" s="146" t="s">
        <v>232</v>
      </c>
      <c r="B392" s="147"/>
      <c r="C392" s="147"/>
      <c r="D392" s="147"/>
      <c r="E392" s="148"/>
      <c r="G392" s="146" t="s">
        <v>232</v>
      </c>
      <c r="H392" s="147"/>
      <c r="I392" s="147"/>
      <c r="J392" s="147"/>
      <c r="K392" s="148"/>
    </row>
    <row r="393" spans="1:11" x14ac:dyDescent="0.2">
      <c r="A393" s="37"/>
      <c r="B393" s="2"/>
      <c r="C393" s="2"/>
      <c r="D393" s="2"/>
      <c r="E393" s="38"/>
      <c r="G393" s="39"/>
      <c r="H393" s="2"/>
      <c r="I393" s="2"/>
      <c r="J393" s="2"/>
      <c r="K393" s="38"/>
    </row>
    <row r="394" spans="1:11" x14ac:dyDescent="0.2">
      <c r="A394" s="39"/>
      <c r="B394" s="2" t="s">
        <v>228</v>
      </c>
      <c r="C394" s="1" t="s">
        <v>231</v>
      </c>
      <c r="D394" s="40">
        <f>'Rekap SHU dan Jasa Simpanan'!B70</f>
        <v>116</v>
      </c>
      <c r="E394" s="38"/>
      <c r="G394" s="39"/>
      <c r="H394" s="2" t="s">
        <v>228</v>
      </c>
      <c r="I394" s="1" t="s">
        <v>231</v>
      </c>
      <c r="J394" s="40">
        <f>'Rekap SHU dan Jasa Simpanan'!B71</f>
        <v>117</v>
      </c>
      <c r="K394" s="38"/>
    </row>
    <row r="395" spans="1:11" x14ac:dyDescent="0.2">
      <c r="A395" s="39"/>
      <c r="B395" s="2" t="s">
        <v>229</v>
      </c>
      <c r="C395" s="1" t="s">
        <v>231</v>
      </c>
      <c r="D395" s="2" t="str">
        <f>'Rekap SHU dan Jasa Simpanan'!C70</f>
        <v xml:space="preserve"> Ibu Dudu Moong</v>
      </c>
      <c r="E395" s="38"/>
      <c r="G395" s="39"/>
      <c r="H395" s="2" t="s">
        <v>229</v>
      </c>
      <c r="I395" s="1" t="s">
        <v>231</v>
      </c>
      <c r="J395" s="2" t="str">
        <f>'Rekap SHU dan Jasa Simpanan'!C71</f>
        <v xml:space="preserve"> Yadi Supriyadi</v>
      </c>
      <c r="K395" s="38"/>
    </row>
    <row r="396" spans="1:11" x14ac:dyDescent="0.2">
      <c r="A396" s="39"/>
      <c r="B396" s="2" t="s">
        <v>221</v>
      </c>
      <c r="C396" s="1" t="s">
        <v>231</v>
      </c>
      <c r="D396" s="41">
        <f>'Rekap SHU dan Jasa Simpanan'!BD70</f>
        <v>57255</v>
      </c>
      <c r="E396" s="38"/>
      <c r="G396" s="39"/>
      <c r="H396" s="2" t="s">
        <v>221</v>
      </c>
      <c r="I396" s="1" t="s">
        <v>231</v>
      </c>
      <c r="J396" s="41">
        <f>'Rekap SHU dan Jasa Simpanan'!BD71</f>
        <v>40760</v>
      </c>
      <c r="K396" s="38"/>
    </row>
    <row r="397" spans="1:11" x14ac:dyDescent="0.2">
      <c r="A397" s="39"/>
      <c r="B397" s="2" t="s">
        <v>223</v>
      </c>
      <c r="C397" s="1" t="s">
        <v>231</v>
      </c>
      <c r="D397" s="41">
        <f>'Rekap SHU dan Jasa Simpanan'!BQ70</f>
        <v>181606.3667390843</v>
      </c>
      <c r="E397" s="38"/>
      <c r="G397" s="39"/>
      <c r="H397" s="2" t="s">
        <v>223</v>
      </c>
      <c r="I397" s="1" t="s">
        <v>231</v>
      </c>
      <c r="J397" s="41">
        <f>'Rekap SHU dan Jasa Simpanan'!BQ71</f>
        <v>160141.56861439536</v>
      </c>
      <c r="K397" s="38"/>
    </row>
    <row r="398" spans="1:11" x14ac:dyDescent="0.2">
      <c r="A398" s="39"/>
      <c r="B398" s="10" t="s">
        <v>224</v>
      </c>
      <c r="C398" s="1" t="s">
        <v>231</v>
      </c>
      <c r="D398" s="41">
        <f>'Rekap SHU dan Jasa Simpanan'!BR70</f>
        <v>81895.49023440681</v>
      </c>
      <c r="E398" s="38"/>
      <c r="G398" s="39"/>
      <c r="H398" s="10" t="s">
        <v>224</v>
      </c>
      <c r="I398" s="1" t="s">
        <v>231</v>
      </c>
      <c r="J398" s="41">
        <f>'Rekap SHU dan Jasa Simpanan'!BR71</f>
        <v>196549.17656257635</v>
      </c>
      <c r="K398" s="38"/>
    </row>
    <row r="399" spans="1:11" x14ac:dyDescent="0.2">
      <c r="A399" s="42"/>
      <c r="B399" s="31" t="s">
        <v>230</v>
      </c>
      <c r="C399" s="32" t="s">
        <v>231</v>
      </c>
      <c r="D399" s="33">
        <v>0</v>
      </c>
      <c r="E399" s="43"/>
      <c r="G399" s="39"/>
      <c r="H399" s="31" t="s">
        <v>230</v>
      </c>
      <c r="I399" s="32" t="s">
        <v>231</v>
      </c>
      <c r="J399" s="33">
        <v>0</v>
      </c>
      <c r="K399" s="43"/>
    </row>
    <row r="400" spans="1:11" x14ac:dyDescent="0.2">
      <c r="A400" s="39"/>
      <c r="B400" s="1" t="s">
        <v>5</v>
      </c>
      <c r="C400" s="2"/>
      <c r="D400" s="41">
        <f>SUM(D396:D399)</f>
        <v>320756.85697349114</v>
      </c>
      <c r="E400" s="38"/>
      <c r="G400" s="44"/>
      <c r="H400" s="1" t="s">
        <v>5</v>
      </c>
      <c r="I400" s="2"/>
      <c r="J400" s="41">
        <f>SUM(J396:J399)</f>
        <v>397450.74517697172</v>
      </c>
      <c r="K400" s="38"/>
    </row>
    <row r="401" spans="1:11" x14ac:dyDescent="0.2">
      <c r="A401" s="42"/>
      <c r="B401" s="31"/>
      <c r="C401" s="31"/>
      <c r="D401" s="31"/>
      <c r="E401" s="43"/>
      <c r="G401" s="42"/>
      <c r="H401" s="31"/>
      <c r="I401" s="31"/>
      <c r="J401" s="31"/>
      <c r="K401" s="43"/>
    </row>
    <row r="403" spans="1:11" x14ac:dyDescent="0.2">
      <c r="A403" s="34"/>
      <c r="B403" s="35"/>
      <c r="C403" s="35"/>
      <c r="D403" s="35"/>
      <c r="E403" s="36"/>
      <c r="G403" s="34"/>
      <c r="H403" s="35"/>
      <c r="I403" s="35"/>
      <c r="J403" s="35"/>
      <c r="K403" s="36"/>
    </row>
    <row r="404" spans="1:11" ht="13.5" x14ac:dyDescent="0.25">
      <c r="A404" s="146" t="s">
        <v>232</v>
      </c>
      <c r="B404" s="147"/>
      <c r="C404" s="147"/>
      <c r="D404" s="147"/>
      <c r="E404" s="148"/>
      <c r="G404" s="146" t="s">
        <v>232</v>
      </c>
      <c r="H404" s="147"/>
      <c r="I404" s="147"/>
      <c r="J404" s="147"/>
      <c r="K404" s="148"/>
    </row>
    <row r="405" spans="1:11" x14ac:dyDescent="0.2">
      <c r="A405" s="37"/>
      <c r="B405" s="2"/>
      <c r="C405" s="2"/>
      <c r="D405" s="2"/>
      <c r="E405" s="38"/>
      <c r="G405" s="39"/>
      <c r="H405" s="2"/>
      <c r="I405" s="2"/>
      <c r="J405" s="2"/>
      <c r="K405" s="38"/>
    </row>
    <row r="406" spans="1:11" x14ac:dyDescent="0.2">
      <c r="A406" s="39"/>
      <c r="B406" s="2" t="s">
        <v>228</v>
      </c>
      <c r="C406" s="1" t="s">
        <v>231</v>
      </c>
      <c r="D406" s="40">
        <f>'Rekap SHU dan Jasa Simpanan'!B72</f>
        <v>118</v>
      </c>
      <c r="E406" s="38"/>
      <c r="G406" s="39"/>
      <c r="H406" s="2" t="s">
        <v>228</v>
      </c>
      <c r="I406" s="1" t="s">
        <v>231</v>
      </c>
      <c r="J406" s="40">
        <f>'Rekap SHU dan Jasa Simpanan'!B73</f>
        <v>119</v>
      </c>
      <c r="K406" s="38"/>
    </row>
    <row r="407" spans="1:11" x14ac:dyDescent="0.2">
      <c r="A407" s="39"/>
      <c r="B407" s="2" t="s">
        <v>229</v>
      </c>
      <c r="C407" s="1" t="s">
        <v>231</v>
      </c>
      <c r="D407" s="7" t="str">
        <f>'Rekap SHU dan Jasa Simpanan'!C72</f>
        <v xml:space="preserve"> Jaenudin (udin)</v>
      </c>
      <c r="E407" s="38"/>
      <c r="G407" s="39"/>
      <c r="H407" s="2" t="s">
        <v>229</v>
      </c>
      <c r="I407" s="1" t="s">
        <v>231</v>
      </c>
      <c r="J407" s="2" t="str">
        <f>'Rekap SHU dan Jasa Simpanan'!C73</f>
        <v xml:space="preserve"> Agus Junaedi</v>
      </c>
      <c r="K407" s="38"/>
    </row>
    <row r="408" spans="1:11" x14ac:dyDescent="0.2">
      <c r="A408" s="39"/>
      <c r="B408" s="2" t="s">
        <v>221</v>
      </c>
      <c r="C408" s="1" t="s">
        <v>231</v>
      </c>
      <c r="D408" s="41">
        <f>'Rekap SHU dan Jasa Simpanan'!BD72</f>
        <v>63855</v>
      </c>
      <c r="E408" s="38"/>
      <c r="G408" s="39"/>
      <c r="H408" s="2" t="s">
        <v>221</v>
      </c>
      <c r="I408" s="1" t="s">
        <v>231</v>
      </c>
      <c r="J408" s="41">
        <f>'Rekap SHU dan Jasa Simpanan'!BD73</f>
        <v>39500</v>
      </c>
      <c r="K408" s="38"/>
    </row>
    <row r="409" spans="1:11" x14ac:dyDescent="0.2">
      <c r="A409" s="39"/>
      <c r="B409" s="2" t="s">
        <v>223</v>
      </c>
      <c r="C409" s="1" t="s">
        <v>231</v>
      </c>
      <c r="D409" s="41">
        <f>'Rekap SHU dan Jasa Simpanan'!BQ72</f>
        <v>172840.75788877186</v>
      </c>
      <c r="E409" s="38"/>
      <c r="G409" s="39"/>
      <c r="H409" s="2" t="s">
        <v>223</v>
      </c>
      <c r="I409" s="1" t="s">
        <v>231</v>
      </c>
      <c r="J409" s="41">
        <f>'Rekap SHU dan Jasa Simpanan'!BQ73</f>
        <v>158152.26309127524</v>
      </c>
      <c r="K409" s="38"/>
    </row>
    <row r="410" spans="1:11" x14ac:dyDescent="0.2">
      <c r="A410" s="39"/>
      <c r="B410" s="10" t="s">
        <v>224</v>
      </c>
      <c r="C410" s="1" t="s">
        <v>231</v>
      </c>
      <c r="D410" s="41">
        <f>'Rekap SHU dan Jasa Simpanan'!BR72</f>
        <v>196549.17656257635</v>
      </c>
      <c r="E410" s="38"/>
      <c r="G410" s="39"/>
      <c r="H410" s="10" t="s">
        <v>224</v>
      </c>
      <c r="I410" s="1" t="s">
        <v>231</v>
      </c>
      <c r="J410" s="41">
        <f>'Rekap SHU dan Jasa Simpanan'!BR73</f>
        <v>155601.43144537293</v>
      </c>
      <c r="K410" s="38"/>
    </row>
    <row r="411" spans="1:11" x14ac:dyDescent="0.2">
      <c r="A411" s="42"/>
      <c r="B411" s="31" t="s">
        <v>230</v>
      </c>
      <c r="C411" s="32" t="s">
        <v>231</v>
      </c>
      <c r="D411" s="33">
        <v>0</v>
      </c>
      <c r="E411" s="43"/>
      <c r="G411" s="39"/>
      <c r="H411" s="31" t="s">
        <v>230</v>
      </c>
      <c r="I411" s="32" t="s">
        <v>231</v>
      </c>
      <c r="J411" s="33">
        <v>0</v>
      </c>
      <c r="K411" s="43"/>
    </row>
    <row r="412" spans="1:11" x14ac:dyDescent="0.2">
      <c r="A412" s="39"/>
      <c r="B412" s="1" t="s">
        <v>5</v>
      </c>
      <c r="C412" s="2"/>
      <c r="D412" s="41">
        <f>SUM(D408:D411)</f>
        <v>433244.93445134821</v>
      </c>
      <c r="E412" s="38"/>
      <c r="G412" s="44"/>
      <c r="H412" s="1" t="s">
        <v>5</v>
      </c>
      <c r="I412" s="2"/>
      <c r="J412" s="41">
        <f>SUM(J408:J411)</f>
        <v>353253.69453664817</v>
      </c>
      <c r="K412" s="38"/>
    </row>
    <row r="413" spans="1:11" x14ac:dyDescent="0.2">
      <c r="A413" s="42"/>
      <c r="B413" s="31"/>
      <c r="C413" s="31"/>
      <c r="D413" s="31"/>
      <c r="E413" s="43"/>
      <c r="G413" s="42"/>
      <c r="H413" s="31"/>
      <c r="I413" s="31"/>
      <c r="J413" s="31"/>
      <c r="K413" s="43"/>
    </row>
    <row r="415" spans="1:11" x14ac:dyDescent="0.2">
      <c r="A415" s="34"/>
      <c r="B415" s="35"/>
      <c r="C415" s="35"/>
      <c r="D415" s="35"/>
      <c r="E415" s="36"/>
      <c r="G415" s="34"/>
      <c r="H415" s="35"/>
      <c r="I415" s="35"/>
      <c r="J415" s="35"/>
      <c r="K415" s="36"/>
    </row>
    <row r="416" spans="1:11" ht="13.5" x14ac:dyDescent="0.25">
      <c r="A416" s="146" t="s">
        <v>232</v>
      </c>
      <c r="B416" s="147"/>
      <c r="C416" s="147"/>
      <c r="D416" s="147"/>
      <c r="E416" s="148"/>
      <c r="G416" s="146" t="s">
        <v>232</v>
      </c>
      <c r="H416" s="147"/>
      <c r="I416" s="147"/>
      <c r="J416" s="147"/>
      <c r="K416" s="148"/>
    </row>
    <row r="417" spans="1:11" x14ac:dyDescent="0.2">
      <c r="A417" s="37"/>
      <c r="B417" s="2"/>
      <c r="C417" s="2"/>
      <c r="D417" s="2"/>
      <c r="E417" s="38"/>
      <c r="G417" s="39"/>
      <c r="H417" s="2"/>
      <c r="I417" s="2"/>
      <c r="J417" s="2"/>
      <c r="K417" s="38"/>
    </row>
    <row r="418" spans="1:11" x14ac:dyDescent="0.2">
      <c r="A418" s="39"/>
      <c r="B418" s="2" t="s">
        <v>228</v>
      </c>
      <c r="C418" s="1" t="s">
        <v>231</v>
      </c>
      <c r="D418" s="40">
        <f>'Rekap SHU dan Jasa Simpanan'!B74</f>
        <v>120</v>
      </c>
      <c r="E418" s="38"/>
      <c r="G418" s="39"/>
      <c r="H418" s="2" t="s">
        <v>228</v>
      </c>
      <c r="I418" s="1" t="s">
        <v>231</v>
      </c>
      <c r="J418" s="40">
        <f>'Rekap SHU dan Jasa Simpanan'!B75</f>
        <v>122</v>
      </c>
      <c r="K418" s="38"/>
    </row>
    <row r="419" spans="1:11" x14ac:dyDescent="0.2">
      <c r="A419" s="39"/>
      <c r="B419" s="2" t="s">
        <v>229</v>
      </c>
      <c r="C419" s="1" t="s">
        <v>231</v>
      </c>
      <c r="D419" s="7" t="str">
        <f>'Rekap SHU dan Jasa Simpanan'!C74</f>
        <v xml:space="preserve"> Kurniawati P. Dewi</v>
      </c>
      <c r="E419" s="38"/>
      <c r="G419" s="39"/>
      <c r="H419" s="2" t="s">
        <v>229</v>
      </c>
      <c r="I419" s="1" t="s">
        <v>231</v>
      </c>
      <c r="J419" s="2" t="str">
        <f>'Rekap SHU dan Jasa Simpanan'!C75</f>
        <v xml:space="preserve"> Ibu Tati Maryati</v>
      </c>
      <c r="K419" s="38"/>
    </row>
    <row r="420" spans="1:11" x14ac:dyDescent="0.2">
      <c r="A420" s="39"/>
      <c r="B420" s="2" t="s">
        <v>221</v>
      </c>
      <c r="C420" s="1" t="s">
        <v>231</v>
      </c>
      <c r="D420" s="41">
        <f>'Rekap SHU dan Jasa Simpanan'!BD74</f>
        <v>99250</v>
      </c>
      <c r="E420" s="38"/>
      <c r="G420" s="39"/>
      <c r="H420" s="2" t="s">
        <v>221</v>
      </c>
      <c r="I420" s="1" t="s">
        <v>231</v>
      </c>
      <c r="J420" s="41">
        <f>'Rekap SHU dan Jasa Simpanan'!BD75</f>
        <v>23100</v>
      </c>
      <c r="K420" s="38"/>
    </row>
    <row r="421" spans="1:11" x14ac:dyDescent="0.2">
      <c r="A421" s="39"/>
      <c r="B421" s="2" t="s">
        <v>223</v>
      </c>
      <c r="C421" s="1" t="s">
        <v>231</v>
      </c>
      <c r="D421" s="41">
        <f>'Rekap SHU dan Jasa Simpanan'!BQ74</f>
        <v>259211.28133649298</v>
      </c>
      <c r="E421" s="38"/>
      <c r="G421" s="39"/>
      <c r="H421" s="2" t="s">
        <v>223</v>
      </c>
      <c r="I421" s="1" t="s">
        <v>231</v>
      </c>
      <c r="J421" s="41">
        <f>'Rekap SHU dan Jasa Simpanan'!BQ75</f>
        <v>140848.47798017724</v>
      </c>
      <c r="K421" s="38"/>
    </row>
    <row r="422" spans="1:11" x14ac:dyDescent="0.2">
      <c r="A422" s="39"/>
      <c r="B422" s="10" t="s">
        <v>224</v>
      </c>
      <c r="C422" s="1" t="s">
        <v>231</v>
      </c>
      <c r="D422" s="41">
        <f>'Rekap SHU dan Jasa Simpanan'!BR74</f>
        <v>393098.3531251527</v>
      </c>
      <c r="E422" s="38"/>
      <c r="G422" s="39"/>
      <c r="H422" s="10" t="s">
        <v>224</v>
      </c>
      <c r="I422" s="1" t="s">
        <v>231</v>
      </c>
      <c r="J422" s="41">
        <f>'Rekap SHU dan Jasa Simpanan'!BR75</f>
        <v>32758.196093762726</v>
      </c>
      <c r="K422" s="38"/>
    </row>
    <row r="423" spans="1:11" x14ac:dyDescent="0.2">
      <c r="A423" s="42"/>
      <c r="B423" s="31" t="s">
        <v>230</v>
      </c>
      <c r="C423" s="32" t="s">
        <v>231</v>
      </c>
      <c r="D423" s="33">
        <v>50000</v>
      </c>
      <c r="E423" s="43"/>
      <c r="G423" s="39"/>
      <c r="H423" s="31" t="s">
        <v>230</v>
      </c>
      <c r="I423" s="32" t="s">
        <v>231</v>
      </c>
      <c r="J423" s="33">
        <v>0</v>
      </c>
      <c r="K423" s="43"/>
    </row>
    <row r="424" spans="1:11" x14ac:dyDescent="0.2">
      <c r="A424" s="39"/>
      <c r="B424" s="1" t="s">
        <v>5</v>
      </c>
      <c r="C424" s="2"/>
      <c r="D424" s="41">
        <f>SUM(D420:D423)</f>
        <v>801559.63446164574</v>
      </c>
      <c r="E424" s="38"/>
      <c r="G424" s="44"/>
      <c r="H424" s="1" t="s">
        <v>5</v>
      </c>
      <c r="I424" s="2"/>
      <c r="J424" s="41">
        <f>SUM(J420:J423)</f>
        <v>196706.67407393997</v>
      </c>
      <c r="K424" s="38"/>
    </row>
    <row r="425" spans="1:11" x14ac:dyDescent="0.2">
      <c r="A425" s="42"/>
      <c r="B425" s="31"/>
      <c r="C425" s="31"/>
      <c r="D425" s="31"/>
      <c r="E425" s="43"/>
      <c r="G425" s="42"/>
      <c r="H425" s="31"/>
      <c r="I425" s="31"/>
      <c r="J425" s="31"/>
      <c r="K425" s="43"/>
    </row>
    <row r="427" spans="1:11" x14ac:dyDescent="0.2">
      <c r="A427" s="34"/>
      <c r="B427" s="35"/>
      <c r="C427" s="35"/>
      <c r="D427" s="35"/>
      <c r="E427" s="36"/>
      <c r="G427" s="34"/>
      <c r="H427" s="35"/>
      <c r="I427" s="35"/>
      <c r="J427" s="35"/>
      <c r="K427" s="36"/>
    </row>
    <row r="428" spans="1:11" ht="13.5" x14ac:dyDescent="0.25">
      <c r="A428" s="146" t="s">
        <v>232</v>
      </c>
      <c r="B428" s="147"/>
      <c r="C428" s="147"/>
      <c r="D428" s="147"/>
      <c r="E428" s="148"/>
      <c r="G428" s="146" t="s">
        <v>232</v>
      </c>
      <c r="H428" s="147"/>
      <c r="I428" s="147"/>
      <c r="J428" s="147"/>
      <c r="K428" s="148"/>
    </row>
    <row r="429" spans="1:11" x14ac:dyDescent="0.2">
      <c r="A429" s="37"/>
      <c r="B429" s="2"/>
      <c r="C429" s="2"/>
      <c r="D429" s="2"/>
      <c r="E429" s="38"/>
      <c r="G429" s="39"/>
      <c r="H429" s="2"/>
      <c r="I429" s="2"/>
      <c r="J429" s="2"/>
      <c r="K429" s="38"/>
    </row>
    <row r="430" spans="1:11" x14ac:dyDescent="0.2">
      <c r="A430" s="39"/>
      <c r="B430" s="2" t="s">
        <v>228</v>
      </c>
      <c r="C430" s="1" t="s">
        <v>231</v>
      </c>
      <c r="D430" s="40">
        <f>'Rekap SHU dan Jasa Simpanan'!B76</f>
        <v>123</v>
      </c>
      <c r="E430" s="38"/>
      <c r="G430" s="39"/>
      <c r="H430" s="2" t="s">
        <v>228</v>
      </c>
      <c r="I430" s="1" t="s">
        <v>231</v>
      </c>
      <c r="J430" s="40">
        <f>'Rekap SHU dan Jasa Simpanan'!B77</f>
        <v>124</v>
      </c>
      <c r="K430" s="38"/>
    </row>
    <row r="431" spans="1:11" x14ac:dyDescent="0.2">
      <c r="A431" s="39"/>
      <c r="B431" s="2" t="s">
        <v>229</v>
      </c>
      <c r="C431" s="1" t="s">
        <v>231</v>
      </c>
      <c r="D431" s="7" t="str">
        <f>'Rekap SHU dan Jasa Simpanan'!C76</f>
        <v xml:space="preserve"> Igun Gunawan</v>
      </c>
      <c r="E431" s="38"/>
      <c r="G431" s="39"/>
      <c r="H431" s="2" t="s">
        <v>229</v>
      </c>
      <c r="I431" s="1" t="s">
        <v>231</v>
      </c>
      <c r="J431" s="2" t="str">
        <f>'Rekap SHU dan Jasa Simpanan'!C77</f>
        <v xml:space="preserve"> Mahpudin</v>
      </c>
      <c r="K431" s="38"/>
    </row>
    <row r="432" spans="1:11" x14ac:dyDescent="0.2">
      <c r="A432" s="39"/>
      <c r="B432" s="2" t="s">
        <v>221</v>
      </c>
      <c r="C432" s="1" t="s">
        <v>231</v>
      </c>
      <c r="D432" s="41">
        <f>'Rekap SHU dan Jasa Simpanan'!BD76</f>
        <v>73250</v>
      </c>
      <c r="E432" s="38"/>
      <c r="G432" s="39"/>
      <c r="H432" s="2" t="s">
        <v>221</v>
      </c>
      <c r="I432" s="1" t="s">
        <v>231</v>
      </c>
      <c r="J432" s="41">
        <f>'Rekap SHU dan Jasa Simpanan'!BD77</f>
        <v>38800</v>
      </c>
      <c r="K432" s="38"/>
    </row>
    <row r="433" spans="1:11" x14ac:dyDescent="0.2">
      <c r="A433" s="39"/>
      <c r="B433" s="2" t="s">
        <v>223</v>
      </c>
      <c r="C433" s="1" t="s">
        <v>231</v>
      </c>
      <c r="D433" s="41">
        <f>'Rekap SHU dan Jasa Simpanan'!BQ76</f>
        <v>198643.83939832653</v>
      </c>
      <c r="E433" s="38"/>
      <c r="G433" s="39"/>
      <c r="H433" s="2" t="s">
        <v>223</v>
      </c>
      <c r="I433" s="1" t="s">
        <v>231</v>
      </c>
      <c r="J433" s="41">
        <f>'Rekap SHU dan Jasa Simpanan'!BQ77</f>
        <v>157844.84673795546</v>
      </c>
      <c r="K433" s="38"/>
    </row>
    <row r="434" spans="1:11" x14ac:dyDescent="0.2">
      <c r="A434" s="39"/>
      <c r="B434" s="10" t="s">
        <v>224</v>
      </c>
      <c r="C434" s="1" t="s">
        <v>231</v>
      </c>
      <c r="D434" s="41">
        <f>'Rekap SHU dan Jasa Simpanan'!BR76</f>
        <v>122843.23535161022</v>
      </c>
      <c r="E434" s="38"/>
      <c r="G434" s="39"/>
      <c r="H434" s="10" t="s">
        <v>224</v>
      </c>
      <c r="I434" s="1" t="s">
        <v>231</v>
      </c>
      <c r="J434" s="41">
        <f>'Rekap SHU dan Jasa Simpanan'!BR77</f>
        <v>196549.17656257635</v>
      </c>
      <c r="K434" s="38"/>
    </row>
    <row r="435" spans="1:11" x14ac:dyDescent="0.2">
      <c r="A435" s="42"/>
      <c r="B435" s="31" t="s">
        <v>230</v>
      </c>
      <c r="C435" s="32" t="s">
        <v>231</v>
      </c>
      <c r="D435" s="33">
        <v>0</v>
      </c>
      <c r="E435" s="43"/>
      <c r="G435" s="39"/>
      <c r="H435" s="31" t="s">
        <v>230</v>
      </c>
      <c r="I435" s="32" t="s">
        <v>231</v>
      </c>
      <c r="J435" s="33">
        <v>0</v>
      </c>
      <c r="K435" s="43"/>
    </row>
    <row r="436" spans="1:11" x14ac:dyDescent="0.2">
      <c r="A436" s="39"/>
      <c r="B436" s="1" t="s">
        <v>5</v>
      </c>
      <c r="C436" s="2"/>
      <c r="D436" s="41">
        <f>SUM(D432:D435)</f>
        <v>394737.07474993676</v>
      </c>
      <c r="E436" s="38"/>
      <c r="G436" s="44"/>
      <c r="H436" s="1" t="s">
        <v>5</v>
      </c>
      <c r="I436" s="2"/>
      <c r="J436" s="41">
        <f>SUM(J432:J435)</f>
        <v>393194.02330053179</v>
      </c>
      <c r="K436" s="38"/>
    </row>
    <row r="437" spans="1:11" x14ac:dyDescent="0.2">
      <c r="A437" s="42"/>
      <c r="B437" s="31"/>
      <c r="C437" s="31"/>
      <c r="D437" s="31"/>
      <c r="E437" s="43"/>
      <c r="G437" s="42"/>
      <c r="H437" s="31"/>
      <c r="I437" s="31"/>
      <c r="J437" s="31"/>
      <c r="K437" s="43"/>
    </row>
    <row r="442" spans="1:11" x14ac:dyDescent="0.2">
      <c r="A442" s="34"/>
      <c r="B442" s="35"/>
      <c r="C442" s="35"/>
      <c r="D442" s="35"/>
      <c r="E442" s="36"/>
      <c r="G442" s="34"/>
      <c r="H442" s="35"/>
      <c r="I442" s="35"/>
      <c r="J442" s="35"/>
      <c r="K442" s="36"/>
    </row>
    <row r="443" spans="1:11" ht="13.5" x14ac:dyDescent="0.25">
      <c r="A443" s="146" t="s">
        <v>232</v>
      </c>
      <c r="B443" s="147"/>
      <c r="C443" s="147"/>
      <c r="D443" s="147"/>
      <c r="E443" s="148"/>
      <c r="G443" s="146" t="s">
        <v>232</v>
      </c>
      <c r="H443" s="147"/>
      <c r="I443" s="147"/>
      <c r="J443" s="147"/>
      <c r="K443" s="148"/>
    </row>
    <row r="444" spans="1:11" x14ac:dyDescent="0.2">
      <c r="A444" s="37"/>
      <c r="B444" s="2"/>
      <c r="C444" s="2"/>
      <c r="D444" s="2"/>
      <c r="E444" s="38"/>
      <c r="G444" s="39"/>
      <c r="H444" s="2"/>
      <c r="I444" s="2"/>
      <c r="J444" s="2"/>
      <c r="K444" s="38"/>
    </row>
    <row r="445" spans="1:11" x14ac:dyDescent="0.2">
      <c r="A445" s="39"/>
      <c r="B445" s="2" t="s">
        <v>228</v>
      </c>
      <c r="C445" s="1" t="s">
        <v>231</v>
      </c>
      <c r="D445" s="40">
        <f>'Rekap SHU dan Jasa Simpanan'!B78</f>
        <v>129</v>
      </c>
      <c r="E445" s="38"/>
      <c r="G445" s="39"/>
      <c r="H445" s="2" t="s">
        <v>228</v>
      </c>
      <c r="I445" s="1" t="s">
        <v>231</v>
      </c>
      <c r="J445" s="40">
        <f>'Rekap SHU dan Jasa Simpanan'!B79</f>
        <v>130</v>
      </c>
      <c r="K445" s="38"/>
    </row>
    <row r="446" spans="1:11" x14ac:dyDescent="0.2">
      <c r="A446" s="39"/>
      <c r="B446" s="2" t="s">
        <v>229</v>
      </c>
      <c r="C446" s="1" t="s">
        <v>231</v>
      </c>
      <c r="D446" s="2" t="str">
        <f>'Rekap SHU dan Jasa Simpanan'!C78</f>
        <v xml:space="preserve"> Hendang</v>
      </c>
      <c r="E446" s="38"/>
      <c r="G446" s="39"/>
      <c r="H446" s="2" t="s">
        <v>229</v>
      </c>
      <c r="I446" s="1" t="s">
        <v>231</v>
      </c>
      <c r="J446" s="2" t="str">
        <f>'Rekap SHU dan Jasa Simpanan'!C79</f>
        <v xml:space="preserve"> Moh.Toha</v>
      </c>
      <c r="K446" s="38"/>
    </row>
    <row r="447" spans="1:11" x14ac:dyDescent="0.2">
      <c r="A447" s="39"/>
      <c r="B447" s="2" t="s">
        <v>221</v>
      </c>
      <c r="C447" s="1" t="s">
        <v>231</v>
      </c>
      <c r="D447" s="41">
        <f>'Rekap SHU dan Jasa Simpanan'!BD78</f>
        <v>37500</v>
      </c>
      <c r="E447" s="38"/>
      <c r="G447" s="39"/>
      <c r="H447" s="2" t="s">
        <v>221</v>
      </c>
      <c r="I447" s="1" t="s">
        <v>231</v>
      </c>
      <c r="J447" s="41">
        <f>'Rekap SHU dan Jasa Simpanan'!BD79</f>
        <v>140490</v>
      </c>
      <c r="K447" s="38"/>
    </row>
    <row r="448" spans="1:11" x14ac:dyDescent="0.2">
      <c r="A448" s="39"/>
      <c r="B448" s="2" t="s">
        <v>223</v>
      </c>
      <c r="C448" s="1" t="s">
        <v>231</v>
      </c>
      <c r="D448" s="41">
        <f>'Rekap SHU dan Jasa Simpanan'!BQ78</f>
        <v>157692.10493073639</v>
      </c>
      <c r="E448" s="38"/>
      <c r="G448" s="39"/>
      <c r="H448" s="2" t="s">
        <v>223</v>
      </c>
      <c r="I448" s="1" t="s">
        <v>231</v>
      </c>
      <c r="J448" s="41">
        <f>'Rekap SHU dan Jasa Simpanan'!BQ79</f>
        <v>271299.96122414048</v>
      </c>
      <c r="K448" s="38"/>
    </row>
    <row r="449" spans="1:11" x14ac:dyDescent="0.2">
      <c r="A449" s="39"/>
      <c r="B449" s="10" t="s">
        <v>224</v>
      </c>
      <c r="C449" s="1" t="s">
        <v>231</v>
      </c>
      <c r="D449" s="41">
        <f>'Rekap SHU dan Jasa Simpanan'!BR78</f>
        <v>196549.17656257635</v>
      </c>
      <c r="E449" s="38"/>
      <c r="G449" s="39"/>
      <c r="H449" s="10" t="s">
        <v>224</v>
      </c>
      <c r="I449" s="1" t="s">
        <v>231</v>
      </c>
      <c r="J449" s="41">
        <f>'Rekap SHU dan Jasa Simpanan'!BR79</f>
        <v>163790.98046881362</v>
      </c>
      <c r="K449" s="38"/>
    </row>
    <row r="450" spans="1:11" x14ac:dyDescent="0.2">
      <c r="A450" s="42"/>
      <c r="B450" s="31" t="s">
        <v>230</v>
      </c>
      <c r="C450" s="32" t="s">
        <v>231</v>
      </c>
      <c r="D450" s="33">
        <v>0</v>
      </c>
      <c r="E450" s="43"/>
      <c r="G450" s="39"/>
      <c r="H450" s="31" t="s">
        <v>230</v>
      </c>
      <c r="I450" s="32" t="s">
        <v>231</v>
      </c>
      <c r="J450" s="33">
        <v>0</v>
      </c>
      <c r="K450" s="43"/>
    </row>
    <row r="451" spans="1:11" x14ac:dyDescent="0.2">
      <c r="A451" s="39"/>
      <c r="B451" s="1" t="s">
        <v>5</v>
      </c>
      <c r="C451" s="2"/>
      <c r="D451" s="41">
        <f>SUM(D447:D450)</f>
        <v>391741.28149331274</v>
      </c>
      <c r="E451" s="38"/>
      <c r="G451" s="44"/>
      <c r="H451" s="1" t="s">
        <v>5</v>
      </c>
      <c r="I451" s="2"/>
      <c r="J451" s="41">
        <f>SUM(J447:J450)</f>
        <v>575580.94169295416</v>
      </c>
      <c r="K451" s="38"/>
    </row>
    <row r="452" spans="1:11" x14ac:dyDescent="0.2">
      <c r="A452" s="42"/>
      <c r="B452" s="31"/>
      <c r="C452" s="31"/>
      <c r="D452" s="31"/>
      <c r="E452" s="43"/>
      <c r="G452" s="42"/>
      <c r="H452" s="31"/>
      <c r="I452" s="31"/>
      <c r="J452" s="31"/>
      <c r="K452" s="43"/>
    </row>
    <row r="454" spans="1:11" x14ac:dyDescent="0.2">
      <c r="A454" s="34"/>
      <c r="B454" s="35"/>
      <c r="C454" s="35"/>
      <c r="D454" s="35"/>
      <c r="E454" s="36"/>
      <c r="G454" s="34"/>
      <c r="H454" s="35"/>
      <c r="I454" s="35"/>
      <c r="J454" s="35"/>
      <c r="K454" s="36"/>
    </row>
    <row r="455" spans="1:11" ht="13.5" x14ac:dyDescent="0.25">
      <c r="A455" s="146" t="s">
        <v>232</v>
      </c>
      <c r="B455" s="147"/>
      <c r="C455" s="147"/>
      <c r="D455" s="147"/>
      <c r="E455" s="148"/>
      <c r="G455" s="146" t="s">
        <v>232</v>
      </c>
      <c r="H455" s="147"/>
      <c r="I455" s="147"/>
      <c r="J455" s="147"/>
      <c r="K455" s="148"/>
    </row>
    <row r="456" spans="1:11" x14ac:dyDescent="0.2">
      <c r="A456" s="37"/>
      <c r="B456" s="2"/>
      <c r="C456" s="2"/>
      <c r="D456" s="2"/>
      <c r="E456" s="38"/>
      <c r="G456" s="39"/>
      <c r="H456" s="2"/>
      <c r="I456" s="2"/>
      <c r="J456" s="2"/>
      <c r="K456" s="38"/>
    </row>
    <row r="457" spans="1:11" x14ac:dyDescent="0.2">
      <c r="A457" s="39"/>
      <c r="B457" s="2" t="s">
        <v>228</v>
      </c>
      <c r="C457" s="1" t="s">
        <v>231</v>
      </c>
      <c r="D457" s="40">
        <f>'Rekap SHU dan Jasa Simpanan'!B80</f>
        <v>131</v>
      </c>
      <c r="E457" s="38"/>
      <c r="G457" s="39"/>
      <c r="H457" s="2" t="s">
        <v>228</v>
      </c>
      <c r="I457" s="1" t="s">
        <v>231</v>
      </c>
      <c r="J457" s="40">
        <f>'Rekap SHU dan Jasa Simpanan'!B81</f>
        <v>132</v>
      </c>
      <c r="K457" s="38"/>
    </row>
    <row r="458" spans="1:11" x14ac:dyDescent="0.2">
      <c r="A458" s="39"/>
      <c r="B458" s="2" t="s">
        <v>229</v>
      </c>
      <c r="C458" s="1" t="s">
        <v>231</v>
      </c>
      <c r="D458" s="7" t="str">
        <f>'Rekap SHU dan Jasa Simpanan'!C80</f>
        <v xml:space="preserve"> Ibu Ating</v>
      </c>
      <c r="E458" s="38"/>
      <c r="G458" s="39"/>
      <c r="H458" s="2" t="s">
        <v>229</v>
      </c>
      <c r="I458" s="1" t="s">
        <v>231</v>
      </c>
      <c r="J458" s="2" t="str">
        <f>'Rekap SHU dan Jasa Simpanan'!C81</f>
        <v xml:space="preserve"> Mochtar Lubis</v>
      </c>
      <c r="K458" s="38"/>
    </row>
    <row r="459" spans="1:11" x14ac:dyDescent="0.2">
      <c r="A459" s="39"/>
      <c r="B459" s="2" t="s">
        <v>221</v>
      </c>
      <c r="C459" s="1" t="s">
        <v>231</v>
      </c>
      <c r="D459" s="41">
        <f>'Rekap SHU dan Jasa Simpanan'!BD80</f>
        <v>31090</v>
      </c>
      <c r="E459" s="38"/>
      <c r="G459" s="39"/>
      <c r="H459" s="2" t="s">
        <v>221</v>
      </c>
      <c r="I459" s="1" t="s">
        <v>231</v>
      </c>
      <c r="J459" s="41">
        <f>'Rekap SHU dan Jasa Simpanan'!BD81</f>
        <v>10700</v>
      </c>
      <c r="K459" s="38"/>
    </row>
    <row r="460" spans="1:11" x14ac:dyDescent="0.2">
      <c r="A460" s="39"/>
      <c r="B460" s="2" t="s">
        <v>223</v>
      </c>
      <c r="C460" s="1" t="s">
        <v>231</v>
      </c>
      <c r="D460" s="41">
        <f>'Rekap SHU dan Jasa Simpanan'!BQ80</f>
        <v>152036.36749292418</v>
      </c>
      <c r="E460" s="38"/>
      <c r="G460" s="39"/>
      <c r="H460" s="2" t="s">
        <v>223</v>
      </c>
      <c r="I460" s="1" t="s">
        <v>231</v>
      </c>
      <c r="J460" s="41">
        <f>'Rekap SHU dan Jasa Simpanan'!BQ81</f>
        <v>128344.95172440416</v>
      </c>
      <c r="K460" s="38"/>
    </row>
    <row r="461" spans="1:11" x14ac:dyDescent="0.2">
      <c r="A461" s="39"/>
      <c r="B461" s="10" t="s">
        <v>224</v>
      </c>
      <c r="C461" s="1" t="s">
        <v>231</v>
      </c>
      <c r="D461" s="41">
        <f>'Rekap SHU dan Jasa Simpanan'!BR80</f>
        <v>88447.129453159359</v>
      </c>
      <c r="E461" s="38"/>
      <c r="G461" s="39"/>
      <c r="H461" s="10" t="s">
        <v>224</v>
      </c>
      <c r="I461" s="1" t="s">
        <v>231</v>
      </c>
      <c r="J461" s="41">
        <f>'Rekap SHU dan Jasa Simpanan'!BR81</f>
        <v>114653.68632816954</v>
      </c>
      <c r="K461" s="38"/>
    </row>
    <row r="462" spans="1:11" x14ac:dyDescent="0.2">
      <c r="A462" s="42"/>
      <c r="B462" s="31" t="s">
        <v>230</v>
      </c>
      <c r="C462" s="32" t="s">
        <v>231</v>
      </c>
      <c r="D462" s="33">
        <v>0</v>
      </c>
      <c r="E462" s="43"/>
      <c r="G462" s="39"/>
      <c r="H462" s="31" t="s">
        <v>230</v>
      </c>
      <c r="I462" s="32" t="s">
        <v>231</v>
      </c>
      <c r="J462" s="33">
        <v>0</v>
      </c>
      <c r="K462" s="43"/>
    </row>
    <row r="463" spans="1:11" x14ac:dyDescent="0.2">
      <c r="A463" s="39"/>
      <c r="B463" s="1" t="s">
        <v>5</v>
      </c>
      <c r="C463" s="2"/>
      <c r="D463" s="41">
        <f>SUM(D459:D462)</f>
        <v>271573.49694608356</v>
      </c>
      <c r="E463" s="38"/>
      <c r="G463" s="44"/>
      <c r="H463" s="1" t="s">
        <v>5</v>
      </c>
      <c r="I463" s="2"/>
      <c r="J463" s="41">
        <f>SUM(J459:J462)</f>
        <v>253698.63805257372</v>
      </c>
      <c r="K463" s="38"/>
    </row>
    <row r="464" spans="1:11" x14ac:dyDescent="0.2">
      <c r="A464" s="42"/>
      <c r="B464" s="31"/>
      <c r="C464" s="31"/>
      <c r="D464" s="31"/>
      <c r="E464" s="43"/>
      <c r="G464" s="42"/>
      <c r="H464" s="31"/>
      <c r="I464" s="31"/>
      <c r="J464" s="31"/>
      <c r="K464" s="43"/>
    </row>
    <row r="466" spans="1:11" x14ac:dyDescent="0.2">
      <c r="A466" s="34"/>
      <c r="B466" s="35"/>
      <c r="C466" s="35"/>
      <c r="D466" s="35"/>
      <c r="E466" s="36"/>
      <c r="G466" s="34"/>
      <c r="H466" s="35"/>
      <c r="I466" s="35"/>
      <c r="J466" s="35"/>
      <c r="K466" s="36"/>
    </row>
    <row r="467" spans="1:11" ht="13.5" x14ac:dyDescent="0.25">
      <c r="A467" s="146" t="s">
        <v>232</v>
      </c>
      <c r="B467" s="147"/>
      <c r="C467" s="147"/>
      <c r="D467" s="147"/>
      <c r="E467" s="148"/>
      <c r="G467" s="146" t="s">
        <v>232</v>
      </c>
      <c r="H467" s="147"/>
      <c r="I467" s="147"/>
      <c r="J467" s="147"/>
      <c r="K467" s="148"/>
    </row>
    <row r="468" spans="1:11" x14ac:dyDescent="0.2">
      <c r="A468" s="37"/>
      <c r="B468" s="2"/>
      <c r="C468" s="2"/>
      <c r="D468" s="2"/>
      <c r="E468" s="38"/>
      <c r="G468" s="39"/>
      <c r="H468" s="2"/>
      <c r="I468" s="2"/>
      <c r="J468" s="2"/>
      <c r="K468" s="38"/>
    </row>
    <row r="469" spans="1:11" x14ac:dyDescent="0.2">
      <c r="A469" s="39"/>
      <c r="B469" s="2" t="s">
        <v>228</v>
      </c>
      <c r="C469" s="1" t="s">
        <v>231</v>
      </c>
      <c r="D469" s="40">
        <f>'Rekap SHU dan Jasa Simpanan'!B82</f>
        <v>137</v>
      </c>
      <c r="E469" s="38"/>
      <c r="G469" s="39"/>
      <c r="H469" s="2" t="s">
        <v>228</v>
      </c>
      <c r="I469" s="1" t="s">
        <v>231</v>
      </c>
      <c r="J469" s="40">
        <f>'Rekap SHU dan Jasa Simpanan'!B83</f>
        <v>138</v>
      </c>
      <c r="K469" s="38"/>
    </row>
    <row r="470" spans="1:11" x14ac:dyDescent="0.2">
      <c r="A470" s="39"/>
      <c r="B470" s="2" t="s">
        <v>229</v>
      </c>
      <c r="C470" s="1" t="s">
        <v>231</v>
      </c>
      <c r="D470" s="7" t="str">
        <f>'Rekap SHU dan Jasa Simpanan'!C82</f>
        <v xml:space="preserve"> Ibu Diyah Junaedi</v>
      </c>
      <c r="E470" s="38"/>
      <c r="G470" s="39"/>
      <c r="H470" s="2" t="s">
        <v>229</v>
      </c>
      <c r="I470" s="1" t="s">
        <v>231</v>
      </c>
      <c r="J470" s="2" t="str">
        <f>'Rekap SHU dan Jasa Simpanan'!C83</f>
        <v xml:space="preserve"> Bp.HS.Marjadi</v>
      </c>
      <c r="K470" s="38"/>
    </row>
    <row r="471" spans="1:11" x14ac:dyDescent="0.2">
      <c r="A471" s="39"/>
      <c r="B471" s="2" t="s">
        <v>221</v>
      </c>
      <c r="C471" s="1" t="s">
        <v>231</v>
      </c>
      <c r="D471" s="41">
        <f>'Rekap SHU dan Jasa Simpanan'!BD82</f>
        <v>182460</v>
      </c>
      <c r="E471" s="38"/>
      <c r="G471" s="39"/>
      <c r="H471" s="2" t="s">
        <v>221</v>
      </c>
      <c r="I471" s="1" t="s">
        <v>231</v>
      </c>
      <c r="J471" s="41">
        <f>'Rekap SHU dan Jasa Simpanan'!BD83</f>
        <v>12228.900000000003</v>
      </c>
      <c r="K471" s="38"/>
    </row>
    <row r="472" spans="1:11" x14ac:dyDescent="0.2">
      <c r="A472" s="39"/>
      <c r="B472" s="2" t="s">
        <v>223</v>
      </c>
      <c r="C472" s="1" t="s">
        <v>231</v>
      </c>
      <c r="D472" s="41">
        <f>'Rekap SHU dan Jasa Simpanan'!BQ82</f>
        <v>333585.44028190005</v>
      </c>
      <c r="E472" s="38"/>
      <c r="G472" s="39"/>
      <c r="H472" s="2" t="s">
        <v>223</v>
      </c>
      <c r="I472" s="1" t="s">
        <v>231</v>
      </c>
      <c r="J472" s="41">
        <f>'Rekap SHU dan Jasa Simpanan'!BQ83</f>
        <v>131472.5068138401</v>
      </c>
      <c r="K472" s="38"/>
    </row>
    <row r="473" spans="1:11" x14ac:dyDescent="0.2">
      <c r="A473" s="39"/>
      <c r="B473" s="10" t="s">
        <v>224</v>
      </c>
      <c r="C473" s="1" t="s">
        <v>231</v>
      </c>
      <c r="D473" s="41">
        <f>'Rekap SHU dan Jasa Simpanan'!BR82</f>
        <v>147411.88242193227</v>
      </c>
      <c r="E473" s="38"/>
      <c r="G473" s="39"/>
      <c r="H473" s="10" t="s">
        <v>224</v>
      </c>
      <c r="I473" s="1" t="s">
        <v>231</v>
      </c>
      <c r="J473" s="41">
        <f>'Rekap SHU dan Jasa Simpanan'!BR83</f>
        <v>0</v>
      </c>
      <c r="K473" s="38"/>
    </row>
    <row r="474" spans="1:11" x14ac:dyDescent="0.2">
      <c r="A474" s="42"/>
      <c r="B474" s="31" t="s">
        <v>230</v>
      </c>
      <c r="C474" s="32" t="s">
        <v>231</v>
      </c>
      <c r="D474" s="33">
        <v>0</v>
      </c>
      <c r="E474" s="43"/>
      <c r="G474" s="39"/>
      <c r="H474" s="31" t="s">
        <v>230</v>
      </c>
      <c r="I474" s="32" t="s">
        <v>231</v>
      </c>
      <c r="J474" s="33">
        <v>0</v>
      </c>
      <c r="K474" s="43"/>
    </row>
    <row r="475" spans="1:11" x14ac:dyDescent="0.2">
      <c r="A475" s="39"/>
      <c r="B475" s="1" t="s">
        <v>5</v>
      </c>
      <c r="C475" s="2"/>
      <c r="D475" s="41">
        <f>SUM(D471:D474)</f>
        <v>663457.32270383229</v>
      </c>
      <c r="E475" s="38"/>
      <c r="G475" s="44"/>
      <c r="H475" s="1" t="s">
        <v>5</v>
      </c>
      <c r="I475" s="2"/>
      <c r="J475" s="41">
        <f>SUM(J471:J474)</f>
        <v>143701.40681384009</v>
      </c>
      <c r="K475" s="38"/>
    </row>
    <row r="476" spans="1:11" x14ac:dyDescent="0.2">
      <c r="A476" s="42"/>
      <c r="B476" s="31"/>
      <c r="C476" s="31"/>
      <c r="D476" s="31"/>
      <c r="E476" s="43"/>
      <c r="G476" s="42"/>
      <c r="H476" s="31"/>
      <c r="I476" s="31"/>
      <c r="J476" s="31"/>
      <c r="K476" s="43"/>
    </row>
    <row r="478" spans="1:11" x14ac:dyDescent="0.2">
      <c r="A478" s="34"/>
      <c r="B478" s="35"/>
      <c r="C478" s="35"/>
      <c r="D478" s="35"/>
      <c r="E478" s="36"/>
      <c r="G478" s="34"/>
      <c r="H478" s="35"/>
      <c r="I478" s="35"/>
      <c r="J478" s="35"/>
      <c r="K478" s="36"/>
    </row>
    <row r="479" spans="1:11" ht="13.5" x14ac:dyDescent="0.25">
      <c r="A479" s="146" t="s">
        <v>232</v>
      </c>
      <c r="B479" s="147"/>
      <c r="C479" s="147"/>
      <c r="D479" s="147"/>
      <c r="E479" s="148"/>
      <c r="G479" s="146" t="s">
        <v>232</v>
      </c>
      <c r="H479" s="147"/>
      <c r="I479" s="147"/>
      <c r="J479" s="147"/>
      <c r="K479" s="148"/>
    </row>
    <row r="480" spans="1:11" x14ac:dyDescent="0.2">
      <c r="A480" s="37"/>
      <c r="B480" s="2"/>
      <c r="C480" s="2"/>
      <c r="D480" s="2"/>
      <c r="E480" s="38"/>
      <c r="G480" s="39"/>
      <c r="H480" s="2"/>
      <c r="I480" s="2"/>
      <c r="J480" s="2"/>
      <c r="K480" s="38"/>
    </row>
    <row r="481" spans="1:11" x14ac:dyDescent="0.2">
      <c r="A481" s="39"/>
      <c r="B481" s="2" t="s">
        <v>228</v>
      </c>
      <c r="C481" s="1" t="s">
        <v>231</v>
      </c>
      <c r="D481" s="40">
        <f>'Rekap SHU dan Jasa Simpanan'!B84</f>
        <v>141</v>
      </c>
      <c r="E481" s="38"/>
      <c r="G481" s="39"/>
      <c r="H481" s="2" t="s">
        <v>228</v>
      </c>
      <c r="I481" s="1" t="s">
        <v>231</v>
      </c>
      <c r="J481" s="40">
        <f>'Rekap SHU dan Jasa Simpanan'!B85</f>
        <v>143</v>
      </c>
      <c r="K481" s="38"/>
    </row>
    <row r="482" spans="1:11" x14ac:dyDescent="0.2">
      <c r="A482" s="39"/>
      <c r="B482" s="2" t="s">
        <v>229</v>
      </c>
      <c r="C482" s="1" t="s">
        <v>231</v>
      </c>
      <c r="D482" s="7" t="str">
        <f>'Rekap SHU dan Jasa Simpanan'!C84</f>
        <v xml:space="preserve"> Ibu Yani Haryani</v>
      </c>
      <c r="E482" s="38"/>
      <c r="G482" s="39"/>
      <c r="H482" s="2" t="s">
        <v>229</v>
      </c>
      <c r="I482" s="1" t="s">
        <v>231</v>
      </c>
      <c r="J482" s="2" t="str">
        <f>'Rekap SHU dan Jasa Simpanan'!C85</f>
        <v xml:space="preserve"> Ade Tito</v>
      </c>
      <c r="K482" s="38"/>
    </row>
    <row r="483" spans="1:11" x14ac:dyDescent="0.2">
      <c r="A483" s="39"/>
      <c r="B483" s="2" t="s">
        <v>221</v>
      </c>
      <c r="C483" s="1" t="s">
        <v>231</v>
      </c>
      <c r="D483" s="41">
        <f>'Rekap SHU dan Jasa Simpanan'!BD84</f>
        <v>123270</v>
      </c>
      <c r="E483" s="38"/>
      <c r="G483" s="39"/>
      <c r="H483" s="2" t="s">
        <v>221</v>
      </c>
      <c r="I483" s="1" t="s">
        <v>231</v>
      </c>
      <c r="J483" s="41">
        <f>'Rekap SHU dan Jasa Simpanan'!BD85</f>
        <v>19300</v>
      </c>
      <c r="K483" s="38"/>
    </row>
    <row r="484" spans="1:11" x14ac:dyDescent="0.2">
      <c r="A484" s="39"/>
      <c r="B484" s="2" t="s">
        <v>223</v>
      </c>
      <c r="C484" s="1" t="s">
        <v>231</v>
      </c>
      <c r="D484" s="41">
        <f>'Rekap SHU dan Jasa Simpanan'!BQ84</f>
        <v>280543.88742217416</v>
      </c>
      <c r="E484" s="38"/>
      <c r="G484" s="39"/>
      <c r="H484" s="2" t="s">
        <v>223</v>
      </c>
      <c r="I484" s="1" t="s">
        <v>231</v>
      </c>
      <c r="J484" s="41">
        <f>'Rekap SHU dan Jasa Simpanan'!BQ85</f>
        <v>136109.68697039338</v>
      </c>
      <c r="K484" s="38"/>
    </row>
    <row r="485" spans="1:11" x14ac:dyDescent="0.2">
      <c r="A485" s="39"/>
      <c r="B485" s="10" t="s">
        <v>224</v>
      </c>
      <c r="C485" s="1" t="s">
        <v>231</v>
      </c>
      <c r="D485" s="41">
        <f>'Rekap SHU dan Jasa Simpanan'!BR84</f>
        <v>176894.25890631872</v>
      </c>
      <c r="E485" s="38"/>
      <c r="G485" s="39"/>
      <c r="H485" s="10" t="s">
        <v>224</v>
      </c>
      <c r="I485" s="1" t="s">
        <v>231</v>
      </c>
      <c r="J485" s="41">
        <f>'Rekap SHU dan Jasa Simpanan'!BR85</f>
        <v>196549.17656257635</v>
      </c>
      <c r="K485" s="38"/>
    </row>
    <row r="486" spans="1:11" x14ac:dyDescent="0.2">
      <c r="A486" s="42"/>
      <c r="B486" s="31" t="s">
        <v>230</v>
      </c>
      <c r="C486" s="32" t="s">
        <v>231</v>
      </c>
      <c r="D486" s="33">
        <v>0</v>
      </c>
      <c r="E486" s="43"/>
      <c r="G486" s="39"/>
      <c r="H486" s="31" t="s">
        <v>230</v>
      </c>
      <c r="I486" s="32" t="s">
        <v>231</v>
      </c>
      <c r="J486" s="33">
        <v>0</v>
      </c>
      <c r="K486" s="43"/>
    </row>
    <row r="487" spans="1:11" x14ac:dyDescent="0.2">
      <c r="A487" s="39"/>
      <c r="B487" s="1" t="s">
        <v>5</v>
      </c>
      <c r="C487" s="2"/>
      <c r="D487" s="41">
        <f>SUM(D483:D486)</f>
        <v>580708.14632849291</v>
      </c>
      <c r="E487" s="38"/>
      <c r="G487" s="44"/>
      <c r="H487" s="1" t="s">
        <v>5</v>
      </c>
      <c r="I487" s="2"/>
      <c r="J487" s="41">
        <f>SUM(J483:J486)</f>
        <v>351958.86353296973</v>
      </c>
      <c r="K487" s="38"/>
    </row>
    <row r="488" spans="1:11" x14ac:dyDescent="0.2">
      <c r="A488" s="42"/>
      <c r="B488" s="31"/>
      <c r="C488" s="31"/>
      <c r="D488" s="31"/>
      <c r="E488" s="43"/>
      <c r="G488" s="42"/>
      <c r="H488" s="31"/>
      <c r="I488" s="31"/>
      <c r="J488" s="31"/>
      <c r="K488" s="43"/>
    </row>
    <row r="490" spans="1:11" x14ac:dyDescent="0.2">
      <c r="A490" s="34"/>
      <c r="B490" s="35"/>
      <c r="C490" s="35"/>
      <c r="D490" s="35"/>
      <c r="E490" s="36"/>
      <c r="G490" s="34"/>
      <c r="H490" s="35"/>
      <c r="I490" s="35"/>
      <c r="J490" s="35"/>
      <c r="K490" s="36"/>
    </row>
    <row r="491" spans="1:11" ht="13.5" x14ac:dyDescent="0.25">
      <c r="A491" s="146" t="s">
        <v>232</v>
      </c>
      <c r="B491" s="147"/>
      <c r="C491" s="147"/>
      <c r="D491" s="147"/>
      <c r="E491" s="148"/>
      <c r="G491" s="146" t="s">
        <v>232</v>
      </c>
      <c r="H491" s="147"/>
      <c r="I491" s="147"/>
      <c r="J491" s="147"/>
      <c r="K491" s="148"/>
    </row>
    <row r="492" spans="1:11" x14ac:dyDescent="0.2">
      <c r="A492" s="37"/>
      <c r="B492" s="2"/>
      <c r="C492" s="2"/>
      <c r="D492" s="2"/>
      <c r="E492" s="38"/>
      <c r="G492" s="39"/>
      <c r="H492" s="2"/>
      <c r="I492" s="2"/>
      <c r="J492" s="2"/>
      <c r="K492" s="38"/>
    </row>
    <row r="493" spans="1:11" x14ac:dyDescent="0.2">
      <c r="A493" s="39"/>
      <c r="B493" s="2" t="s">
        <v>228</v>
      </c>
      <c r="C493" s="1" t="s">
        <v>231</v>
      </c>
      <c r="D493" s="40">
        <f>'Rekap SHU dan Jasa Simpanan'!B86</f>
        <v>145</v>
      </c>
      <c r="E493" s="38"/>
      <c r="G493" s="39"/>
      <c r="H493" s="2" t="s">
        <v>228</v>
      </c>
      <c r="I493" s="1" t="s">
        <v>231</v>
      </c>
      <c r="J493" s="40">
        <f>'Rekap SHU dan Jasa Simpanan'!B87</f>
        <v>146</v>
      </c>
      <c r="K493" s="38"/>
    </row>
    <row r="494" spans="1:11" x14ac:dyDescent="0.2">
      <c r="A494" s="39"/>
      <c r="B494" s="2" t="s">
        <v>229</v>
      </c>
      <c r="C494" s="1" t="s">
        <v>231</v>
      </c>
      <c r="D494" s="7" t="str">
        <f>'Rekap SHU dan Jasa Simpanan'!C86</f>
        <v xml:space="preserve"> Ibu Endang Suwardi</v>
      </c>
      <c r="E494" s="38"/>
      <c r="G494" s="39"/>
      <c r="H494" s="2" t="s">
        <v>229</v>
      </c>
      <c r="I494" s="1" t="s">
        <v>231</v>
      </c>
      <c r="J494" s="2" t="str">
        <f>'Rekap SHU dan Jasa Simpanan'!C87</f>
        <v xml:space="preserve"> Ibu Dede Wawan S</v>
      </c>
      <c r="K494" s="38"/>
    </row>
    <row r="495" spans="1:11" x14ac:dyDescent="0.2">
      <c r="A495" s="39"/>
      <c r="B495" s="2" t="s">
        <v>221</v>
      </c>
      <c r="C495" s="1" t="s">
        <v>231</v>
      </c>
      <c r="D495" s="41">
        <f>'Rekap SHU dan Jasa Simpanan'!BD86</f>
        <v>221070</v>
      </c>
      <c r="E495" s="38"/>
      <c r="G495" s="39"/>
      <c r="H495" s="2" t="s">
        <v>221</v>
      </c>
      <c r="I495" s="1" t="s">
        <v>231</v>
      </c>
      <c r="J495" s="41">
        <f>'Rekap SHU dan Jasa Simpanan'!BD87</f>
        <v>105350</v>
      </c>
      <c r="K495" s="38"/>
    </row>
    <row r="496" spans="1:11" x14ac:dyDescent="0.2">
      <c r="A496" s="39"/>
      <c r="B496" s="2" t="s">
        <v>223</v>
      </c>
      <c r="C496" s="1" t="s">
        <v>231</v>
      </c>
      <c r="D496" s="41">
        <f>'Rekap SHU dan Jasa Simpanan'!BQ86</f>
        <v>376754.72856850142</v>
      </c>
      <c r="E496" s="38"/>
      <c r="G496" s="39"/>
      <c r="H496" s="2" t="s">
        <v>223</v>
      </c>
      <c r="I496" s="1" t="s">
        <v>231</v>
      </c>
      <c r="J496" s="41">
        <f>'Rekap SHU dan Jasa Simpanan'!BQ87</f>
        <v>251585.84017450403</v>
      </c>
      <c r="K496" s="38"/>
    </row>
    <row r="497" spans="1:11" x14ac:dyDescent="0.2">
      <c r="A497" s="39"/>
      <c r="B497" s="10" t="s">
        <v>224</v>
      </c>
      <c r="C497" s="1" t="s">
        <v>231</v>
      </c>
      <c r="D497" s="41">
        <f>'Rekap SHU dan Jasa Simpanan'!BR86</f>
        <v>91722.949062535641</v>
      </c>
      <c r="E497" s="38"/>
      <c r="G497" s="39"/>
      <c r="H497" s="10" t="s">
        <v>224</v>
      </c>
      <c r="I497" s="1" t="s">
        <v>231</v>
      </c>
      <c r="J497" s="41">
        <f>'Rekap SHU dan Jasa Simpanan'!BR87</f>
        <v>0</v>
      </c>
      <c r="K497" s="38"/>
    </row>
    <row r="498" spans="1:11" x14ac:dyDescent="0.2">
      <c r="A498" s="42"/>
      <c r="B498" s="31" t="s">
        <v>230</v>
      </c>
      <c r="C498" s="32" t="s">
        <v>231</v>
      </c>
      <c r="D498" s="33">
        <v>0</v>
      </c>
      <c r="E498" s="43"/>
      <c r="G498" s="39"/>
      <c r="H498" s="31" t="s">
        <v>230</v>
      </c>
      <c r="I498" s="32" t="s">
        <v>231</v>
      </c>
      <c r="J498" s="33">
        <v>0</v>
      </c>
      <c r="K498" s="43"/>
    </row>
    <row r="499" spans="1:11" x14ac:dyDescent="0.2">
      <c r="A499" s="39"/>
      <c r="B499" s="1" t="s">
        <v>5</v>
      </c>
      <c r="C499" s="2"/>
      <c r="D499" s="41">
        <f>SUM(D495:D498)</f>
        <v>689547.67763103708</v>
      </c>
      <c r="E499" s="38"/>
      <c r="G499" s="44"/>
      <c r="H499" s="1" t="s">
        <v>5</v>
      </c>
      <c r="I499" s="2"/>
      <c r="J499" s="41">
        <f>SUM(J495:J498)</f>
        <v>356935.84017450403</v>
      </c>
      <c r="K499" s="38"/>
    </row>
    <row r="500" spans="1:11" x14ac:dyDescent="0.2">
      <c r="A500" s="42"/>
      <c r="B500" s="31"/>
      <c r="C500" s="31"/>
      <c r="D500" s="31"/>
      <c r="E500" s="43"/>
      <c r="G500" s="42"/>
      <c r="H500" s="31"/>
      <c r="I500" s="31"/>
      <c r="J500" s="31"/>
      <c r="K500" s="43"/>
    </row>
    <row r="505" spans="1:11" x14ac:dyDescent="0.2">
      <c r="A505" s="34"/>
      <c r="B505" s="35"/>
      <c r="C505" s="35"/>
      <c r="D505" s="35"/>
      <c r="E505" s="36"/>
      <c r="G505" s="34"/>
      <c r="H505" s="35"/>
      <c r="I505" s="35"/>
      <c r="J505" s="35"/>
      <c r="K505" s="36"/>
    </row>
    <row r="506" spans="1:11" ht="13.5" x14ac:dyDescent="0.25">
      <c r="A506" s="146" t="s">
        <v>232</v>
      </c>
      <c r="B506" s="147"/>
      <c r="C506" s="147"/>
      <c r="D506" s="147"/>
      <c r="E506" s="148"/>
      <c r="G506" s="146" t="s">
        <v>232</v>
      </c>
      <c r="H506" s="147"/>
      <c r="I506" s="147"/>
      <c r="J506" s="147"/>
      <c r="K506" s="148"/>
    </row>
    <row r="507" spans="1:11" x14ac:dyDescent="0.2">
      <c r="A507" s="37"/>
      <c r="B507" s="2"/>
      <c r="C507" s="2"/>
      <c r="D507" s="2"/>
      <c r="E507" s="38"/>
      <c r="G507" s="39"/>
      <c r="H507" s="2"/>
      <c r="I507" s="2"/>
      <c r="J507" s="2"/>
      <c r="K507" s="38"/>
    </row>
    <row r="508" spans="1:11" x14ac:dyDescent="0.2">
      <c r="A508" s="39"/>
      <c r="B508" s="2" t="s">
        <v>228</v>
      </c>
      <c r="C508" s="1" t="s">
        <v>231</v>
      </c>
      <c r="D508" s="40">
        <f>'Rekap SHU dan Jasa Simpanan'!B88</f>
        <v>148</v>
      </c>
      <c r="E508" s="38"/>
      <c r="G508" s="39"/>
      <c r="H508" s="2" t="s">
        <v>228</v>
      </c>
      <c r="I508" s="1" t="s">
        <v>231</v>
      </c>
      <c r="J508" s="40">
        <f>'Rekap SHU dan Jasa Simpanan'!B89</f>
        <v>149</v>
      </c>
      <c r="K508" s="38"/>
    </row>
    <row r="509" spans="1:11" x14ac:dyDescent="0.2">
      <c r="A509" s="39"/>
      <c r="B509" s="2" t="s">
        <v>229</v>
      </c>
      <c r="C509" s="1" t="s">
        <v>231</v>
      </c>
      <c r="D509" s="2" t="str">
        <f>'Rekap SHU dan Jasa Simpanan'!C88</f>
        <v xml:space="preserve"> Supartini</v>
      </c>
      <c r="E509" s="38"/>
      <c r="G509" s="39"/>
      <c r="H509" s="2" t="s">
        <v>229</v>
      </c>
      <c r="I509" s="1" t="s">
        <v>231</v>
      </c>
      <c r="J509" s="2" t="str">
        <f>'Rekap SHU dan Jasa Simpanan'!C89</f>
        <v xml:space="preserve"> Adi Putra Candra</v>
      </c>
      <c r="K509" s="38"/>
    </row>
    <row r="510" spans="1:11" x14ac:dyDescent="0.2">
      <c r="A510" s="39"/>
      <c r="B510" s="2" t="s">
        <v>221</v>
      </c>
      <c r="C510" s="1" t="s">
        <v>231</v>
      </c>
      <c r="D510" s="41">
        <f>'Rekap SHU dan Jasa Simpanan'!BD88</f>
        <v>500000</v>
      </c>
      <c r="E510" s="38"/>
      <c r="G510" s="39"/>
      <c r="H510" s="2" t="s">
        <v>221</v>
      </c>
      <c r="I510" s="1" t="s">
        <v>231</v>
      </c>
      <c r="J510" s="41">
        <f>'Rekap SHU dan Jasa Simpanan'!BD89</f>
        <v>2220</v>
      </c>
      <c r="K510" s="38"/>
    </row>
    <row r="511" spans="1:11" x14ac:dyDescent="0.2">
      <c r="A511" s="39"/>
      <c r="B511" s="2" t="s">
        <v>223</v>
      </c>
      <c r="C511" s="1" t="s">
        <v>231</v>
      </c>
      <c r="D511" s="41">
        <f>'Rekap SHU dan Jasa Simpanan'!BQ88</f>
        <v>659476.69020743645</v>
      </c>
      <c r="E511" s="38"/>
      <c r="G511" s="39"/>
      <c r="H511" s="2" t="s">
        <v>223</v>
      </c>
      <c r="I511" s="1" t="s">
        <v>231</v>
      </c>
      <c r="J511" s="41">
        <f>'Rekap SHU dan Jasa Simpanan'!BQ89</f>
        <v>114635.27145275899</v>
      </c>
      <c r="K511" s="38"/>
    </row>
    <row r="512" spans="1:11" x14ac:dyDescent="0.2">
      <c r="A512" s="39"/>
      <c r="B512" s="10" t="s">
        <v>224</v>
      </c>
      <c r="C512" s="1" t="s">
        <v>231</v>
      </c>
      <c r="D512" s="41">
        <f>'Rekap SHU dan Jasa Simpanan'!BR88</f>
        <v>229307.37265633908</v>
      </c>
      <c r="E512" s="38"/>
      <c r="G512" s="39"/>
      <c r="H512" s="10" t="s">
        <v>224</v>
      </c>
      <c r="I512" s="1" t="s">
        <v>231</v>
      </c>
      <c r="J512" s="41">
        <f>'Rekap SHU dan Jasa Simpanan'!BR89</f>
        <v>196549.17656257635</v>
      </c>
      <c r="K512" s="38"/>
    </row>
    <row r="513" spans="1:11" x14ac:dyDescent="0.2">
      <c r="A513" s="42"/>
      <c r="B513" s="31" t="s">
        <v>230</v>
      </c>
      <c r="C513" s="32" t="s">
        <v>231</v>
      </c>
      <c r="D513" s="33">
        <v>50000</v>
      </c>
      <c r="E513" s="43"/>
      <c r="G513" s="39"/>
      <c r="H513" s="31" t="s">
        <v>230</v>
      </c>
      <c r="I513" s="32" t="s">
        <v>231</v>
      </c>
      <c r="J513" s="33">
        <v>0</v>
      </c>
      <c r="K513" s="43"/>
    </row>
    <row r="514" spans="1:11" x14ac:dyDescent="0.2">
      <c r="A514" s="39"/>
      <c r="B514" s="1" t="s">
        <v>5</v>
      </c>
      <c r="C514" s="2"/>
      <c r="D514" s="41">
        <f>SUM(D510:D513)</f>
        <v>1438784.0628637755</v>
      </c>
      <c r="E514" s="38"/>
      <c r="G514" s="44"/>
      <c r="H514" s="1" t="s">
        <v>5</v>
      </c>
      <c r="I514" s="2"/>
      <c r="J514" s="41">
        <f>SUM(J510:J513)</f>
        <v>313404.44801533537</v>
      </c>
      <c r="K514" s="38"/>
    </row>
    <row r="515" spans="1:11" x14ac:dyDescent="0.2">
      <c r="A515" s="42"/>
      <c r="B515" s="31"/>
      <c r="C515" s="31"/>
      <c r="D515" s="31"/>
      <c r="E515" s="43"/>
      <c r="G515" s="42"/>
      <c r="H515" s="31"/>
      <c r="I515" s="31"/>
      <c r="J515" s="31"/>
      <c r="K515" s="43"/>
    </row>
    <row r="517" spans="1:11" x14ac:dyDescent="0.2">
      <c r="A517" s="34"/>
      <c r="B517" s="35"/>
      <c r="C517" s="35"/>
      <c r="D517" s="35"/>
      <c r="E517" s="36"/>
      <c r="G517" s="34"/>
      <c r="H517" s="35"/>
      <c r="I517" s="35"/>
      <c r="J517" s="35"/>
      <c r="K517" s="36"/>
    </row>
    <row r="518" spans="1:11" ht="13.5" x14ac:dyDescent="0.25">
      <c r="A518" s="146" t="s">
        <v>232</v>
      </c>
      <c r="B518" s="147"/>
      <c r="C518" s="147"/>
      <c r="D518" s="147"/>
      <c r="E518" s="148"/>
      <c r="G518" s="146" t="s">
        <v>232</v>
      </c>
      <c r="H518" s="147"/>
      <c r="I518" s="147"/>
      <c r="J518" s="147"/>
      <c r="K518" s="148"/>
    </row>
    <row r="519" spans="1:11" x14ac:dyDescent="0.2">
      <c r="A519" s="37"/>
      <c r="B519" s="2"/>
      <c r="C519" s="2"/>
      <c r="D519" s="2"/>
      <c r="E519" s="38"/>
      <c r="G519" s="39"/>
      <c r="H519" s="2"/>
      <c r="I519" s="2"/>
      <c r="J519" s="2"/>
      <c r="K519" s="38"/>
    </row>
    <row r="520" spans="1:11" x14ac:dyDescent="0.2">
      <c r="A520" s="39"/>
      <c r="B520" s="2" t="s">
        <v>228</v>
      </c>
      <c r="C520" s="1" t="s">
        <v>231</v>
      </c>
      <c r="D520" s="40">
        <f>'Rekap SHU dan Jasa Simpanan'!B90</f>
        <v>150</v>
      </c>
      <c r="E520" s="38"/>
      <c r="G520" s="39"/>
      <c r="H520" s="2" t="s">
        <v>228</v>
      </c>
      <c r="I520" s="1" t="s">
        <v>231</v>
      </c>
      <c r="J520" s="40">
        <f>'Rekap SHU dan Jasa Simpanan'!B91</f>
        <v>151</v>
      </c>
      <c r="K520" s="38"/>
    </row>
    <row r="521" spans="1:11" x14ac:dyDescent="0.2">
      <c r="A521" s="39"/>
      <c r="B521" s="2" t="s">
        <v>229</v>
      </c>
      <c r="C521" s="1" t="s">
        <v>231</v>
      </c>
      <c r="D521" s="7" t="str">
        <f>'Rekap SHU dan Jasa Simpanan'!C90</f>
        <v xml:space="preserve"> Ganda Suganda</v>
      </c>
      <c r="E521" s="38"/>
      <c r="G521" s="39"/>
      <c r="H521" s="2" t="s">
        <v>229</v>
      </c>
      <c r="I521" s="1" t="s">
        <v>231</v>
      </c>
      <c r="J521" s="2" t="str">
        <f>'Rekap SHU dan Jasa Simpanan'!C91</f>
        <v xml:space="preserve"> Muslih</v>
      </c>
      <c r="K521" s="38"/>
    </row>
    <row r="522" spans="1:11" x14ac:dyDescent="0.2">
      <c r="A522" s="39"/>
      <c r="B522" s="2" t="s">
        <v>221</v>
      </c>
      <c r="C522" s="1" t="s">
        <v>231</v>
      </c>
      <c r="D522" s="41">
        <f>'Rekap SHU dan Jasa Simpanan'!BD90</f>
        <v>510500</v>
      </c>
      <c r="E522" s="38"/>
      <c r="G522" s="39"/>
      <c r="H522" s="2" t="s">
        <v>221</v>
      </c>
      <c r="I522" s="1" t="s">
        <v>231</v>
      </c>
      <c r="J522" s="41">
        <f>'Rekap SHU dan Jasa Simpanan'!BD91</f>
        <v>345760</v>
      </c>
      <c r="K522" s="38"/>
    </row>
    <row r="523" spans="1:11" x14ac:dyDescent="0.2">
      <c r="A523" s="39"/>
      <c r="B523" s="2" t="s">
        <v>223</v>
      </c>
      <c r="C523" s="1" t="s">
        <v>231</v>
      </c>
      <c r="D523" s="41">
        <f>'Rekap SHU dan Jasa Simpanan'!BQ90</f>
        <v>629953.47360440437</v>
      </c>
      <c r="E523" s="38"/>
      <c r="G523" s="39"/>
      <c r="H523" s="2" t="s">
        <v>223</v>
      </c>
      <c r="I523" s="1" t="s">
        <v>231</v>
      </c>
      <c r="J523" s="41">
        <f>'Rekap SHU dan Jasa Simpanan'!BQ91</f>
        <v>460006.80606347165</v>
      </c>
      <c r="K523" s="38"/>
    </row>
    <row r="524" spans="1:11" x14ac:dyDescent="0.2">
      <c r="A524" s="39"/>
      <c r="B524" s="10" t="s">
        <v>224</v>
      </c>
      <c r="C524" s="1" t="s">
        <v>231</v>
      </c>
      <c r="D524" s="41">
        <f>'Rekap SHU dan Jasa Simpanan'!BR90</f>
        <v>196549.17656257635</v>
      </c>
      <c r="E524" s="38"/>
      <c r="G524" s="39"/>
      <c r="H524" s="10" t="s">
        <v>224</v>
      </c>
      <c r="I524" s="1" t="s">
        <v>231</v>
      </c>
      <c r="J524" s="41">
        <f>'Rekap SHU dan Jasa Simpanan'!BR91</f>
        <v>117929.50593754582</v>
      </c>
      <c r="K524" s="38"/>
    </row>
    <row r="525" spans="1:11" x14ac:dyDescent="0.2">
      <c r="A525" s="42"/>
      <c r="B525" s="31" t="s">
        <v>230</v>
      </c>
      <c r="C525" s="32" t="s">
        <v>231</v>
      </c>
      <c r="D525" s="33">
        <v>0</v>
      </c>
      <c r="E525" s="43"/>
      <c r="G525" s="39"/>
      <c r="H525" s="31" t="s">
        <v>230</v>
      </c>
      <c r="I525" s="32" t="s">
        <v>231</v>
      </c>
      <c r="J525" s="33">
        <v>0</v>
      </c>
      <c r="K525" s="43"/>
    </row>
    <row r="526" spans="1:11" x14ac:dyDescent="0.2">
      <c r="A526" s="39"/>
      <c r="B526" s="1" t="s">
        <v>5</v>
      </c>
      <c r="C526" s="2"/>
      <c r="D526" s="41">
        <f>SUM(D522:D525)</f>
        <v>1337002.6501669807</v>
      </c>
      <c r="E526" s="38"/>
      <c r="G526" s="44"/>
      <c r="H526" s="1" t="s">
        <v>5</v>
      </c>
      <c r="I526" s="2"/>
      <c r="J526" s="41">
        <f>SUM(J522:J525)</f>
        <v>923696.31200101739</v>
      </c>
      <c r="K526" s="38"/>
    </row>
    <row r="527" spans="1:11" x14ac:dyDescent="0.2">
      <c r="A527" s="42"/>
      <c r="B527" s="31"/>
      <c r="C527" s="31"/>
      <c r="D527" s="31"/>
      <c r="E527" s="43"/>
      <c r="G527" s="42"/>
      <c r="H527" s="31"/>
      <c r="I527" s="31"/>
      <c r="J527" s="31"/>
      <c r="K527" s="43"/>
    </row>
    <row r="529" spans="1:11" x14ac:dyDescent="0.2">
      <c r="A529" s="34"/>
      <c r="B529" s="35"/>
      <c r="C529" s="35"/>
      <c r="D529" s="35"/>
      <c r="E529" s="36"/>
      <c r="G529" s="34"/>
      <c r="H529" s="35"/>
      <c r="I529" s="35"/>
      <c r="J529" s="35"/>
      <c r="K529" s="36"/>
    </row>
    <row r="530" spans="1:11" ht="13.5" x14ac:dyDescent="0.25">
      <c r="A530" s="146" t="s">
        <v>232</v>
      </c>
      <c r="B530" s="147"/>
      <c r="C530" s="147"/>
      <c r="D530" s="147"/>
      <c r="E530" s="148"/>
      <c r="G530" s="146" t="s">
        <v>232</v>
      </c>
      <c r="H530" s="147"/>
      <c r="I530" s="147"/>
      <c r="J530" s="147"/>
      <c r="K530" s="148"/>
    </row>
    <row r="531" spans="1:11" x14ac:dyDescent="0.2">
      <c r="A531" s="37"/>
      <c r="B531" s="2"/>
      <c r="C531" s="2"/>
      <c r="D531" s="2"/>
      <c r="E531" s="38"/>
      <c r="G531" s="39"/>
      <c r="H531" s="2"/>
      <c r="I531" s="2"/>
      <c r="J531" s="2"/>
      <c r="K531" s="38"/>
    </row>
    <row r="532" spans="1:11" x14ac:dyDescent="0.2">
      <c r="A532" s="39"/>
      <c r="B532" s="2" t="s">
        <v>228</v>
      </c>
      <c r="C532" s="1" t="s">
        <v>231</v>
      </c>
      <c r="D532" s="40">
        <f>'Rekap SHU dan Jasa Simpanan'!B92</f>
        <v>152</v>
      </c>
      <c r="E532" s="38"/>
      <c r="G532" s="39"/>
      <c r="H532" s="2" t="s">
        <v>228</v>
      </c>
      <c r="I532" s="1" t="s">
        <v>231</v>
      </c>
      <c r="J532" s="40">
        <f>'Rekap SHU dan Jasa Simpanan'!B93</f>
        <v>153</v>
      </c>
      <c r="K532" s="38"/>
    </row>
    <row r="533" spans="1:11" x14ac:dyDescent="0.2">
      <c r="A533" s="39"/>
      <c r="B533" s="2" t="s">
        <v>229</v>
      </c>
      <c r="C533" s="1" t="s">
        <v>231</v>
      </c>
      <c r="D533" s="7" t="str">
        <f>'Rekap SHU dan Jasa Simpanan'!C92</f>
        <v xml:space="preserve"> Deni Sutisna</v>
      </c>
      <c r="E533" s="38"/>
      <c r="G533" s="39"/>
      <c r="H533" s="2" t="s">
        <v>229</v>
      </c>
      <c r="I533" s="1" t="s">
        <v>231</v>
      </c>
      <c r="J533" s="2" t="str">
        <f>'Rekap SHU dan Jasa Simpanan'!C93</f>
        <v xml:space="preserve"> Jaenudin (jae)</v>
      </c>
      <c r="K533" s="38"/>
    </row>
    <row r="534" spans="1:11" x14ac:dyDescent="0.2">
      <c r="A534" s="39"/>
      <c r="B534" s="2" t="s">
        <v>221</v>
      </c>
      <c r="C534" s="1" t="s">
        <v>231</v>
      </c>
      <c r="D534" s="41">
        <f>'Rekap SHU dan Jasa Simpanan'!BD92</f>
        <v>16790</v>
      </c>
      <c r="E534" s="38"/>
      <c r="G534" s="39"/>
      <c r="H534" s="2" t="s">
        <v>221</v>
      </c>
      <c r="I534" s="1" t="s">
        <v>231</v>
      </c>
      <c r="J534" s="41">
        <f>'Rekap SHU dan Jasa Simpanan'!BD93</f>
        <v>35750</v>
      </c>
      <c r="K534" s="38"/>
    </row>
    <row r="535" spans="1:11" x14ac:dyDescent="0.2">
      <c r="A535" s="39"/>
      <c r="B535" s="2" t="s">
        <v>223</v>
      </c>
      <c r="C535" s="1" t="s">
        <v>231</v>
      </c>
      <c r="D535" s="41">
        <f>'Rekap SHU dan Jasa Simpanan'!BQ92</f>
        <v>125763.48847919589</v>
      </c>
      <c r="E535" s="38"/>
      <c r="G535" s="39"/>
      <c r="H535" s="2" t="s">
        <v>223</v>
      </c>
      <c r="I535" s="1" t="s">
        <v>231</v>
      </c>
      <c r="J535" s="41">
        <f>'Rekap SHU dan Jasa Simpanan'!BQ93</f>
        <v>145639.54444955965</v>
      </c>
      <c r="K535" s="38"/>
    </row>
    <row r="536" spans="1:11" x14ac:dyDescent="0.2">
      <c r="A536" s="39"/>
      <c r="B536" s="10" t="s">
        <v>224</v>
      </c>
      <c r="C536" s="1" t="s">
        <v>231</v>
      </c>
      <c r="D536" s="41">
        <f>'Rekap SHU dan Jasa Simpanan'!BR92</f>
        <v>196549.17656257635</v>
      </c>
      <c r="E536" s="38"/>
      <c r="G536" s="39"/>
      <c r="H536" s="10" t="s">
        <v>224</v>
      </c>
      <c r="I536" s="1" t="s">
        <v>231</v>
      </c>
      <c r="J536" s="41">
        <f>'Rekap SHU dan Jasa Simpanan'!BR93</f>
        <v>196549.17656257635</v>
      </c>
      <c r="K536" s="38"/>
    </row>
    <row r="537" spans="1:11" x14ac:dyDescent="0.2">
      <c r="A537" s="42"/>
      <c r="B537" s="31" t="s">
        <v>230</v>
      </c>
      <c r="C537" s="32" t="s">
        <v>231</v>
      </c>
      <c r="D537" s="33">
        <v>0</v>
      </c>
      <c r="E537" s="43"/>
      <c r="G537" s="39"/>
      <c r="H537" s="31" t="s">
        <v>230</v>
      </c>
      <c r="I537" s="32" t="s">
        <v>231</v>
      </c>
      <c r="J537" s="33">
        <v>0</v>
      </c>
      <c r="K537" s="43"/>
    </row>
    <row r="538" spans="1:11" x14ac:dyDescent="0.2">
      <c r="A538" s="39"/>
      <c r="B538" s="1" t="s">
        <v>5</v>
      </c>
      <c r="C538" s="2"/>
      <c r="D538" s="41">
        <f>SUM(D534:D537)</f>
        <v>339102.66504177224</v>
      </c>
      <c r="E538" s="38"/>
      <c r="G538" s="44"/>
      <c r="H538" s="1" t="s">
        <v>5</v>
      </c>
      <c r="I538" s="2"/>
      <c r="J538" s="41">
        <f>SUM(J534:J537)</f>
        <v>377938.72101213597</v>
      </c>
      <c r="K538" s="38"/>
    </row>
    <row r="539" spans="1:11" x14ac:dyDescent="0.2">
      <c r="A539" s="42"/>
      <c r="B539" s="31"/>
      <c r="C539" s="31"/>
      <c r="D539" s="31"/>
      <c r="E539" s="43"/>
      <c r="G539" s="42"/>
      <c r="H539" s="31"/>
      <c r="I539" s="31"/>
      <c r="J539" s="31"/>
      <c r="K539" s="43"/>
    </row>
    <row r="541" spans="1:11" x14ac:dyDescent="0.2">
      <c r="A541" s="34"/>
      <c r="B541" s="35"/>
      <c r="C541" s="35"/>
      <c r="D541" s="35"/>
      <c r="E541" s="36"/>
      <c r="G541" s="34"/>
      <c r="H541" s="35"/>
      <c r="I541" s="35"/>
      <c r="J541" s="35"/>
      <c r="K541" s="36"/>
    </row>
    <row r="542" spans="1:11" ht="13.5" x14ac:dyDescent="0.25">
      <c r="A542" s="146" t="s">
        <v>232</v>
      </c>
      <c r="B542" s="147"/>
      <c r="C542" s="147"/>
      <c r="D542" s="147"/>
      <c r="E542" s="148"/>
      <c r="G542" s="146" t="s">
        <v>232</v>
      </c>
      <c r="H542" s="147"/>
      <c r="I542" s="147"/>
      <c r="J542" s="147"/>
      <c r="K542" s="148"/>
    </row>
    <row r="543" spans="1:11" x14ac:dyDescent="0.2">
      <c r="A543" s="37"/>
      <c r="B543" s="2"/>
      <c r="C543" s="2"/>
      <c r="D543" s="2"/>
      <c r="E543" s="38"/>
      <c r="G543" s="39"/>
      <c r="H543" s="2"/>
      <c r="I543" s="2"/>
      <c r="J543" s="2"/>
      <c r="K543" s="38"/>
    </row>
    <row r="544" spans="1:11" x14ac:dyDescent="0.2">
      <c r="A544" s="39"/>
      <c r="B544" s="2" t="s">
        <v>228</v>
      </c>
      <c r="C544" s="1" t="s">
        <v>231</v>
      </c>
      <c r="D544" s="40">
        <f>'Rekap SHU dan Jasa Simpanan'!B94</f>
        <v>155</v>
      </c>
      <c r="E544" s="38"/>
      <c r="G544" s="39"/>
      <c r="H544" s="2" t="s">
        <v>228</v>
      </c>
      <c r="I544" s="1" t="s">
        <v>231</v>
      </c>
      <c r="J544" s="40">
        <f>'Rekap SHU dan Jasa Simpanan'!B95</f>
        <v>156</v>
      </c>
      <c r="K544" s="38"/>
    </row>
    <row r="545" spans="1:11" x14ac:dyDescent="0.2">
      <c r="A545" s="39"/>
      <c r="B545" s="2" t="s">
        <v>229</v>
      </c>
      <c r="C545" s="1" t="s">
        <v>231</v>
      </c>
      <c r="D545" s="7" t="str">
        <f>'Rekap SHU dan Jasa Simpanan'!C94</f>
        <v xml:space="preserve"> Mamat Rohmat</v>
      </c>
      <c r="E545" s="38"/>
      <c r="G545" s="39"/>
      <c r="H545" s="2" t="s">
        <v>229</v>
      </c>
      <c r="I545" s="1" t="s">
        <v>231</v>
      </c>
      <c r="J545" s="2" t="str">
        <f>'Rekap SHU dan Jasa Simpanan'!C95</f>
        <v xml:space="preserve"> Ibu Otim</v>
      </c>
      <c r="K545" s="38"/>
    </row>
    <row r="546" spans="1:11" x14ac:dyDescent="0.2">
      <c r="A546" s="39"/>
      <c r="B546" s="2" t="s">
        <v>221</v>
      </c>
      <c r="C546" s="1" t="s">
        <v>231</v>
      </c>
      <c r="D546" s="41">
        <f>'Rekap SHU dan Jasa Simpanan'!BD94</f>
        <v>6800</v>
      </c>
      <c r="E546" s="38"/>
      <c r="G546" s="39"/>
      <c r="H546" s="2" t="s">
        <v>221</v>
      </c>
      <c r="I546" s="1" t="s">
        <v>231</v>
      </c>
      <c r="J546" s="41">
        <f>'Rekap SHU dan Jasa Simpanan'!BD95</f>
        <v>58852.5</v>
      </c>
      <c r="K546" s="38"/>
    </row>
    <row r="547" spans="1:11" x14ac:dyDescent="0.2">
      <c r="A547" s="39"/>
      <c r="B547" s="2" t="s">
        <v>223</v>
      </c>
      <c r="C547" s="1" t="s">
        <v>231</v>
      </c>
      <c r="D547" s="41">
        <f>'Rekap SHU dan Jasa Simpanan'!BQ94</f>
        <v>116508.40247383591</v>
      </c>
      <c r="E547" s="38"/>
      <c r="G547" s="39"/>
      <c r="H547" s="2" t="s">
        <v>223</v>
      </c>
      <c r="I547" s="1" t="s">
        <v>231</v>
      </c>
      <c r="J547" s="41">
        <f>'Rekap SHU dan Jasa Simpanan'!BQ95</f>
        <v>158952.89601897859</v>
      </c>
      <c r="K547" s="38"/>
    </row>
    <row r="548" spans="1:11" x14ac:dyDescent="0.2">
      <c r="A548" s="39"/>
      <c r="B548" s="10" t="s">
        <v>224</v>
      </c>
      <c r="C548" s="1" t="s">
        <v>231</v>
      </c>
      <c r="D548" s="41">
        <f>'Rekap SHU dan Jasa Simpanan'!BR94</f>
        <v>65516.392187525453</v>
      </c>
      <c r="E548" s="38"/>
      <c r="G548" s="39"/>
      <c r="H548" s="10" t="s">
        <v>224</v>
      </c>
      <c r="I548" s="1" t="s">
        <v>231</v>
      </c>
      <c r="J548" s="41">
        <f>'Rekap SHU dan Jasa Simpanan'!BR95</f>
        <v>157239.34125006109</v>
      </c>
      <c r="K548" s="38"/>
    </row>
    <row r="549" spans="1:11" x14ac:dyDescent="0.2">
      <c r="A549" s="42"/>
      <c r="B549" s="31" t="s">
        <v>230</v>
      </c>
      <c r="C549" s="32" t="s">
        <v>231</v>
      </c>
      <c r="D549" s="33">
        <v>0</v>
      </c>
      <c r="E549" s="43"/>
      <c r="G549" s="39"/>
      <c r="H549" s="31" t="s">
        <v>230</v>
      </c>
      <c r="I549" s="32" t="s">
        <v>231</v>
      </c>
      <c r="J549" s="33">
        <v>0</v>
      </c>
      <c r="K549" s="43"/>
    </row>
    <row r="550" spans="1:11" x14ac:dyDescent="0.2">
      <c r="A550" s="39"/>
      <c r="B550" s="1" t="s">
        <v>5</v>
      </c>
      <c r="C550" s="2"/>
      <c r="D550" s="41">
        <f>SUM(D546:D549)</f>
        <v>188824.79466136137</v>
      </c>
      <c r="E550" s="38"/>
      <c r="G550" s="44"/>
      <c r="H550" s="1" t="s">
        <v>5</v>
      </c>
      <c r="I550" s="2"/>
      <c r="J550" s="41">
        <f>SUM(J546:J549)</f>
        <v>375044.73726903967</v>
      </c>
      <c r="K550" s="38"/>
    </row>
    <row r="551" spans="1:11" x14ac:dyDescent="0.2">
      <c r="A551" s="42"/>
      <c r="B551" s="31"/>
      <c r="C551" s="31"/>
      <c r="D551" s="31"/>
      <c r="E551" s="43"/>
      <c r="G551" s="42"/>
      <c r="H551" s="31"/>
      <c r="I551" s="31"/>
      <c r="J551" s="31"/>
      <c r="K551" s="43"/>
    </row>
    <row r="553" spans="1:11" x14ac:dyDescent="0.2">
      <c r="A553" s="34"/>
      <c r="B553" s="35"/>
      <c r="C553" s="35"/>
      <c r="D553" s="35"/>
      <c r="E553" s="36"/>
      <c r="G553" s="34"/>
      <c r="H553" s="35"/>
      <c r="I553" s="35"/>
      <c r="J553" s="35"/>
      <c r="K553" s="36"/>
    </row>
    <row r="554" spans="1:11" ht="13.5" x14ac:dyDescent="0.25">
      <c r="A554" s="146" t="s">
        <v>232</v>
      </c>
      <c r="B554" s="147"/>
      <c r="C554" s="147"/>
      <c r="D554" s="147"/>
      <c r="E554" s="148"/>
      <c r="G554" s="146" t="s">
        <v>232</v>
      </c>
      <c r="H554" s="147"/>
      <c r="I554" s="147"/>
      <c r="J554" s="147"/>
      <c r="K554" s="148"/>
    </row>
    <row r="555" spans="1:11" x14ac:dyDescent="0.2">
      <c r="A555" s="37"/>
      <c r="B555" s="2"/>
      <c r="C555" s="2"/>
      <c r="D555" s="2"/>
      <c r="E555" s="38"/>
      <c r="G555" s="39"/>
      <c r="H555" s="2"/>
      <c r="I555" s="2"/>
      <c r="J555" s="2"/>
      <c r="K555" s="38"/>
    </row>
    <row r="556" spans="1:11" x14ac:dyDescent="0.2">
      <c r="A556" s="39"/>
      <c r="B556" s="2" t="s">
        <v>228</v>
      </c>
      <c r="C556" s="1" t="s">
        <v>231</v>
      </c>
      <c r="D556" s="40">
        <f>'Rekap SHU dan Jasa Simpanan'!B96</f>
        <v>158</v>
      </c>
      <c r="E556" s="38"/>
      <c r="G556" s="39"/>
      <c r="H556" s="2" t="s">
        <v>228</v>
      </c>
      <c r="I556" s="1" t="s">
        <v>231</v>
      </c>
      <c r="J556" s="40">
        <f>'Rekap SHU dan Jasa Simpanan'!B97</f>
        <v>159</v>
      </c>
      <c r="K556" s="38"/>
    </row>
    <row r="557" spans="1:11" x14ac:dyDescent="0.2">
      <c r="A557" s="39"/>
      <c r="B557" s="2" t="s">
        <v>229</v>
      </c>
      <c r="C557" s="1" t="s">
        <v>231</v>
      </c>
      <c r="D557" s="7" t="str">
        <f>'Rekap SHU dan Jasa Simpanan'!C96</f>
        <v xml:space="preserve"> Ibu Istianah Suripto</v>
      </c>
      <c r="E557" s="38"/>
      <c r="G557" s="39"/>
      <c r="H557" s="2" t="s">
        <v>229</v>
      </c>
      <c r="I557" s="1" t="s">
        <v>231</v>
      </c>
      <c r="J557" s="2" t="str">
        <f>'Rekap SHU dan Jasa Simpanan'!C97</f>
        <v xml:space="preserve"> Bpk.Dadang Jatnika</v>
      </c>
      <c r="K557" s="38"/>
    </row>
    <row r="558" spans="1:11" x14ac:dyDescent="0.2">
      <c r="A558" s="39"/>
      <c r="B558" s="2" t="s">
        <v>221</v>
      </c>
      <c r="C558" s="1" t="s">
        <v>231</v>
      </c>
      <c r="D558" s="41">
        <f>'Rekap SHU dan Jasa Simpanan'!BD96</f>
        <v>43584</v>
      </c>
      <c r="E558" s="38"/>
      <c r="G558" s="39"/>
      <c r="H558" s="2" t="s">
        <v>221</v>
      </c>
      <c r="I558" s="1" t="s">
        <v>231</v>
      </c>
      <c r="J558" s="41">
        <f>'Rekap SHU dan Jasa Simpanan'!BD97</f>
        <v>20293.179999999997</v>
      </c>
      <c r="K558" s="38"/>
    </row>
    <row r="559" spans="1:11" x14ac:dyDescent="0.2">
      <c r="A559" s="39"/>
      <c r="B559" s="2" t="s">
        <v>223</v>
      </c>
      <c r="C559" s="1" t="s">
        <v>231</v>
      </c>
      <c r="D559" s="41">
        <f>'Rekap SHU dan Jasa Simpanan'!BQ96</f>
        <v>129698.78167612189</v>
      </c>
      <c r="E559" s="38"/>
      <c r="G559" s="39"/>
      <c r="H559" s="2" t="s">
        <v>223</v>
      </c>
      <c r="I559" s="1" t="s">
        <v>231</v>
      </c>
      <c r="J559" s="41">
        <f>'Rekap SHU dan Jasa Simpanan'!BQ97</f>
        <v>129312.5491644235</v>
      </c>
      <c r="K559" s="38"/>
    </row>
    <row r="560" spans="1:11" x14ac:dyDescent="0.2">
      <c r="A560" s="39"/>
      <c r="B560" s="10" t="s">
        <v>224</v>
      </c>
      <c r="C560" s="1" t="s">
        <v>231</v>
      </c>
      <c r="D560" s="41">
        <f>'Rekap SHU dan Jasa Simpanan'!BR96</f>
        <v>0</v>
      </c>
      <c r="E560" s="38"/>
      <c r="G560" s="39"/>
      <c r="H560" s="10" t="s">
        <v>224</v>
      </c>
      <c r="I560" s="1" t="s">
        <v>231</v>
      </c>
      <c r="J560" s="41">
        <f>'Rekap SHU dan Jasa Simpanan'!BR97</f>
        <v>0</v>
      </c>
      <c r="K560" s="38"/>
    </row>
    <row r="561" spans="1:11" x14ac:dyDescent="0.2">
      <c r="A561" s="42"/>
      <c r="B561" s="31" t="s">
        <v>230</v>
      </c>
      <c r="C561" s="32" t="s">
        <v>231</v>
      </c>
      <c r="D561" s="33">
        <v>0</v>
      </c>
      <c r="E561" s="43"/>
      <c r="G561" s="39"/>
      <c r="H561" s="31" t="s">
        <v>230</v>
      </c>
      <c r="I561" s="32" t="s">
        <v>231</v>
      </c>
      <c r="J561" s="33">
        <v>0</v>
      </c>
      <c r="K561" s="43"/>
    </row>
    <row r="562" spans="1:11" x14ac:dyDescent="0.2">
      <c r="A562" s="39"/>
      <c r="B562" s="1" t="s">
        <v>5</v>
      </c>
      <c r="C562" s="2"/>
      <c r="D562" s="41">
        <f>SUM(D558:D561)</f>
        <v>173282.78167612187</v>
      </c>
      <c r="E562" s="38"/>
      <c r="G562" s="44"/>
      <c r="H562" s="1" t="s">
        <v>5</v>
      </c>
      <c r="I562" s="2"/>
      <c r="J562" s="41">
        <f>SUM(J558:J561)</f>
        <v>149605.72916442351</v>
      </c>
      <c r="K562" s="38"/>
    </row>
    <row r="563" spans="1:11" x14ac:dyDescent="0.2">
      <c r="A563" s="42"/>
      <c r="B563" s="31"/>
      <c r="C563" s="31"/>
      <c r="D563" s="31"/>
      <c r="E563" s="43"/>
      <c r="G563" s="42"/>
      <c r="H563" s="31"/>
      <c r="I563" s="31"/>
      <c r="J563" s="31"/>
      <c r="K563" s="43"/>
    </row>
    <row r="568" spans="1:11" x14ac:dyDescent="0.2">
      <c r="A568" s="34"/>
      <c r="B568" s="35"/>
      <c r="C568" s="35"/>
      <c r="D568" s="35"/>
      <c r="E568" s="36"/>
      <c r="G568" s="34"/>
      <c r="H568" s="35"/>
      <c r="I568" s="35"/>
      <c r="J568" s="35"/>
      <c r="K568" s="36"/>
    </row>
    <row r="569" spans="1:11" ht="13.5" x14ac:dyDescent="0.25">
      <c r="A569" s="146" t="s">
        <v>232</v>
      </c>
      <c r="B569" s="147"/>
      <c r="C569" s="147"/>
      <c r="D569" s="147"/>
      <c r="E569" s="148"/>
      <c r="G569" s="146" t="s">
        <v>232</v>
      </c>
      <c r="H569" s="147"/>
      <c r="I569" s="147"/>
      <c r="J569" s="147"/>
      <c r="K569" s="148"/>
    </row>
    <row r="570" spans="1:11" x14ac:dyDescent="0.2">
      <c r="A570" s="37"/>
      <c r="B570" s="2"/>
      <c r="C570" s="2"/>
      <c r="D570" s="2"/>
      <c r="E570" s="38"/>
      <c r="G570" s="39"/>
      <c r="H570" s="2"/>
      <c r="I570" s="2"/>
      <c r="J570" s="2"/>
      <c r="K570" s="38"/>
    </row>
    <row r="571" spans="1:11" x14ac:dyDescent="0.2">
      <c r="A571" s="39"/>
      <c r="B571" s="2" t="s">
        <v>228</v>
      </c>
      <c r="C571" s="1" t="s">
        <v>231</v>
      </c>
      <c r="D571" s="40">
        <f>'Rekap SHU dan Jasa Simpanan'!B98</f>
        <v>160</v>
      </c>
      <c r="E571" s="38"/>
      <c r="G571" s="39"/>
      <c r="H571" s="2" t="s">
        <v>228</v>
      </c>
      <c r="I571" s="1" t="s">
        <v>231</v>
      </c>
      <c r="J571" s="40">
        <f>'Rekap SHU dan Jasa Simpanan'!B99</f>
        <v>161</v>
      </c>
      <c r="K571" s="38"/>
    </row>
    <row r="572" spans="1:11" x14ac:dyDescent="0.2">
      <c r="A572" s="39"/>
      <c r="B572" s="2" t="s">
        <v>229</v>
      </c>
      <c r="C572" s="1" t="s">
        <v>231</v>
      </c>
      <c r="D572" s="2" t="str">
        <f>'Rekap SHU dan Jasa Simpanan'!C98</f>
        <v xml:space="preserve"> Ibu Ida Hasan S</v>
      </c>
      <c r="E572" s="38"/>
      <c r="G572" s="39"/>
      <c r="H572" s="2" t="s">
        <v>229</v>
      </c>
      <c r="I572" s="1" t="s">
        <v>231</v>
      </c>
      <c r="J572" s="2" t="str">
        <f>'Rekap SHU dan Jasa Simpanan'!C99</f>
        <v xml:space="preserve"> Gogoy Hasanudin</v>
      </c>
      <c r="K572" s="38"/>
    </row>
    <row r="573" spans="1:11" x14ac:dyDescent="0.2">
      <c r="A573" s="39"/>
      <c r="B573" s="2" t="s">
        <v>221</v>
      </c>
      <c r="C573" s="1" t="s">
        <v>231</v>
      </c>
      <c r="D573" s="41">
        <f>'Rekap SHU dan Jasa Simpanan'!BD98</f>
        <v>81980</v>
      </c>
      <c r="E573" s="38"/>
      <c r="G573" s="39"/>
      <c r="H573" s="2" t="s">
        <v>221</v>
      </c>
      <c r="I573" s="1" t="s">
        <v>231</v>
      </c>
      <c r="J573" s="41">
        <f>'Rekap SHU dan Jasa Simpanan'!BD99</f>
        <v>78790</v>
      </c>
      <c r="K573" s="38"/>
    </row>
    <row r="574" spans="1:11" x14ac:dyDescent="0.2">
      <c r="A574" s="39"/>
      <c r="B574" s="2" t="s">
        <v>223</v>
      </c>
      <c r="C574" s="1" t="s">
        <v>231</v>
      </c>
      <c r="D574" s="41">
        <f>'Rekap SHU dan Jasa Simpanan'!BQ98</f>
        <v>223885.08917834438</v>
      </c>
      <c r="E574" s="38"/>
      <c r="G574" s="39"/>
      <c r="H574" s="2" t="s">
        <v>223</v>
      </c>
      <c r="I574" s="1" t="s">
        <v>231</v>
      </c>
      <c r="J574" s="41">
        <f>'Rekap SHU dan Jasa Simpanan'!BQ99</f>
        <v>189689.85521609298</v>
      </c>
      <c r="K574" s="38"/>
    </row>
    <row r="575" spans="1:11" x14ac:dyDescent="0.2">
      <c r="A575" s="39"/>
      <c r="B575" s="10" t="s">
        <v>224</v>
      </c>
      <c r="C575" s="1" t="s">
        <v>231</v>
      </c>
      <c r="D575" s="41">
        <f>'Rekap SHU dan Jasa Simpanan'!BR98</f>
        <v>174710.37916673452</v>
      </c>
      <c r="E575" s="38"/>
      <c r="G575" s="39"/>
      <c r="H575" s="10" t="s">
        <v>224</v>
      </c>
      <c r="I575" s="1" t="s">
        <v>231</v>
      </c>
      <c r="J575" s="41">
        <f>'Rekap SHU dan Jasa Simpanan'!BR99</f>
        <v>117929.50593754582</v>
      </c>
      <c r="K575" s="38"/>
    </row>
    <row r="576" spans="1:11" x14ac:dyDescent="0.2">
      <c r="A576" s="42"/>
      <c r="B576" s="31" t="s">
        <v>230</v>
      </c>
      <c r="C576" s="32" t="s">
        <v>231</v>
      </c>
      <c r="D576" s="33">
        <v>0</v>
      </c>
      <c r="E576" s="43"/>
      <c r="G576" s="39"/>
      <c r="H576" s="31" t="s">
        <v>230</v>
      </c>
      <c r="I576" s="32" t="s">
        <v>231</v>
      </c>
      <c r="J576" s="33">
        <v>0</v>
      </c>
      <c r="K576" s="43"/>
    </row>
    <row r="577" spans="1:11" x14ac:dyDescent="0.2">
      <c r="A577" s="39"/>
      <c r="B577" s="1" t="s">
        <v>5</v>
      </c>
      <c r="C577" s="2"/>
      <c r="D577" s="41">
        <f>SUM(D573:D576)</f>
        <v>480575.46834507887</v>
      </c>
      <c r="E577" s="38"/>
      <c r="G577" s="44"/>
      <c r="H577" s="1" t="s">
        <v>5</v>
      </c>
      <c r="I577" s="2"/>
      <c r="J577" s="41">
        <f>SUM(J573:J576)</f>
        <v>386409.36115363881</v>
      </c>
      <c r="K577" s="38"/>
    </row>
    <row r="578" spans="1:11" x14ac:dyDescent="0.2">
      <c r="A578" s="42"/>
      <c r="B578" s="31"/>
      <c r="C578" s="31"/>
      <c r="D578" s="31"/>
      <c r="E578" s="43"/>
      <c r="G578" s="42"/>
      <c r="H578" s="31"/>
      <c r="I578" s="31"/>
      <c r="J578" s="31"/>
      <c r="K578" s="43"/>
    </row>
    <row r="580" spans="1:11" x14ac:dyDescent="0.2">
      <c r="A580" s="34"/>
      <c r="B580" s="35"/>
      <c r="C580" s="35"/>
      <c r="D580" s="35"/>
      <c r="E580" s="36"/>
      <c r="G580" s="34"/>
      <c r="H580" s="35"/>
      <c r="I580" s="35"/>
      <c r="J580" s="35"/>
      <c r="K580" s="36"/>
    </row>
    <row r="581" spans="1:11" ht="13.5" x14ac:dyDescent="0.25">
      <c r="A581" s="146" t="s">
        <v>232</v>
      </c>
      <c r="B581" s="147"/>
      <c r="C581" s="147"/>
      <c r="D581" s="147"/>
      <c r="E581" s="148"/>
      <c r="G581" s="146" t="s">
        <v>232</v>
      </c>
      <c r="H581" s="147"/>
      <c r="I581" s="147"/>
      <c r="J581" s="147"/>
      <c r="K581" s="148"/>
    </row>
    <row r="582" spans="1:11" x14ac:dyDescent="0.2">
      <c r="A582" s="37"/>
      <c r="B582" s="2"/>
      <c r="C582" s="2"/>
      <c r="D582" s="2"/>
      <c r="E582" s="38"/>
      <c r="G582" s="39"/>
      <c r="H582" s="2"/>
      <c r="I582" s="2"/>
      <c r="J582" s="2"/>
      <c r="K582" s="38"/>
    </row>
    <row r="583" spans="1:11" x14ac:dyDescent="0.2">
      <c r="A583" s="39"/>
      <c r="B583" s="2" t="s">
        <v>228</v>
      </c>
      <c r="C583" s="1" t="s">
        <v>231</v>
      </c>
      <c r="D583" s="40">
        <f>'Rekap SHU dan Jasa Simpanan'!B100</f>
        <v>162</v>
      </c>
      <c r="E583" s="38"/>
      <c r="G583" s="39"/>
      <c r="H583" s="2" t="s">
        <v>228</v>
      </c>
      <c r="I583" s="1" t="s">
        <v>231</v>
      </c>
      <c r="J583" s="40">
        <f>'Rekap SHU dan Jasa Simpanan'!B101</f>
        <v>163</v>
      </c>
      <c r="K583" s="38"/>
    </row>
    <row r="584" spans="1:11" x14ac:dyDescent="0.2">
      <c r="A584" s="39"/>
      <c r="B584" s="2" t="s">
        <v>229</v>
      </c>
      <c r="C584" s="1" t="s">
        <v>231</v>
      </c>
      <c r="D584" s="7" t="str">
        <f>'Rekap SHU dan Jasa Simpanan'!C100</f>
        <v xml:space="preserve"> Ibu Rini Suyono</v>
      </c>
      <c r="E584" s="38"/>
      <c r="G584" s="39"/>
      <c r="H584" s="2" t="s">
        <v>229</v>
      </c>
      <c r="I584" s="1" t="s">
        <v>231</v>
      </c>
      <c r="J584" s="2" t="str">
        <f>'Rekap SHU dan Jasa Simpanan'!C101</f>
        <v xml:space="preserve"> Ibu Mia Gunawan</v>
      </c>
      <c r="K584" s="38"/>
    </row>
    <row r="585" spans="1:11" x14ac:dyDescent="0.2">
      <c r="A585" s="39"/>
      <c r="B585" s="2" t="s">
        <v>221</v>
      </c>
      <c r="C585" s="1" t="s">
        <v>231</v>
      </c>
      <c r="D585" s="41">
        <f>'Rekap SHU dan Jasa Simpanan'!BD100</f>
        <v>508725</v>
      </c>
      <c r="E585" s="38"/>
      <c r="G585" s="39"/>
      <c r="H585" s="2" t="s">
        <v>221</v>
      </c>
      <c r="I585" s="1" t="s">
        <v>231</v>
      </c>
      <c r="J585" s="41">
        <f>'Rekap SHU dan Jasa Simpanan'!BD101</f>
        <v>155490</v>
      </c>
      <c r="K585" s="38"/>
    </row>
    <row r="586" spans="1:11" x14ac:dyDescent="0.2">
      <c r="A586" s="39"/>
      <c r="B586" s="2" t="s">
        <v>223</v>
      </c>
      <c r="C586" s="1" t="s">
        <v>231</v>
      </c>
      <c r="D586" s="41">
        <f>'Rekap SHU dan Jasa Simpanan'!BQ100</f>
        <v>756466.22348252533</v>
      </c>
      <c r="E586" s="38"/>
      <c r="G586" s="39"/>
      <c r="H586" s="2" t="s">
        <v>223</v>
      </c>
      <c r="I586" s="1" t="s">
        <v>231</v>
      </c>
      <c r="J586" s="41">
        <f>'Rekap SHU dan Jasa Simpanan'!BQ101</f>
        <v>303492.794969421</v>
      </c>
      <c r="K586" s="38"/>
    </row>
    <row r="587" spans="1:11" x14ac:dyDescent="0.2">
      <c r="A587" s="39"/>
      <c r="B587" s="10" t="s">
        <v>224</v>
      </c>
      <c r="C587" s="1" t="s">
        <v>231</v>
      </c>
      <c r="D587" s="41">
        <f>'Rekap SHU dan Jasa Simpanan'!BR100</f>
        <v>196549.17656257635</v>
      </c>
      <c r="E587" s="38"/>
      <c r="G587" s="39"/>
      <c r="H587" s="10" t="s">
        <v>224</v>
      </c>
      <c r="I587" s="1" t="s">
        <v>231</v>
      </c>
      <c r="J587" s="41">
        <f>'Rekap SHU dan Jasa Simpanan'!BR101</f>
        <v>65516.392187525453</v>
      </c>
      <c r="K587" s="38"/>
    </row>
    <row r="588" spans="1:11" x14ac:dyDescent="0.2">
      <c r="A588" s="42"/>
      <c r="B588" s="31" t="s">
        <v>230</v>
      </c>
      <c r="C588" s="32" t="s">
        <v>231</v>
      </c>
      <c r="D588" s="33">
        <v>0</v>
      </c>
      <c r="E588" s="43"/>
      <c r="G588" s="39"/>
      <c r="H588" s="31" t="s">
        <v>230</v>
      </c>
      <c r="I588" s="32" t="s">
        <v>231</v>
      </c>
      <c r="J588" s="33">
        <v>0</v>
      </c>
      <c r="K588" s="43"/>
    </row>
    <row r="589" spans="1:11" x14ac:dyDescent="0.2">
      <c r="A589" s="39"/>
      <c r="B589" s="1" t="s">
        <v>5</v>
      </c>
      <c r="C589" s="2"/>
      <c r="D589" s="41">
        <f>SUM(D585:D588)</f>
        <v>1461740.4000451018</v>
      </c>
      <c r="E589" s="38"/>
      <c r="G589" s="44"/>
      <c r="H589" s="1" t="s">
        <v>5</v>
      </c>
      <c r="I589" s="2"/>
      <c r="J589" s="41">
        <f>SUM(J585:J588)</f>
        <v>524499.1871569464</v>
      </c>
      <c r="K589" s="38"/>
    </row>
    <row r="590" spans="1:11" x14ac:dyDescent="0.2">
      <c r="A590" s="42"/>
      <c r="B590" s="31"/>
      <c r="C590" s="31"/>
      <c r="D590" s="31"/>
      <c r="E590" s="43"/>
      <c r="G590" s="42"/>
      <c r="H590" s="31"/>
      <c r="I590" s="31"/>
      <c r="J590" s="31"/>
      <c r="K590" s="43"/>
    </row>
    <row r="592" spans="1:11" x14ac:dyDescent="0.2">
      <c r="A592" s="34"/>
      <c r="B592" s="35"/>
      <c r="C592" s="35"/>
      <c r="D592" s="35"/>
      <c r="E592" s="36"/>
      <c r="G592" s="34"/>
      <c r="H592" s="35"/>
      <c r="I592" s="35"/>
      <c r="J592" s="35"/>
      <c r="K592" s="36"/>
    </row>
    <row r="593" spans="1:11" ht="13.5" x14ac:dyDescent="0.25">
      <c r="A593" s="146" t="s">
        <v>232</v>
      </c>
      <c r="B593" s="147"/>
      <c r="C593" s="147"/>
      <c r="D593" s="147"/>
      <c r="E593" s="148"/>
      <c r="G593" s="146" t="s">
        <v>232</v>
      </c>
      <c r="H593" s="147"/>
      <c r="I593" s="147"/>
      <c r="J593" s="147"/>
      <c r="K593" s="148"/>
    </row>
    <row r="594" spans="1:11" x14ac:dyDescent="0.2">
      <c r="A594" s="37"/>
      <c r="B594" s="2"/>
      <c r="C594" s="2"/>
      <c r="D594" s="2"/>
      <c r="E594" s="38"/>
      <c r="G594" s="39"/>
      <c r="H594" s="2"/>
      <c r="I594" s="2"/>
      <c r="J594" s="2"/>
      <c r="K594" s="38"/>
    </row>
    <row r="595" spans="1:11" x14ac:dyDescent="0.2">
      <c r="A595" s="39"/>
      <c r="B595" s="2" t="s">
        <v>228</v>
      </c>
      <c r="C595" s="1" t="s">
        <v>231</v>
      </c>
      <c r="D595" s="40">
        <f>'Rekap SHU dan Jasa Simpanan'!B102</f>
        <v>164</v>
      </c>
      <c r="E595" s="38"/>
      <c r="G595" s="39"/>
      <c r="H595" s="2" t="s">
        <v>228</v>
      </c>
      <c r="I595" s="1" t="s">
        <v>231</v>
      </c>
      <c r="J595" s="40">
        <f>'Rekap SHU dan Jasa Simpanan'!B103</f>
        <v>166</v>
      </c>
      <c r="K595" s="38"/>
    </row>
    <row r="596" spans="1:11" x14ac:dyDescent="0.2">
      <c r="A596" s="39"/>
      <c r="B596" s="2" t="s">
        <v>229</v>
      </c>
      <c r="C596" s="1" t="s">
        <v>231</v>
      </c>
      <c r="D596" s="7" t="str">
        <f>'Rekap SHU dan Jasa Simpanan'!C102</f>
        <v xml:space="preserve"> Heru Setiawan</v>
      </c>
      <c r="E596" s="38"/>
      <c r="G596" s="39"/>
      <c r="H596" s="2" t="s">
        <v>229</v>
      </c>
      <c r="I596" s="1" t="s">
        <v>231</v>
      </c>
      <c r="J596" s="2" t="str">
        <f>'Rekap SHU dan Jasa Simpanan'!C103</f>
        <v xml:space="preserve"> Yana Rusdiana</v>
      </c>
      <c r="K596" s="38"/>
    </row>
    <row r="597" spans="1:11" x14ac:dyDescent="0.2">
      <c r="A597" s="39"/>
      <c r="B597" s="2" t="s">
        <v>221</v>
      </c>
      <c r="C597" s="1" t="s">
        <v>231</v>
      </c>
      <c r="D597" s="41">
        <f>'Rekap SHU dan Jasa Simpanan'!BD102</f>
        <v>152630</v>
      </c>
      <c r="E597" s="38"/>
      <c r="G597" s="39"/>
      <c r="H597" s="2" t="s">
        <v>221</v>
      </c>
      <c r="I597" s="1" t="s">
        <v>231</v>
      </c>
      <c r="J597" s="41">
        <f>'Rekap SHU dan Jasa Simpanan'!BD103</f>
        <v>1740</v>
      </c>
      <c r="K597" s="38"/>
    </row>
    <row r="598" spans="1:11" x14ac:dyDescent="0.2">
      <c r="A598" s="39"/>
      <c r="B598" s="2" t="s">
        <v>223</v>
      </c>
      <c r="C598" s="1" t="s">
        <v>231</v>
      </c>
      <c r="D598" s="41">
        <f>'Rekap SHU dan Jasa Simpanan'!BQ102</f>
        <v>265491.03720881155</v>
      </c>
      <c r="E598" s="38"/>
      <c r="G598" s="39"/>
      <c r="H598" s="2" t="s">
        <v>223</v>
      </c>
      <c r="I598" s="1" t="s">
        <v>231</v>
      </c>
      <c r="J598" s="41">
        <f>'Rekap SHU dan Jasa Simpanan'!BQ103</f>
        <v>109832.47437322464</v>
      </c>
      <c r="K598" s="38"/>
    </row>
    <row r="599" spans="1:11" x14ac:dyDescent="0.2">
      <c r="A599" s="39"/>
      <c r="B599" s="10" t="s">
        <v>224</v>
      </c>
      <c r="C599" s="1" t="s">
        <v>231</v>
      </c>
      <c r="D599" s="41">
        <f>'Rekap SHU dan Jasa Simpanan'!BR102</f>
        <v>81895.49023440681</v>
      </c>
      <c r="E599" s="38"/>
      <c r="G599" s="39"/>
      <c r="H599" s="10" t="s">
        <v>224</v>
      </c>
      <c r="I599" s="1" t="s">
        <v>231</v>
      </c>
      <c r="J599" s="41">
        <f>'Rekap SHU dan Jasa Simpanan'!BR103</f>
        <v>196549.17656257635</v>
      </c>
      <c r="K599" s="38"/>
    </row>
    <row r="600" spans="1:11" x14ac:dyDescent="0.2">
      <c r="A600" s="42"/>
      <c r="B600" s="31" t="s">
        <v>230</v>
      </c>
      <c r="C600" s="32" t="s">
        <v>231</v>
      </c>
      <c r="D600" s="33">
        <v>0</v>
      </c>
      <c r="E600" s="43"/>
      <c r="G600" s="39"/>
      <c r="H600" s="31" t="s">
        <v>230</v>
      </c>
      <c r="I600" s="32" t="s">
        <v>231</v>
      </c>
      <c r="J600" s="33">
        <v>0</v>
      </c>
      <c r="K600" s="43"/>
    </row>
    <row r="601" spans="1:11" x14ac:dyDescent="0.2">
      <c r="A601" s="39"/>
      <c r="B601" s="1" t="s">
        <v>5</v>
      </c>
      <c r="C601" s="2"/>
      <c r="D601" s="41">
        <f>SUM(D597:D600)</f>
        <v>500016.52744321839</v>
      </c>
      <c r="E601" s="38"/>
      <c r="G601" s="44"/>
      <c r="H601" s="1" t="s">
        <v>5</v>
      </c>
      <c r="I601" s="2"/>
      <c r="J601" s="41">
        <f>SUM(J597:J600)</f>
        <v>308121.65093580098</v>
      </c>
      <c r="K601" s="38"/>
    </row>
    <row r="602" spans="1:11" x14ac:dyDescent="0.2">
      <c r="A602" s="42"/>
      <c r="B602" s="31"/>
      <c r="C602" s="31"/>
      <c r="D602" s="31"/>
      <c r="E602" s="43"/>
      <c r="G602" s="42"/>
      <c r="H602" s="31"/>
      <c r="I602" s="31"/>
      <c r="J602" s="31"/>
      <c r="K602" s="43"/>
    </row>
    <row r="604" spans="1:11" x14ac:dyDescent="0.2">
      <c r="A604" s="34"/>
      <c r="B604" s="35"/>
      <c r="C604" s="35"/>
      <c r="D604" s="35"/>
      <c r="E604" s="36"/>
      <c r="G604" s="34"/>
      <c r="H604" s="35"/>
      <c r="I604" s="35"/>
      <c r="J604" s="35"/>
      <c r="K604" s="36"/>
    </row>
    <row r="605" spans="1:11" ht="13.5" x14ac:dyDescent="0.25">
      <c r="A605" s="146" t="s">
        <v>232</v>
      </c>
      <c r="B605" s="147"/>
      <c r="C605" s="147"/>
      <c r="D605" s="147"/>
      <c r="E605" s="148"/>
      <c r="G605" s="146" t="s">
        <v>232</v>
      </c>
      <c r="H605" s="147"/>
      <c r="I605" s="147"/>
      <c r="J605" s="147"/>
      <c r="K605" s="148"/>
    </row>
    <row r="606" spans="1:11" x14ac:dyDescent="0.2">
      <c r="A606" s="37"/>
      <c r="B606" s="2"/>
      <c r="C606" s="2"/>
      <c r="D606" s="2"/>
      <c r="E606" s="38"/>
      <c r="G606" s="39"/>
      <c r="H606" s="2"/>
      <c r="I606" s="2"/>
      <c r="J606" s="2"/>
      <c r="K606" s="38"/>
    </row>
    <row r="607" spans="1:11" x14ac:dyDescent="0.2">
      <c r="A607" s="39"/>
      <c r="B607" s="2" t="s">
        <v>228</v>
      </c>
      <c r="C607" s="1" t="s">
        <v>231</v>
      </c>
      <c r="D607" s="40">
        <f>'Rekap SHU dan Jasa Simpanan'!B104</f>
        <v>167</v>
      </c>
      <c r="E607" s="38"/>
      <c r="G607" s="39"/>
      <c r="H607" s="2" t="s">
        <v>228</v>
      </c>
      <c r="I607" s="1" t="s">
        <v>231</v>
      </c>
      <c r="J607" s="40">
        <f>'Rekap SHU dan Jasa Simpanan'!B105</f>
        <v>169</v>
      </c>
      <c r="K607" s="38"/>
    </row>
    <row r="608" spans="1:11" x14ac:dyDescent="0.2">
      <c r="A608" s="39"/>
      <c r="B608" s="2" t="s">
        <v>229</v>
      </c>
      <c r="C608" s="1" t="s">
        <v>231</v>
      </c>
      <c r="D608" s="7" t="str">
        <f>'Rekap SHU dan Jasa Simpanan'!C104</f>
        <v xml:space="preserve"> Ajat S.(bejo)</v>
      </c>
      <c r="E608" s="38"/>
      <c r="G608" s="39"/>
      <c r="H608" s="2" t="s">
        <v>229</v>
      </c>
      <c r="I608" s="1" t="s">
        <v>231</v>
      </c>
      <c r="J608" s="2" t="str">
        <f>'Rekap SHU dan Jasa Simpanan'!C105</f>
        <v xml:space="preserve"> Tatan Rustandi</v>
      </c>
      <c r="K608" s="38"/>
    </row>
    <row r="609" spans="1:11" x14ac:dyDescent="0.2">
      <c r="A609" s="39"/>
      <c r="B609" s="2" t="s">
        <v>221</v>
      </c>
      <c r="C609" s="1" t="s">
        <v>231</v>
      </c>
      <c r="D609" s="41">
        <f>'Rekap SHU dan Jasa Simpanan'!BD104</f>
        <v>0</v>
      </c>
      <c r="E609" s="38"/>
      <c r="G609" s="39"/>
      <c r="H609" s="2" t="s">
        <v>221</v>
      </c>
      <c r="I609" s="1" t="s">
        <v>231</v>
      </c>
      <c r="J609" s="41">
        <f>'Rekap SHU dan Jasa Simpanan'!BD105</f>
        <v>35250</v>
      </c>
      <c r="K609" s="38"/>
    </row>
    <row r="610" spans="1:11" x14ac:dyDescent="0.2">
      <c r="A610" s="39"/>
      <c r="B610" s="2" t="s">
        <v>223</v>
      </c>
      <c r="C610" s="1" t="s">
        <v>231</v>
      </c>
      <c r="D610" s="41">
        <f>'Rekap SHU dan Jasa Simpanan'!BQ104</f>
        <v>107543.14318595093</v>
      </c>
      <c r="E610" s="38"/>
      <c r="G610" s="39"/>
      <c r="H610" s="2" t="s">
        <v>223</v>
      </c>
      <c r="I610" s="1" t="s">
        <v>231</v>
      </c>
      <c r="J610" s="41">
        <f>'Rekap SHU dan Jasa Simpanan'!BQ105</f>
        <v>144709.18714348652</v>
      </c>
      <c r="K610" s="38"/>
    </row>
    <row r="611" spans="1:11" x14ac:dyDescent="0.2">
      <c r="A611" s="39"/>
      <c r="B611" s="10" t="s">
        <v>224</v>
      </c>
      <c r="C611" s="1" t="s">
        <v>231</v>
      </c>
      <c r="D611" s="41">
        <f>'Rekap SHU dan Jasa Simpanan'!BR104</f>
        <v>196549.17656257635</v>
      </c>
      <c r="E611" s="38"/>
      <c r="G611" s="39"/>
      <c r="H611" s="10" t="s">
        <v>224</v>
      </c>
      <c r="I611" s="1" t="s">
        <v>231</v>
      </c>
      <c r="J611" s="41">
        <f>'Rekap SHU dan Jasa Simpanan'!BR105</f>
        <v>196549.17656257635</v>
      </c>
      <c r="K611" s="38"/>
    </row>
    <row r="612" spans="1:11" x14ac:dyDescent="0.2">
      <c r="A612" s="42"/>
      <c r="B612" s="31" t="s">
        <v>230</v>
      </c>
      <c r="C612" s="32" t="s">
        <v>231</v>
      </c>
      <c r="D612" s="33">
        <v>0</v>
      </c>
      <c r="E612" s="43"/>
      <c r="G612" s="39"/>
      <c r="H612" s="31" t="s">
        <v>230</v>
      </c>
      <c r="I612" s="32" t="s">
        <v>231</v>
      </c>
      <c r="J612" s="33">
        <v>0</v>
      </c>
      <c r="K612" s="43"/>
    </row>
    <row r="613" spans="1:11" x14ac:dyDescent="0.2">
      <c r="A613" s="39"/>
      <c r="B613" s="1" t="s">
        <v>5</v>
      </c>
      <c r="C613" s="2"/>
      <c r="D613" s="41">
        <f>SUM(D609:D612)</f>
        <v>304092.31974852725</v>
      </c>
      <c r="E613" s="38"/>
      <c r="G613" s="44"/>
      <c r="H613" s="1" t="s">
        <v>5</v>
      </c>
      <c r="I613" s="2"/>
      <c r="J613" s="41">
        <f>SUM(J609:J612)</f>
        <v>376508.3637060629</v>
      </c>
      <c r="K613" s="38"/>
    </row>
    <row r="614" spans="1:11" x14ac:dyDescent="0.2">
      <c r="A614" s="42"/>
      <c r="B614" s="31"/>
      <c r="C614" s="31"/>
      <c r="D614" s="31"/>
      <c r="E614" s="43"/>
      <c r="G614" s="42"/>
      <c r="H614" s="31"/>
      <c r="I614" s="31"/>
      <c r="J614" s="31"/>
      <c r="K614" s="43"/>
    </row>
    <row r="616" spans="1:11" x14ac:dyDescent="0.2">
      <c r="A616" s="34"/>
      <c r="B616" s="35"/>
      <c r="C616" s="35"/>
      <c r="D616" s="35"/>
      <c r="E616" s="36"/>
      <c r="G616" s="34"/>
      <c r="H616" s="35"/>
      <c r="I616" s="35"/>
      <c r="J616" s="35"/>
      <c r="K616" s="36"/>
    </row>
    <row r="617" spans="1:11" ht="13.5" x14ac:dyDescent="0.25">
      <c r="A617" s="146" t="s">
        <v>232</v>
      </c>
      <c r="B617" s="147"/>
      <c r="C617" s="147"/>
      <c r="D617" s="147"/>
      <c r="E617" s="148"/>
      <c r="G617" s="146" t="s">
        <v>232</v>
      </c>
      <c r="H617" s="147"/>
      <c r="I617" s="147"/>
      <c r="J617" s="147"/>
      <c r="K617" s="148"/>
    </row>
    <row r="618" spans="1:11" x14ac:dyDescent="0.2">
      <c r="A618" s="37"/>
      <c r="B618" s="2"/>
      <c r="C618" s="2"/>
      <c r="D618" s="2"/>
      <c r="E618" s="38"/>
      <c r="G618" s="39"/>
      <c r="H618" s="2"/>
      <c r="I618" s="2"/>
      <c r="J618" s="2"/>
      <c r="K618" s="38"/>
    </row>
    <row r="619" spans="1:11" x14ac:dyDescent="0.2">
      <c r="A619" s="39"/>
      <c r="B619" s="2" t="s">
        <v>228</v>
      </c>
      <c r="C619" s="1" t="s">
        <v>231</v>
      </c>
      <c r="D619" s="40">
        <f>'Rekap SHU dan Jasa Simpanan'!B107</f>
        <v>171</v>
      </c>
      <c r="E619" s="38"/>
      <c r="G619" s="39"/>
      <c r="H619" s="2" t="s">
        <v>228</v>
      </c>
      <c r="I619" s="1" t="s">
        <v>231</v>
      </c>
      <c r="J619" s="40">
        <f>'Rekap SHU dan Jasa Simpanan'!B108</f>
        <v>172</v>
      </c>
      <c r="K619" s="38"/>
    </row>
    <row r="620" spans="1:11" x14ac:dyDescent="0.2">
      <c r="A620" s="39"/>
      <c r="B620" s="2" t="s">
        <v>229</v>
      </c>
      <c r="C620" s="1" t="s">
        <v>231</v>
      </c>
      <c r="D620" s="7" t="str">
        <f>'Rekap SHU dan Jasa Simpanan'!C107</f>
        <v xml:space="preserve"> Ibu Siti Rogayah.R</v>
      </c>
      <c r="E620" s="38"/>
      <c r="G620" s="39"/>
      <c r="H620" s="2" t="s">
        <v>229</v>
      </c>
      <c r="I620" s="1" t="s">
        <v>231</v>
      </c>
      <c r="J620" s="2" t="str">
        <f>'Rekap SHU dan Jasa Simpanan'!C108</f>
        <v xml:space="preserve"> Ibu Masruroh Rus.</v>
      </c>
      <c r="K620" s="38"/>
    </row>
    <row r="621" spans="1:11" x14ac:dyDescent="0.2">
      <c r="A621" s="39"/>
      <c r="B621" s="2" t="s">
        <v>221</v>
      </c>
      <c r="C621" s="1" t="s">
        <v>231</v>
      </c>
      <c r="D621" s="41">
        <f>'Rekap SHU dan Jasa Simpanan'!BD107</f>
        <v>87610</v>
      </c>
      <c r="E621" s="38"/>
      <c r="G621" s="39"/>
      <c r="H621" s="2" t="s">
        <v>221</v>
      </c>
      <c r="I621" s="1" t="s">
        <v>231</v>
      </c>
      <c r="J621" s="41">
        <f>'Rekap SHU dan Jasa Simpanan'!BD108</f>
        <v>98540</v>
      </c>
      <c r="K621" s="38"/>
    </row>
    <row r="622" spans="1:11" x14ac:dyDescent="0.2">
      <c r="A622" s="39"/>
      <c r="B622" s="2" t="s">
        <v>223</v>
      </c>
      <c r="C622" s="1" t="s">
        <v>231</v>
      </c>
      <c r="D622" s="41">
        <f>'Rekap SHU dan Jasa Simpanan'!BQ107</f>
        <v>231037.89784876205</v>
      </c>
      <c r="E622" s="38"/>
      <c r="G622" s="39"/>
      <c r="H622" s="2" t="s">
        <v>223</v>
      </c>
      <c r="I622" s="1" t="s">
        <v>231</v>
      </c>
      <c r="J622" s="41">
        <f>'Rekap SHU dan Jasa Simpanan'!BQ108</f>
        <v>239519.89094137013</v>
      </c>
      <c r="K622" s="38"/>
    </row>
    <row r="623" spans="1:11" x14ac:dyDescent="0.2">
      <c r="A623" s="39"/>
      <c r="B623" s="10" t="s">
        <v>224</v>
      </c>
      <c r="C623" s="1" t="s">
        <v>231</v>
      </c>
      <c r="D623" s="41">
        <f>'Rekap SHU dan Jasa Simpanan'!BR107</f>
        <v>157239.34125006109</v>
      </c>
      <c r="E623" s="38"/>
      <c r="G623" s="39"/>
      <c r="H623" s="10" t="s">
        <v>224</v>
      </c>
      <c r="I623" s="1" t="s">
        <v>231</v>
      </c>
      <c r="J623" s="41">
        <f>'Rekap SHU dan Jasa Simpanan'!BR108</f>
        <v>65516.392187525453</v>
      </c>
      <c r="K623" s="38"/>
    </row>
    <row r="624" spans="1:11" x14ac:dyDescent="0.2">
      <c r="A624" s="42"/>
      <c r="B624" s="31" t="s">
        <v>230</v>
      </c>
      <c r="C624" s="32" t="s">
        <v>231</v>
      </c>
      <c r="D624" s="33">
        <v>0</v>
      </c>
      <c r="E624" s="43"/>
      <c r="G624" s="39"/>
      <c r="H624" s="31" t="s">
        <v>230</v>
      </c>
      <c r="I624" s="32" t="s">
        <v>231</v>
      </c>
      <c r="J624" s="33">
        <v>0</v>
      </c>
      <c r="K624" s="43"/>
    </row>
    <row r="625" spans="1:11" x14ac:dyDescent="0.2">
      <c r="A625" s="39"/>
      <c r="B625" s="1" t="s">
        <v>5</v>
      </c>
      <c r="C625" s="2"/>
      <c r="D625" s="41">
        <f>SUM(D621:D624)</f>
        <v>475887.23909882316</v>
      </c>
      <c r="E625" s="38"/>
      <c r="G625" s="44"/>
      <c r="H625" s="1" t="s">
        <v>5</v>
      </c>
      <c r="I625" s="2"/>
      <c r="J625" s="41">
        <f>SUM(J621:J624)</f>
        <v>403576.28312889562</v>
      </c>
      <c r="K625" s="38"/>
    </row>
    <row r="626" spans="1:11" x14ac:dyDescent="0.2">
      <c r="A626" s="42"/>
      <c r="B626" s="31"/>
      <c r="C626" s="31"/>
      <c r="D626" s="31"/>
      <c r="E626" s="43"/>
      <c r="G626" s="42"/>
      <c r="H626" s="31"/>
      <c r="I626" s="31"/>
      <c r="J626" s="31"/>
      <c r="K626" s="43"/>
    </row>
    <row r="631" spans="1:11" x14ac:dyDescent="0.2">
      <c r="A631" s="34"/>
      <c r="B631" s="35"/>
      <c r="C631" s="35"/>
      <c r="D631" s="35"/>
      <c r="E631" s="36"/>
      <c r="G631" s="34"/>
      <c r="H631" s="35"/>
      <c r="I631" s="35"/>
      <c r="J631" s="35"/>
      <c r="K631" s="36"/>
    </row>
    <row r="632" spans="1:11" ht="13.5" x14ac:dyDescent="0.25">
      <c r="A632" s="146" t="s">
        <v>232</v>
      </c>
      <c r="B632" s="147"/>
      <c r="C632" s="147"/>
      <c r="D632" s="147"/>
      <c r="E632" s="148"/>
      <c r="G632" s="146" t="s">
        <v>232</v>
      </c>
      <c r="H632" s="147"/>
      <c r="I632" s="147"/>
      <c r="J632" s="147"/>
      <c r="K632" s="148"/>
    </row>
    <row r="633" spans="1:11" x14ac:dyDescent="0.2">
      <c r="A633" s="37"/>
      <c r="B633" s="2"/>
      <c r="C633" s="2"/>
      <c r="D633" s="2"/>
      <c r="E633" s="38"/>
      <c r="G633" s="39"/>
      <c r="H633" s="2"/>
      <c r="I633" s="2"/>
      <c r="J633" s="2"/>
      <c r="K633" s="38"/>
    </row>
    <row r="634" spans="1:11" x14ac:dyDescent="0.2">
      <c r="A634" s="39"/>
      <c r="B634" s="2" t="s">
        <v>228</v>
      </c>
      <c r="C634" s="1" t="s">
        <v>231</v>
      </c>
      <c r="D634" s="40">
        <f>'Rekap SHU dan Jasa Simpanan'!B109</f>
        <v>175</v>
      </c>
      <c r="E634" s="38"/>
      <c r="G634" s="39"/>
      <c r="H634" s="2" t="s">
        <v>228</v>
      </c>
      <c r="I634" s="1" t="s">
        <v>231</v>
      </c>
      <c r="J634" s="40">
        <f>'Rekap SHU dan Jasa Simpanan'!B110</f>
        <v>176</v>
      </c>
      <c r="K634" s="38"/>
    </row>
    <row r="635" spans="1:11" x14ac:dyDescent="0.2">
      <c r="A635" s="39"/>
      <c r="B635" s="2" t="s">
        <v>229</v>
      </c>
      <c r="C635" s="1" t="s">
        <v>231</v>
      </c>
      <c r="D635" s="2" t="str">
        <f>'Rekap SHU dan Jasa Simpanan'!C109</f>
        <v xml:space="preserve"> Wahyudin bin iyus</v>
      </c>
      <c r="E635" s="38"/>
      <c r="G635" s="39"/>
      <c r="H635" s="2" t="s">
        <v>229</v>
      </c>
      <c r="I635" s="1" t="s">
        <v>231</v>
      </c>
      <c r="J635" s="2" t="str">
        <f>'Rekap SHU dan Jasa Simpanan'!C110</f>
        <v xml:space="preserve"> Gandi</v>
      </c>
      <c r="K635" s="38"/>
    </row>
    <row r="636" spans="1:11" x14ac:dyDescent="0.2">
      <c r="A636" s="39"/>
      <c r="B636" s="2" t="s">
        <v>221</v>
      </c>
      <c r="C636" s="1" t="s">
        <v>231</v>
      </c>
      <c r="D636" s="41">
        <f>'Rekap SHU dan Jasa Simpanan'!BD109</f>
        <v>20500</v>
      </c>
      <c r="E636" s="38"/>
      <c r="G636" s="39"/>
      <c r="H636" s="2" t="s">
        <v>221</v>
      </c>
      <c r="I636" s="1" t="s">
        <v>231</v>
      </c>
      <c r="J636" s="41">
        <f>'Rekap SHU dan Jasa Simpanan'!BD110</f>
        <v>9850</v>
      </c>
      <c r="K636" s="38"/>
    </row>
    <row r="637" spans="1:11" x14ac:dyDescent="0.2">
      <c r="A637" s="39"/>
      <c r="B637" s="2" t="s">
        <v>223</v>
      </c>
      <c r="C637" s="1" t="s">
        <v>231</v>
      </c>
      <c r="D637" s="41">
        <f>'Rekap SHU dan Jasa Simpanan'!BQ109</f>
        <v>128289.93952966027</v>
      </c>
      <c r="E637" s="38"/>
      <c r="G637" s="39"/>
      <c r="H637" s="2" t="s">
        <v>223</v>
      </c>
      <c r="I637" s="1" t="s">
        <v>231</v>
      </c>
      <c r="J637" s="41">
        <f>'Rekap SHU dan Jasa Simpanan'!BQ110</f>
        <v>117258.97339076262</v>
      </c>
      <c r="K637" s="38"/>
    </row>
    <row r="638" spans="1:11" x14ac:dyDescent="0.2">
      <c r="A638" s="39"/>
      <c r="B638" s="10" t="s">
        <v>224</v>
      </c>
      <c r="C638" s="1" t="s">
        <v>231</v>
      </c>
      <c r="D638" s="41">
        <f>'Rekap SHU dan Jasa Simpanan'!BR109</f>
        <v>188359.62753913569</v>
      </c>
      <c r="E638" s="38"/>
      <c r="G638" s="39"/>
      <c r="H638" s="10" t="s">
        <v>224</v>
      </c>
      <c r="I638" s="1" t="s">
        <v>231</v>
      </c>
      <c r="J638" s="41">
        <f>'Rekap SHU dan Jasa Simpanan'!BR110</f>
        <v>196549.17656257635</v>
      </c>
      <c r="K638" s="38"/>
    </row>
    <row r="639" spans="1:11" x14ac:dyDescent="0.2">
      <c r="A639" s="42"/>
      <c r="B639" s="31" t="s">
        <v>230</v>
      </c>
      <c r="C639" s="32" t="s">
        <v>231</v>
      </c>
      <c r="D639" s="33">
        <v>0</v>
      </c>
      <c r="E639" s="43"/>
      <c r="G639" s="39"/>
      <c r="H639" s="31" t="s">
        <v>230</v>
      </c>
      <c r="I639" s="32" t="s">
        <v>231</v>
      </c>
      <c r="J639" s="33">
        <v>0</v>
      </c>
      <c r="K639" s="43"/>
    </row>
    <row r="640" spans="1:11" x14ac:dyDescent="0.2">
      <c r="A640" s="39"/>
      <c r="B640" s="1" t="s">
        <v>5</v>
      </c>
      <c r="C640" s="2"/>
      <c r="D640" s="41">
        <f>SUM(D636:D639)</f>
        <v>337149.56706879596</v>
      </c>
      <c r="E640" s="38"/>
      <c r="G640" s="44"/>
      <c r="H640" s="1" t="s">
        <v>5</v>
      </c>
      <c r="I640" s="2"/>
      <c r="J640" s="41">
        <f>SUM(J636:J639)</f>
        <v>323658.14995333896</v>
      </c>
      <c r="K640" s="38"/>
    </row>
    <row r="641" spans="1:11" x14ac:dyDescent="0.2">
      <c r="A641" s="42"/>
      <c r="B641" s="31"/>
      <c r="C641" s="31"/>
      <c r="D641" s="31"/>
      <c r="E641" s="43"/>
      <c r="G641" s="42"/>
      <c r="H641" s="31"/>
      <c r="I641" s="31"/>
      <c r="J641" s="31"/>
      <c r="K641" s="43"/>
    </row>
    <row r="643" spans="1:11" x14ac:dyDescent="0.2">
      <c r="A643" s="34"/>
      <c r="B643" s="35"/>
      <c r="C643" s="35"/>
      <c r="D643" s="35"/>
      <c r="E643" s="36"/>
      <c r="G643" s="34"/>
      <c r="H643" s="35"/>
      <c r="I643" s="35"/>
      <c r="J643" s="35"/>
      <c r="K643" s="36"/>
    </row>
    <row r="644" spans="1:11" ht="13.5" x14ac:dyDescent="0.25">
      <c r="A644" s="146" t="s">
        <v>232</v>
      </c>
      <c r="B644" s="147"/>
      <c r="C644" s="147"/>
      <c r="D644" s="147"/>
      <c r="E644" s="148"/>
      <c r="G644" s="146" t="s">
        <v>232</v>
      </c>
      <c r="H644" s="147"/>
      <c r="I644" s="147"/>
      <c r="J644" s="147"/>
      <c r="K644" s="148"/>
    </row>
    <row r="645" spans="1:11" x14ac:dyDescent="0.2">
      <c r="A645" s="37"/>
      <c r="B645" s="2"/>
      <c r="C645" s="2"/>
      <c r="D645" s="2"/>
      <c r="E645" s="38"/>
      <c r="G645" s="39"/>
      <c r="H645" s="2"/>
      <c r="I645" s="2"/>
      <c r="J645" s="2"/>
      <c r="K645" s="38"/>
    </row>
    <row r="646" spans="1:11" x14ac:dyDescent="0.2">
      <c r="A646" s="39"/>
      <c r="B646" s="2" t="s">
        <v>228</v>
      </c>
      <c r="C646" s="1" t="s">
        <v>231</v>
      </c>
      <c r="D646" s="40">
        <f>'Rekap SHU dan Jasa Simpanan'!B111</f>
        <v>178</v>
      </c>
      <c r="E646" s="38"/>
      <c r="G646" s="39"/>
      <c r="H646" s="2" t="s">
        <v>228</v>
      </c>
      <c r="I646" s="1" t="s">
        <v>231</v>
      </c>
      <c r="J646" s="40">
        <f>'Rekap SHU dan Jasa Simpanan'!B112</f>
        <v>181</v>
      </c>
      <c r="K646" s="38"/>
    </row>
    <row r="647" spans="1:11" x14ac:dyDescent="0.2">
      <c r="A647" s="39"/>
      <c r="B647" s="2" t="s">
        <v>229</v>
      </c>
      <c r="C647" s="1" t="s">
        <v>231</v>
      </c>
      <c r="D647" s="7" t="str">
        <f>'Rekap SHU dan Jasa Simpanan'!C111</f>
        <v xml:space="preserve"> Iwan Rahmawan</v>
      </c>
      <c r="E647" s="38"/>
      <c r="G647" s="39"/>
      <c r="H647" s="2" t="s">
        <v>229</v>
      </c>
      <c r="I647" s="1" t="s">
        <v>231</v>
      </c>
      <c r="J647" s="2" t="str">
        <f>'Rekap SHU dan Jasa Simpanan'!C112</f>
        <v xml:space="preserve"> Ibu Sutarmi Sugimin</v>
      </c>
      <c r="K647" s="38"/>
    </row>
    <row r="648" spans="1:11" x14ac:dyDescent="0.2">
      <c r="A648" s="39"/>
      <c r="B648" s="2" t="s">
        <v>221</v>
      </c>
      <c r="C648" s="1" t="s">
        <v>231</v>
      </c>
      <c r="D648" s="41">
        <f>'Rekap SHU dan Jasa Simpanan'!BD111</f>
        <v>26830</v>
      </c>
      <c r="E648" s="38"/>
      <c r="G648" s="39"/>
      <c r="H648" s="2" t="s">
        <v>221</v>
      </c>
      <c r="I648" s="1" t="s">
        <v>231</v>
      </c>
      <c r="J648" s="41">
        <f>'Rekap SHU dan Jasa Simpanan'!BD112</f>
        <v>103000</v>
      </c>
      <c r="K648" s="38"/>
    </row>
    <row r="649" spans="1:11" x14ac:dyDescent="0.2">
      <c r="A649" s="39"/>
      <c r="B649" s="2" t="s">
        <v>223</v>
      </c>
      <c r="C649" s="1" t="s">
        <v>231</v>
      </c>
      <c r="D649" s="41">
        <f>'Rekap SHU dan Jasa Simpanan'!BQ111</f>
        <v>131716.81548922713</v>
      </c>
      <c r="E649" s="38"/>
      <c r="G649" s="39"/>
      <c r="H649" s="2" t="s">
        <v>223</v>
      </c>
      <c r="I649" s="1" t="s">
        <v>231</v>
      </c>
      <c r="J649" s="41">
        <f>'Rekap SHU dan Jasa Simpanan'!BQ112</f>
        <v>244255.14242647204</v>
      </c>
      <c r="K649" s="38"/>
    </row>
    <row r="650" spans="1:11" x14ac:dyDescent="0.2">
      <c r="A650" s="39"/>
      <c r="B650" s="10" t="s">
        <v>224</v>
      </c>
      <c r="C650" s="1" t="s">
        <v>231</v>
      </c>
      <c r="D650" s="41">
        <f>'Rekap SHU dan Jasa Simpanan'!BR111</f>
        <v>85171.309843783092</v>
      </c>
      <c r="E650" s="38"/>
      <c r="G650" s="39"/>
      <c r="H650" s="10" t="s">
        <v>224</v>
      </c>
      <c r="I650" s="1" t="s">
        <v>231</v>
      </c>
      <c r="J650" s="41">
        <f>'Rekap SHU dan Jasa Simpanan'!BR112</f>
        <v>0</v>
      </c>
      <c r="K650" s="38"/>
    </row>
    <row r="651" spans="1:11" x14ac:dyDescent="0.2">
      <c r="A651" s="42"/>
      <c r="B651" s="31" t="s">
        <v>230</v>
      </c>
      <c r="C651" s="32" t="s">
        <v>231</v>
      </c>
      <c r="D651" s="33">
        <v>0</v>
      </c>
      <c r="E651" s="43"/>
      <c r="G651" s="39"/>
      <c r="H651" s="31" t="s">
        <v>230</v>
      </c>
      <c r="I651" s="32" t="s">
        <v>231</v>
      </c>
      <c r="J651" s="33">
        <v>0</v>
      </c>
      <c r="K651" s="43"/>
    </row>
    <row r="652" spans="1:11" x14ac:dyDescent="0.2">
      <c r="A652" s="39"/>
      <c r="B652" s="1" t="s">
        <v>5</v>
      </c>
      <c r="C652" s="2"/>
      <c r="D652" s="41">
        <f>SUM(D648:D651)</f>
        <v>243718.12533301022</v>
      </c>
      <c r="E652" s="38"/>
      <c r="G652" s="44"/>
      <c r="H652" s="1" t="s">
        <v>5</v>
      </c>
      <c r="I652" s="2"/>
      <c r="J652" s="41">
        <f>SUM(J648:J651)</f>
        <v>347255.14242647204</v>
      </c>
      <c r="K652" s="38"/>
    </row>
    <row r="653" spans="1:11" x14ac:dyDescent="0.2">
      <c r="A653" s="42"/>
      <c r="B653" s="31"/>
      <c r="C653" s="31"/>
      <c r="D653" s="31"/>
      <c r="E653" s="43"/>
      <c r="G653" s="42"/>
      <c r="H653" s="31"/>
      <c r="I653" s="31"/>
      <c r="J653" s="31"/>
      <c r="K653" s="43"/>
    </row>
    <row r="655" spans="1:11" x14ac:dyDescent="0.2">
      <c r="A655" s="34"/>
      <c r="B655" s="35"/>
      <c r="C655" s="35"/>
      <c r="D655" s="35"/>
      <c r="E655" s="36"/>
      <c r="G655" s="34"/>
      <c r="H655" s="35"/>
      <c r="I655" s="35"/>
      <c r="J655" s="35"/>
      <c r="K655" s="36"/>
    </row>
    <row r="656" spans="1:11" ht="13.5" x14ac:dyDescent="0.25">
      <c r="A656" s="146" t="s">
        <v>232</v>
      </c>
      <c r="B656" s="147"/>
      <c r="C656" s="147"/>
      <c r="D656" s="147"/>
      <c r="E656" s="148"/>
      <c r="G656" s="146" t="s">
        <v>232</v>
      </c>
      <c r="H656" s="147"/>
      <c r="I656" s="147"/>
      <c r="J656" s="147"/>
      <c r="K656" s="148"/>
    </row>
    <row r="657" spans="1:11" x14ac:dyDescent="0.2">
      <c r="A657" s="37"/>
      <c r="B657" s="2"/>
      <c r="C657" s="2"/>
      <c r="D657" s="2"/>
      <c r="E657" s="38"/>
      <c r="G657" s="39"/>
      <c r="H657" s="2"/>
      <c r="I657" s="2"/>
      <c r="J657" s="2"/>
      <c r="K657" s="38"/>
    </row>
    <row r="658" spans="1:11" x14ac:dyDescent="0.2">
      <c r="A658" s="39"/>
      <c r="B658" s="2" t="s">
        <v>228</v>
      </c>
      <c r="C658" s="1" t="s">
        <v>231</v>
      </c>
      <c r="D658" s="40">
        <f>'Rekap SHU dan Jasa Simpanan'!B113</f>
        <v>183</v>
      </c>
      <c r="E658" s="38"/>
      <c r="G658" s="39"/>
      <c r="H658" s="2" t="s">
        <v>228</v>
      </c>
      <c r="I658" s="1" t="s">
        <v>231</v>
      </c>
      <c r="J658" s="40">
        <f>'Rekap SHU dan Jasa Simpanan'!B114</f>
        <v>184</v>
      </c>
      <c r="K658" s="38"/>
    </row>
    <row r="659" spans="1:11" x14ac:dyDescent="0.2">
      <c r="A659" s="39"/>
      <c r="B659" s="2" t="s">
        <v>229</v>
      </c>
      <c r="C659" s="1" t="s">
        <v>231</v>
      </c>
      <c r="D659" s="7" t="str">
        <f>'Rekap SHU dan Jasa Simpanan'!C113</f>
        <v xml:space="preserve"> Ibu Masrianah Sudarjat</v>
      </c>
      <c r="E659" s="38"/>
      <c r="G659" s="39"/>
      <c r="H659" s="2" t="s">
        <v>229</v>
      </c>
      <c r="I659" s="1" t="s">
        <v>231</v>
      </c>
      <c r="J659" s="2" t="str">
        <f>'Rekap SHU dan Jasa Simpanan'!C114</f>
        <v xml:space="preserve"> Ibu Nining Sontani</v>
      </c>
      <c r="K659" s="38"/>
    </row>
    <row r="660" spans="1:11" x14ac:dyDescent="0.2">
      <c r="A660" s="39"/>
      <c r="B660" s="2" t="s">
        <v>221</v>
      </c>
      <c r="C660" s="1" t="s">
        <v>231</v>
      </c>
      <c r="D660" s="41">
        <f>'Rekap SHU dan Jasa Simpanan'!BD113</f>
        <v>245</v>
      </c>
      <c r="E660" s="38"/>
      <c r="G660" s="39"/>
      <c r="H660" s="2" t="s">
        <v>221</v>
      </c>
      <c r="I660" s="1" t="s">
        <v>231</v>
      </c>
      <c r="J660" s="41">
        <f>'Rekap SHU dan Jasa Simpanan'!BD114</f>
        <v>167375</v>
      </c>
      <c r="K660" s="38"/>
    </row>
    <row r="661" spans="1:11" x14ac:dyDescent="0.2">
      <c r="A661" s="39"/>
      <c r="B661" s="2" t="s">
        <v>223</v>
      </c>
      <c r="C661" s="1" t="s">
        <v>231</v>
      </c>
      <c r="D661" s="41">
        <f>'Rekap SHU dan Jasa Simpanan'!BQ113</f>
        <v>134347.51145254073</v>
      </c>
      <c r="E661" s="38"/>
      <c r="G661" s="39"/>
      <c r="H661" s="2" t="s">
        <v>223</v>
      </c>
      <c r="I661" s="1" t="s">
        <v>231</v>
      </c>
      <c r="J661" s="41">
        <f>'Rekap SHU dan Jasa Simpanan'!BQ114</f>
        <v>280695.85898088402</v>
      </c>
      <c r="K661" s="38"/>
    </row>
    <row r="662" spans="1:11" x14ac:dyDescent="0.2">
      <c r="A662" s="39"/>
      <c r="B662" s="10" t="s">
        <v>224</v>
      </c>
      <c r="C662" s="1" t="s">
        <v>231</v>
      </c>
      <c r="D662" s="41">
        <f>'Rekap SHU dan Jasa Simpanan'!BR113</f>
        <v>0</v>
      </c>
      <c r="E662" s="38"/>
      <c r="G662" s="39"/>
      <c r="H662" s="10" t="s">
        <v>224</v>
      </c>
      <c r="I662" s="1" t="s">
        <v>231</v>
      </c>
      <c r="J662" s="41">
        <f>'Rekap SHU dan Jasa Simpanan'!BR114</f>
        <v>0</v>
      </c>
      <c r="K662" s="38"/>
    </row>
    <row r="663" spans="1:11" x14ac:dyDescent="0.2">
      <c r="A663" s="42"/>
      <c r="B663" s="31" t="s">
        <v>230</v>
      </c>
      <c r="C663" s="32" t="s">
        <v>231</v>
      </c>
      <c r="D663" s="33">
        <v>0</v>
      </c>
      <c r="E663" s="43"/>
      <c r="G663" s="39"/>
      <c r="H663" s="31" t="s">
        <v>230</v>
      </c>
      <c r="I663" s="32" t="s">
        <v>231</v>
      </c>
      <c r="J663" s="33">
        <v>0</v>
      </c>
      <c r="K663" s="43"/>
    </row>
    <row r="664" spans="1:11" x14ac:dyDescent="0.2">
      <c r="A664" s="39"/>
      <c r="B664" s="1" t="s">
        <v>5</v>
      </c>
      <c r="C664" s="2"/>
      <c r="D664" s="41">
        <f>SUM(D660:D663)</f>
        <v>134592.51145254073</v>
      </c>
      <c r="E664" s="38"/>
      <c r="G664" s="44"/>
      <c r="H664" s="1" t="s">
        <v>5</v>
      </c>
      <c r="I664" s="2"/>
      <c r="J664" s="41">
        <f>SUM(J660:J663)</f>
        <v>448070.85898088402</v>
      </c>
      <c r="K664" s="38"/>
    </row>
    <row r="665" spans="1:11" x14ac:dyDescent="0.2">
      <c r="A665" s="42"/>
      <c r="B665" s="31"/>
      <c r="C665" s="31"/>
      <c r="D665" s="31"/>
      <c r="E665" s="43"/>
      <c r="G665" s="42"/>
      <c r="H665" s="31"/>
      <c r="I665" s="31"/>
      <c r="J665" s="31"/>
      <c r="K665" s="43"/>
    </row>
    <row r="667" spans="1:11" x14ac:dyDescent="0.2">
      <c r="A667" s="34"/>
      <c r="B667" s="35"/>
      <c r="C667" s="35"/>
      <c r="D667" s="35"/>
      <c r="E667" s="36"/>
      <c r="G667" s="34"/>
      <c r="H667" s="35"/>
      <c r="I667" s="35"/>
      <c r="J667" s="35"/>
      <c r="K667" s="36"/>
    </row>
    <row r="668" spans="1:11" ht="13.5" x14ac:dyDescent="0.25">
      <c r="A668" s="146" t="s">
        <v>232</v>
      </c>
      <c r="B668" s="147"/>
      <c r="C668" s="147"/>
      <c r="D668" s="147"/>
      <c r="E668" s="148"/>
      <c r="G668" s="146" t="s">
        <v>232</v>
      </c>
      <c r="H668" s="147"/>
      <c r="I668" s="147"/>
      <c r="J668" s="147"/>
      <c r="K668" s="148"/>
    </row>
    <row r="669" spans="1:11" x14ac:dyDescent="0.2">
      <c r="A669" s="37"/>
      <c r="B669" s="2"/>
      <c r="C669" s="2"/>
      <c r="D669" s="2"/>
      <c r="E669" s="38"/>
      <c r="G669" s="39"/>
      <c r="H669" s="2"/>
      <c r="I669" s="2"/>
      <c r="J669" s="2"/>
      <c r="K669" s="38"/>
    </row>
    <row r="670" spans="1:11" x14ac:dyDescent="0.2">
      <c r="A670" s="39"/>
      <c r="B670" s="2" t="s">
        <v>228</v>
      </c>
      <c r="C670" s="1" t="s">
        <v>231</v>
      </c>
      <c r="D670" s="40">
        <f>'Rekap SHU dan Jasa Simpanan'!B115</f>
        <v>186</v>
      </c>
      <c r="E670" s="38"/>
      <c r="G670" s="39"/>
      <c r="H670" s="2" t="s">
        <v>228</v>
      </c>
      <c r="I670" s="1" t="s">
        <v>231</v>
      </c>
      <c r="J670" s="40">
        <f>'Rekap SHU dan Jasa Simpanan'!B117</f>
        <v>188</v>
      </c>
      <c r="K670" s="38"/>
    </row>
    <row r="671" spans="1:11" x14ac:dyDescent="0.2">
      <c r="A671" s="39"/>
      <c r="B671" s="2" t="s">
        <v>229</v>
      </c>
      <c r="C671" s="1" t="s">
        <v>231</v>
      </c>
      <c r="D671" s="7" t="str">
        <f>'Rekap SHU dan Jasa Simpanan'!C115</f>
        <v xml:space="preserve"> Ibu Hj. Rasman</v>
      </c>
      <c r="E671" s="38"/>
      <c r="G671" s="39"/>
      <c r="H671" s="2" t="s">
        <v>229</v>
      </c>
      <c r="I671" s="1" t="s">
        <v>231</v>
      </c>
      <c r="J671" s="2" t="str">
        <f>'Rekap SHU dan Jasa Simpanan'!C117</f>
        <v xml:space="preserve"> Ibu Komsiah Sanusi</v>
      </c>
      <c r="K671" s="38"/>
    </row>
    <row r="672" spans="1:11" x14ac:dyDescent="0.2">
      <c r="A672" s="39"/>
      <c r="B672" s="2" t="s">
        <v>221</v>
      </c>
      <c r="C672" s="1" t="s">
        <v>231</v>
      </c>
      <c r="D672" s="41">
        <f>'Rekap SHU dan Jasa Simpanan'!BD115</f>
        <v>1215480</v>
      </c>
      <c r="E672" s="38"/>
      <c r="G672" s="39"/>
      <c r="H672" s="2" t="s">
        <v>221</v>
      </c>
      <c r="I672" s="1" t="s">
        <v>231</v>
      </c>
      <c r="J672" s="41">
        <f>'Rekap SHU dan Jasa Simpanan'!BD117</f>
        <v>112080</v>
      </c>
      <c r="K672" s="38"/>
    </row>
    <row r="673" spans="1:11" x14ac:dyDescent="0.2">
      <c r="A673" s="39"/>
      <c r="B673" s="2" t="s">
        <v>223</v>
      </c>
      <c r="C673" s="1" t="s">
        <v>231</v>
      </c>
      <c r="D673" s="41">
        <f>'Rekap SHU dan Jasa Simpanan'!BQ115</f>
        <v>1365969.5598570046</v>
      </c>
      <c r="E673" s="38"/>
      <c r="G673" s="39"/>
      <c r="H673" s="2" t="s">
        <v>223</v>
      </c>
      <c r="I673" s="1" t="s">
        <v>231</v>
      </c>
      <c r="J673" s="41">
        <f>'Rekap SHU dan Jasa Simpanan'!BQ117</f>
        <v>253968.60168065954</v>
      </c>
      <c r="K673" s="38"/>
    </row>
    <row r="674" spans="1:11" x14ac:dyDescent="0.2">
      <c r="A674" s="39"/>
      <c r="B674" s="10" t="s">
        <v>224</v>
      </c>
      <c r="C674" s="1" t="s">
        <v>231</v>
      </c>
      <c r="D674" s="41">
        <f>'Rekap SHU dan Jasa Simpanan'!BR115</f>
        <v>0</v>
      </c>
      <c r="E674" s="38"/>
      <c r="G674" s="39"/>
      <c r="H674" s="10" t="s">
        <v>224</v>
      </c>
      <c r="I674" s="1" t="s">
        <v>231</v>
      </c>
      <c r="J674" s="41">
        <f>'Rekap SHU dan Jasa Simpanan'!BR117</f>
        <v>98274.588281288175</v>
      </c>
      <c r="K674" s="38"/>
    </row>
    <row r="675" spans="1:11" x14ac:dyDescent="0.2">
      <c r="A675" s="42"/>
      <c r="B675" s="31" t="s">
        <v>230</v>
      </c>
      <c r="C675" s="32" t="s">
        <v>231</v>
      </c>
      <c r="D675" s="33">
        <v>0</v>
      </c>
      <c r="E675" s="43"/>
      <c r="G675" s="39"/>
      <c r="H675" s="31" t="s">
        <v>230</v>
      </c>
      <c r="I675" s="32" t="s">
        <v>231</v>
      </c>
      <c r="J675" s="33">
        <v>0</v>
      </c>
      <c r="K675" s="43"/>
    </row>
    <row r="676" spans="1:11" x14ac:dyDescent="0.2">
      <c r="A676" s="39"/>
      <c r="B676" s="1" t="s">
        <v>5</v>
      </c>
      <c r="C676" s="2"/>
      <c r="D676" s="41">
        <f>SUM(D672:D675)</f>
        <v>2581449.5598570043</v>
      </c>
      <c r="E676" s="38"/>
      <c r="G676" s="44"/>
      <c r="H676" s="1" t="s">
        <v>5</v>
      </c>
      <c r="I676" s="2"/>
      <c r="J676" s="41">
        <f>SUM(J672:J675)</f>
        <v>464323.18996194773</v>
      </c>
      <c r="K676" s="38"/>
    </row>
    <row r="677" spans="1:11" x14ac:dyDescent="0.2">
      <c r="A677" s="42"/>
      <c r="B677" s="31"/>
      <c r="C677" s="31"/>
      <c r="D677" s="31"/>
      <c r="E677" s="43"/>
      <c r="G677" s="42"/>
      <c r="H677" s="31"/>
      <c r="I677" s="31"/>
      <c r="J677" s="31"/>
      <c r="K677" s="43"/>
    </row>
    <row r="679" spans="1:11" x14ac:dyDescent="0.2">
      <c r="A679" s="34"/>
      <c r="B679" s="35"/>
      <c r="C679" s="35"/>
      <c r="D679" s="35"/>
      <c r="E679" s="36"/>
      <c r="G679" s="34"/>
      <c r="H679" s="35"/>
      <c r="I679" s="35"/>
      <c r="J679" s="35"/>
      <c r="K679" s="36"/>
    </row>
    <row r="680" spans="1:11" ht="13.5" x14ac:dyDescent="0.25">
      <c r="A680" s="146" t="s">
        <v>232</v>
      </c>
      <c r="B680" s="147"/>
      <c r="C680" s="147"/>
      <c r="D680" s="147"/>
      <c r="E680" s="148"/>
      <c r="G680" s="146" t="s">
        <v>232</v>
      </c>
      <c r="H680" s="147"/>
      <c r="I680" s="147"/>
      <c r="J680" s="147"/>
      <c r="K680" s="148"/>
    </row>
    <row r="681" spans="1:11" x14ac:dyDescent="0.2">
      <c r="A681" s="37"/>
      <c r="B681" s="2"/>
      <c r="C681" s="2"/>
      <c r="D681" s="2"/>
      <c r="E681" s="38"/>
      <c r="G681" s="39"/>
      <c r="H681" s="2"/>
      <c r="I681" s="2"/>
      <c r="J681" s="2"/>
      <c r="K681" s="38"/>
    </row>
    <row r="682" spans="1:11" x14ac:dyDescent="0.2">
      <c r="A682" s="39"/>
      <c r="B682" s="2" t="s">
        <v>228</v>
      </c>
      <c r="C682" s="1" t="s">
        <v>231</v>
      </c>
      <c r="D682" s="40">
        <f>'Rekap SHU dan Jasa Simpanan'!B118</f>
        <v>189</v>
      </c>
      <c r="E682" s="38"/>
      <c r="G682" s="39"/>
      <c r="H682" s="2" t="s">
        <v>228</v>
      </c>
      <c r="I682" s="1" t="s">
        <v>231</v>
      </c>
      <c r="J682" s="40">
        <f>'Rekap SHU dan Jasa Simpanan'!B119</f>
        <v>190</v>
      </c>
      <c r="K682" s="38"/>
    </row>
    <row r="683" spans="1:11" x14ac:dyDescent="0.2">
      <c r="A683" s="39"/>
      <c r="B683" s="2" t="s">
        <v>229</v>
      </c>
      <c r="C683" s="1" t="s">
        <v>231</v>
      </c>
      <c r="D683" s="7" t="str">
        <f>'Rekap SHU dan Jasa Simpanan'!C118</f>
        <v xml:space="preserve"> Ibu Martini Supardi</v>
      </c>
      <c r="E683" s="38"/>
      <c r="G683" s="39"/>
      <c r="H683" s="2" t="s">
        <v>229</v>
      </c>
      <c r="I683" s="1" t="s">
        <v>231</v>
      </c>
      <c r="J683" s="2" t="str">
        <f>'Rekap SHU dan Jasa Simpanan'!C119</f>
        <v xml:space="preserve"> Ibu Heni Budi</v>
      </c>
      <c r="K683" s="38"/>
    </row>
    <row r="684" spans="1:11" x14ac:dyDescent="0.2">
      <c r="A684" s="39"/>
      <c r="B684" s="2" t="s">
        <v>221</v>
      </c>
      <c r="C684" s="1" t="s">
        <v>231</v>
      </c>
      <c r="D684" s="41">
        <f>'Rekap SHU dan Jasa Simpanan'!BD118</f>
        <v>807150</v>
      </c>
      <c r="E684" s="38"/>
      <c r="G684" s="39"/>
      <c r="H684" s="2" t="s">
        <v>221</v>
      </c>
      <c r="I684" s="1" t="s">
        <v>231</v>
      </c>
      <c r="J684" s="41">
        <f>'Rekap SHU dan Jasa Simpanan'!BD119</f>
        <v>132340</v>
      </c>
      <c r="K684" s="38"/>
    </row>
    <row r="685" spans="1:11" x14ac:dyDescent="0.2">
      <c r="A685" s="39"/>
      <c r="B685" s="2" t="s">
        <v>223</v>
      </c>
      <c r="C685" s="1" t="s">
        <v>231</v>
      </c>
      <c r="D685" s="41">
        <f>'Rekap SHU dan Jasa Simpanan'!BQ118</f>
        <v>1023136.5648822908</v>
      </c>
      <c r="E685" s="38"/>
      <c r="G685" s="39"/>
      <c r="H685" s="2" t="s">
        <v>223</v>
      </c>
      <c r="I685" s="1" t="s">
        <v>231</v>
      </c>
      <c r="J685" s="41">
        <f>'Rekap SHU dan Jasa Simpanan'!BQ119</f>
        <v>276061.28775786416</v>
      </c>
      <c r="K685" s="38"/>
    </row>
    <row r="686" spans="1:11" x14ac:dyDescent="0.2">
      <c r="A686" s="39"/>
      <c r="B686" s="10" t="s">
        <v>224</v>
      </c>
      <c r="C686" s="1" t="s">
        <v>231</v>
      </c>
      <c r="D686" s="41">
        <f>'Rekap SHU dan Jasa Simpanan'!BR118</f>
        <v>157239.34125006109</v>
      </c>
      <c r="E686" s="38"/>
      <c r="G686" s="39"/>
      <c r="H686" s="10" t="s">
        <v>224</v>
      </c>
      <c r="I686" s="1" t="s">
        <v>231</v>
      </c>
      <c r="J686" s="41">
        <f>'Rekap SHU dan Jasa Simpanan'!BR119</f>
        <v>0</v>
      </c>
      <c r="K686" s="38"/>
    </row>
    <row r="687" spans="1:11" x14ac:dyDescent="0.2">
      <c r="A687" s="42"/>
      <c r="B687" s="31" t="s">
        <v>230</v>
      </c>
      <c r="C687" s="32" t="s">
        <v>231</v>
      </c>
      <c r="D687" s="33">
        <v>0</v>
      </c>
      <c r="E687" s="43"/>
      <c r="G687" s="39"/>
      <c r="H687" s="31" t="s">
        <v>230</v>
      </c>
      <c r="I687" s="32" t="s">
        <v>231</v>
      </c>
      <c r="J687" s="33">
        <v>0</v>
      </c>
      <c r="K687" s="43"/>
    </row>
    <row r="688" spans="1:11" x14ac:dyDescent="0.2">
      <c r="A688" s="39"/>
      <c r="B688" s="1" t="s">
        <v>5</v>
      </c>
      <c r="C688" s="2"/>
      <c r="D688" s="41">
        <f>SUM(D684:D687)</f>
        <v>1987525.9061323518</v>
      </c>
      <c r="E688" s="38"/>
      <c r="G688" s="44"/>
      <c r="H688" s="1" t="s">
        <v>5</v>
      </c>
      <c r="I688" s="2"/>
      <c r="J688" s="41">
        <f>SUM(J684:J687)</f>
        <v>408401.28775786416</v>
      </c>
      <c r="K688" s="38"/>
    </row>
    <row r="689" spans="1:11" x14ac:dyDescent="0.2">
      <c r="A689" s="42"/>
      <c r="B689" s="31"/>
      <c r="C689" s="31"/>
      <c r="D689" s="31"/>
      <c r="E689" s="43"/>
      <c r="G689" s="42"/>
      <c r="H689" s="31"/>
      <c r="I689" s="31"/>
      <c r="J689" s="31"/>
      <c r="K689" s="43"/>
    </row>
    <row r="694" spans="1:11" x14ac:dyDescent="0.2">
      <c r="A694" s="34"/>
      <c r="B694" s="35"/>
      <c r="C694" s="35"/>
      <c r="D694" s="35"/>
      <c r="E694" s="36"/>
      <c r="G694" s="34"/>
      <c r="H694" s="35"/>
      <c r="I694" s="35"/>
      <c r="J694" s="35"/>
      <c r="K694" s="36"/>
    </row>
    <row r="695" spans="1:11" ht="13.5" x14ac:dyDescent="0.25">
      <c r="A695" s="146" t="s">
        <v>232</v>
      </c>
      <c r="B695" s="147"/>
      <c r="C695" s="147"/>
      <c r="D695" s="147"/>
      <c r="E695" s="148"/>
      <c r="G695" s="146" t="s">
        <v>232</v>
      </c>
      <c r="H695" s="147"/>
      <c r="I695" s="147"/>
      <c r="J695" s="147"/>
      <c r="K695" s="148"/>
    </row>
    <row r="696" spans="1:11" x14ac:dyDescent="0.2">
      <c r="A696" s="37"/>
      <c r="B696" s="2"/>
      <c r="C696" s="2"/>
      <c r="D696" s="2"/>
      <c r="E696" s="38"/>
      <c r="G696" s="39"/>
      <c r="H696" s="2"/>
      <c r="I696" s="2"/>
      <c r="J696" s="2"/>
      <c r="K696" s="38"/>
    </row>
    <row r="697" spans="1:11" x14ac:dyDescent="0.2">
      <c r="A697" s="39"/>
      <c r="B697" s="2" t="s">
        <v>228</v>
      </c>
      <c r="C697" s="1" t="s">
        <v>231</v>
      </c>
      <c r="D697" s="40">
        <f>'Rekap SHU dan Jasa Simpanan'!B120</f>
        <v>192</v>
      </c>
      <c r="E697" s="38"/>
      <c r="G697" s="39"/>
      <c r="H697" s="2" t="s">
        <v>228</v>
      </c>
      <c r="I697" s="1" t="s">
        <v>231</v>
      </c>
      <c r="J697" s="40">
        <f>'Rekap SHU dan Jasa Simpanan'!B121</f>
        <v>194</v>
      </c>
      <c r="K697" s="38"/>
    </row>
    <row r="698" spans="1:11" x14ac:dyDescent="0.2">
      <c r="A698" s="39"/>
      <c r="B698" s="2" t="s">
        <v>229</v>
      </c>
      <c r="C698" s="1" t="s">
        <v>231</v>
      </c>
      <c r="D698" s="2" t="str">
        <f>'Rekap SHU dan Jasa Simpanan'!C120</f>
        <v xml:space="preserve"> Ade Enang Suparji</v>
      </c>
      <c r="E698" s="38"/>
      <c r="G698" s="39"/>
      <c r="H698" s="2" t="s">
        <v>229</v>
      </c>
      <c r="I698" s="1" t="s">
        <v>231</v>
      </c>
      <c r="J698" s="2" t="str">
        <f>'Rekap SHU dan Jasa Simpanan'!C121</f>
        <v xml:space="preserve"> Sutisna</v>
      </c>
      <c r="K698" s="38"/>
    </row>
    <row r="699" spans="1:11" x14ac:dyDescent="0.2">
      <c r="A699" s="39"/>
      <c r="B699" s="2" t="s">
        <v>221</v>
      </c>
      <c r="C699" s="1" t="s">
        <v>231</v>
      </c>
      <c r="D699" s="41">
        <f>'Rekap SHU dan Jasa Simpanan'!BD120</f>
        <v>76900</v>
      </c>
      <c r="E699" s="38"/>
      <c r="G699" s="39"/>
      <c r="H699" s="2" t="s">
        <v>221</v>
      </c>
      <c r="I699" s="1" t="s">
        <v>231</v>
      </c>
      <c r="J699" s="41">
        <f>'Rekap SHU dan Jasa Simpanan'!BD121</f>
        <v>20500</v>
      </c>
      <c r="K699" s="38"/>
    </row>
    <row r="700" spans="1:11" x14ac:dyDescent="0.2">
      <c r="A700" s="39"/>
      <c r="B700" s="2" t="s">
        <v>223</v>
      </c>
      <c r="C700" s="1" t="s">
        <v>231</v>
      </c>
      <c r="D700" s="41">
        <f>'Rekap SHU dan Jasa Simpanan'!BQ120</f>
        <v>214802.66739946482</v>
      </c>
      <c r="E700" s="38"/>
      <c r="G700" s="39"/>
      <c r="H700" s="2" t="s">
        <v>223</v>
      </c>
      <c r="I700" s="1" t="s">
        <v>231</v>
      </c>
      <c r="J700" s="41">
        <f>'Rekap SHU dan Jasa Simpanan'!BQ121</f>
        <v>124919.53528172955</v>
      </c>
      <c r="K700" s="38"/>
    </row>
    <row r="701" spans="1:11" x14ac:dyDescent="0.2">
      <c r="A701" s="39"/>
      <c r="B701" s="10" t="s">
        <v>224</v>
      </c>
      <c r="C701" s="1" t="s">
        <v>231</v>
      </c>
      <c r="D701" s="41">
        <f>'Rekap SHU dan Jasa Simpanan'!BR120</f>
        <v>589647.52968772908</v>
      </c>
      <c r="E701" s="38"/>
      <c r="G701" s="39"/>
      <c r="H701" s="10" t="s">
        <v>224</v>
      </c>
      <c r="I701" s="1" t="s">
        <v>231</v>
      </c>
      <c r="J701" s="41">
        <f>'Rekap SHU dan Jasa Simpanan'!BR121</f>
        <v>157239.34125006109</v>
      </c>
      <c r="K701" s="38"/>
    </row>
    <row r="702" spans="1:11" x14ac:dyDescent="0.2">
      <c r="A702" s="42"/>
      <c r="B702" s="31" t="s">
        <v>230</v>
      </c>
      <c r="C702" s="32" t="s">
        <v>231</v>
      </c>
      <c r="D702" s="33">
        <v>50000</v>
      </c>
      <c r="E702" s="43"/>
      <c r="G702" s="39"/>
      <c r="H702" s="31" t="s">
        <v>230</v>
      </c>
      <c r="I702" s="32" t="s">
        <v>231</v>
      </c>
      <c r="J702" s="33">
        <v>0</v>
      </c>
      <c r="K702" s="43"/>
    </row>
    <row r="703" spans="1:11" x14ac:dyDescent="0.2">
      <c r="A703" s="39"/>
      <c r="B703" s="1" t="s">
        <v>5</v>
      </c>
      <c r="C703" s="2"/>
      <c r="D703" s="41">
        <f>SUM(D699:D702)</f>
        <v>931350.19708719384</v>
      </c>
      <c r="E703" s="38"/>
      <c r="G703" s="44"/>
      <c r="H703" s="1" t="s">
        <v>5</v>
      </c>
      <c r="I703" s="2"/>
      <c r="J703" s="41">
        <f>SUM(J699:J702)</f>
        <v>302658.87653179059</v>
      </c>
      <c r="K703" s="38"/>
    </row>
    <row r="704" spans="1:11" x14ac:dyDescent="0.2">
      <c r="A704" s="42"/>
      <c r="B704" s="31"/>
      <c r="C704" s="31"/>
      <c r="D704" s="31"/>
      <c r="E704" s="43"/>
      <c r="G704" s="42"/>
      <c r="H704" s="31"/>
      <c r="I704" s="31"/>
      <c r="J704" s="31"/>
      <c r="K704" s="43"/>
    </row>
    <row r="706" spans="1:11" x14ac:dyDescent="0.2">
      <c r="A706" s="34"/>
      <c r="B706" s="35"/>
      <c r="C706" s="35"/>
      <c r="D706" s="35"/>
      <c r="E706" s="36"/>
      <c r="G706" s="34"/>
      <c r="H706" s="35"/>
      <c r="I706" s="35"/>
      <c r="J706" s="35"/>
      <c r="K706" s="36"/>
    </row>
    <row r="707" spans="1:11" ht="13.5" x14ac:dyDescent="0.25">
      <c r="A707" s="146" t="s">
        <v>232</v>
      </c>
      <c r="B707" s="147"/>
      <c r="C707" s="147"/>
      <c r="D707" s="147"/>
      <c r="E707" s="148"/>
      <c r="G707" s="146" t="s">
        <v>232</v>
      </c>
      <c r="H707" s="147"/>
      <c r="I707" s="147"/>
      <c r="J707" s="147"/>
      <c r="K707" s="148"/>
    </row>
    <row r="708" spans="1:11" x14ac:dyDescent="0.2">
      <c r="A708" s="37"/>
      <c r="B708" s="2"/>
      <c r="C708" s="2"/>
      <c r="D708" s="2"/>
      <c r="E708" s="38"/>
      <c r="G708" s="39"/>
      <c r="H708" s="2"/>
      <c r="I708" s="2"/>
      <c r="J708" s="2"/>
      <c r="K708" s="38"/>
    </row>
    <row r="709" spans="1:11" x14ac:dyDescent="0.2">
      <c r="A709" s="39"/>
      <c r="B709" s="2" t="s">
        <v>228</v>
      </c>
      <c r="C709" s="1" t="s">
        <v>231</v>
      </c>
      <c r="D709" s="40">
        <f>'Rekap SHU dan Jasa Simpanan'!B122</f>
        <v>195</v>
      </c>
      <c r="E709" s="38"/>
      <c r="G709" s="39"/>
      <c r="H709" s="2" t="s">
        <v>228</v>
      </c>
      <c r="I709" s="1" t="s">
        <v>231</v>
      </c>
      <c r="J709" s="40">
        <f>'Rekap SHU dan Jasa Simpanan'!B123</f>
        <v>196</v>
      </c>
      <c r="K709" s="38"/>
    </row>
    <row r="710" spans="1:11" x14ac:dyDescent="0.2">
      <c r="A710" s="39"/>
      <c r="B710" s="2" t="s">
        <v>229</v>
      </c>
      <c r="C710" s="1" t="s">
        <v>231</v>
      </c>
      <c r="D710" s="7" t="str">
        <f>'Rekap SHU dan Jasa Simpanan'!C122</f>
        <v xml:space="preserve"> Ibu Ai Dedi Sutarman</v>
      </c>
      <c r="E710" s="38"/>
      <c r="G710" s="39"/>
      <c r="H710" s="2" t="s">
        <v>229</v>
      </c>
      <c r="I710" s="1" t="s">
        <v>231</v>
      </c>
      <c r="J710" s="2" t="str">
        <f>'Rekap SHU dan Jasa Simpanan'!C123</f>
        <v xml:space="preserve"> Ibu Iis Saepuloh</v>
      </c>
      <c r="K710" s="38"/>
    </row>
    <row r="711" spans="1:11" x14ac:dyDescent="0.2">
      <c r="A711" s="39"/>
      <c r="B711" s="2" t="s">
        <v>221</v>
      </c>
      <c r="C711" s="1" t="s">
        <v>231</v>
      </c>
      <c r="D711" s="41">
        <f>'Rekap SHU dan Jasa Simpanan'!BD122</f>
        <v>81100</v>
      </c>
      <c r="E711" s="38"/>
      <c r="G711" s="39"/>
      <c r="H711" s="2" t="s">
        <v>221</v>
      </c>
      <c r="I711" s="1" t="s">
        <v>231</v>
      </c>
      <c r="J711" s="41">
        <f>'Rekap SHU dan Jasa Simpanan'!BD123</f>
        <v>111820</v>
      </c>
      <c r="K711" s="38"/>
    </row>
    <row r="712" spans="1:11" x14ac:dyDescent="0.2">
      <c r="A712" s="39"/>
      <c r="B712" s="2" t="s">
        <v>223</v>
      </c>
      <c r="C712" s="1" t="s">
        <v>231</v>
      </c>
      <c r="D712" s="41">
        <f>'Rekap SHU dan Jasa Simpanan'!BQ122</f>
        <v>219708.4246962597</v>
      </c>
      <c r="E712" s="38"/>
      <c r="G712" s="39"/>
      <c r="H712" s="2" t="s">
        <v>223</v>
      </c>
      <c r="I712" s="1" t="s">
        <v>231</v>
      </c>
      <c r="J712" s="41">
        <f>'Rekap SHU dan Jasa Simpanan'!BQ123</f>
        <v>250988.04784914971</v>
      </c>
      <c r="K712" s="38"/>
    </row>
    <row r="713" spans="1:11" x14ac:dyDescent="0.2">
      <c r="A713" s="39"/>
      <c r="B713" s="10" t="s">
        <v>224</v>
      </c>
      <c r="C713" s="1" t="s">
        <v>231</v>
      </c>
      <c r="D713" s="41">
        <f>'Rekap SHU dan Jasa Simpanan'!BR122</f>
        <v>196549.17656257635</v>
      </c>
      <c r="E713" s="38"/>
      <c r="G713" s="39"/>
      <c r="H713" s="10" t="s">
        <v>224</v>
      </c>
      <c r="I713" s="1" t="s">
        <v>231</v>
      </c>
      <c r="J713" s="41">
        <f>'Rekap SHU dan Jasa Simpanan'!BR123</f>
        <v>196549.17656257635</v>
      </c>
      <c r="K713" s="38"/>
    </row>
    <row r="714" spans="1:11" x14ac:dyDescent="0.2">
      <c r="A714" s="42"/>
      <c r="B714" s="31" t="s">
        <v>230</v>
      </c>
      <c r="C714" s="32" t="s">
        <v>231</v>
      </c>
      <c r="D714" s="33">
        <v>0</v>
      </c>
      <c r="E714" s="43"/>
      <c r="G714" s="39"/>
      <c r="H714" s="31" t="s">
        <v>230</v>
      </c>
      <c r="I714" s="32" t="s">
        <v>231</v>
      </c>
      <c r="J714" s="33">
        <v>0</v>
      </c>
      <c r="K714" s="43"/>
    </row>
    <row r="715" spans="1:11" x14ac:dyDescent="0.2">
      <c r="A715" s="39"/>
      <c r="B715" s="1" t="s">
        <v>5</v>
      </c>
      <c r="C715" s="2"/>
      <c r="D715" s="41">
        <f>SUM(D711:D714)</f>
        <v>497357.60125883599</v>
      </c>
      <c r="E715" s="38"/>
      <c r="G715" s="44"/>
      <c r="H715" s="1" t="s">
        <v>5</v>
      </c>
      <c r="I715" s="2"/>
      <c r="J715" s="41">
        <f>SUM(J711:J714)</f>
        <v>559357.224411726</v>
      </c>
      <c r="K715" s="38"/>
    </row>
    <row r="716" spans="1:11" x14ac:dyDescent="0.2">
      <c r="A716" s="42"/>
      <c r="B716" s="31"/>
      <c r="C716" s="31"/>
      <c r="D716" s="31"/>
      <c r="E716" s="43"/>
      <c r="G716" s="42"/>
      <c r="H716" s="31"/>
      <c r="I716" s="31"/>
      <c r="J716" s="31"/>
      <c r="K716" s="43"/>
    </row>
    <row r="718" spans="1:11" x14ac:dyDescent="0.2">
      <c r="A718" s="34"/>
      <c r="B718" s="35"/>
      <c r="C718" s="35"/>
      <c r="D718" s="35"/>
      <c r="E718" s="36"/>
      <c r="G718" s="34"/>
      <c r="H718" s="35"/>
      <c r="I718" s="35"/>
      <c r="J718" s="35"/>
      <c r="K718" s="36"/>
    </row>
    <row r="719" spans="1:11" ht="13.5" x14ac:dyDescent="0.25">
      <c r="A719" s="146" t="s">
        <v>232</v>
      </c>
      <c r="B719" s="147"/>
      <c r="C719" s="147"/>
      <c r="D719" s="147"/>
      <c r="E719" s="148"/>
      <c r="G719" s="146" t="s">
        <v>232</v>
      </c>
      <c r="H719" s="147"/>
      <c r="I719" s="147"/>
      <c r="J719" s="147"/>
      <c r="K719" s="148"/>
    </row>
    <row r="720" spans="1:11" x14ac:dyDescent="0.2">
      <c r="A720" s="37"/>
      <c r="B720" s="2"/>
      <c r="C720" s="2"/>
      <c r="D720" s="2"/>
      <c r="E720" s="38"/>
      <c r="G720" s="39"/>
      <c r="H720" s="2"/>
      <c r="I720" s="2"/>
      <c r="J720" s="2"/>
      <c r="K720" s="38"/>
    </row>
    <row r="721" spans="1:11" x14ac:dyDescent="0.2">
      <c r="A721" s="39"/>
      <c r="B721" s="2" t="s">
        <v>228</v>
      </c>
      <c r="C721" s="1" t="s">
        <v>231</v>
      </c>
      <c r="D721" s="40">
        <f>'Rekap SHU dan Jasa Simpanan'!B124</f>
        <v>197</v>
      </c>
      <c r="E721" s="38"/>
      <c r="G721" s="39"/>
      <c r="H721" s="2" t="s">
        <v>228</v>
      </c>
      <c r="I721" s="1" t="s">
        <v>231</v>
      </c>
      <c r="J721" s="40">
        <f>'Rekap SHU dan Jasa Simpanan'!B125</f>
        <v>199</v>
      </c>
      <c r="K721" s="38"/>
    </row>
    <row r="722" spans="1:11" x14ac:dyDescent="0.2">
      <c r="A722" s="39"/>
      <c r="B722" s="2" t="s">
        <v>229</v>
      </c>
      <c r="C722" s="1" t="s">
        <v>231</v>
      </c>
      <c r="D722" s="7" t="str">
        <f>'Rekap SHU dan Jasa Simpanan'!C124</f>
        <v xml:space="preserve"> Wahyudin bin abas</v>
      </c>
      <c r="E722" s="38"/>
      <c r="G722" s="39"/>
      <c r="H722" s="2" t="s">
        <v>229</v>
      </c>
      <c r="I722" s="1" t="s">
        <v>231</v>
      </c>
      <c r="J722" s="2" t="str">
        <f>'Rekap SHU dan Jasa Simpanan'!C125</f>
        <v xml:space="preserve"> Dedi Junaedi</v>
      </c>
      <c r="K722" s="38"/>
    </row>
    <row r="723" spans="1:11" x14ac:dyDescent="0.2">
      <c r="A723" s="39"/>
      <c r="B723" s="2" t="s">
        <v>221</v>
      </c>
      <c r="C723" s="1" t="s">
        <v>231</v>
      </c>
      <c r="D723" s="41">
        <f>'Rekap SHU dan Jasa Simpanan'!BD124</f>
        <v>320750</v>
      </c>
      <c r="E723" s="38"/>
      <c r="G723" s="39"/>
      <c r="H723" s="2" t="s">
        <v>221</v>
      </c>
      <c r="I723" s="1" t="s">
        <v>231</v>
      </c>
      <c r="J723" s="41">
        <f>'Rekap SHU dan Jasa Simpanan'!BD125</f>
        <v>22300</v>
      </c>
      <c r="K723" s="38"/>
    </row>
    <row r="724" spans="1:11" x14ac:dyDescent="0.2">
      <c r="A724" s="39"/>
      <c r="B724" s="2" t="s">
        <v>223</v>
      </c>
      <c r="C724" s="1" t="s">
        <v>231</v>
      </c>
      <c r="D724" s="41">
        <f>'Rekap SHU dan Jasa Simpanan'!BQ124</f>
        <v>444862.16980259476</v>
      </c>
      <c r="E724" s="38"/>
      <c r="G724" s="39"/>
      <c r="H724" s="2" t="s">
        <v>223</v>
      </c>
      <c r="I724" s="1" t="s">
        <v>231</v>
      </c>
      <c r="J724" s="41">
        <f>'Rekap SHU dan Jasa Simpanan'!BQ125</f>
        <v>126045.63408905886</v>
      </c>
      <c r="K724" s="38"/>
    </row>
    <row r="725" spans="1:11" x14ac:dyDescent="0.2">
      <c r="A725" s="39"/>
      <c r="B725" s="10" t="s">
        <v>224</v>
      </c>
      <c r="C725" s="1" t="s">
        <v>231</v>
      </c>
      <c r="D725" s="41">
        <f>'Rekap SHU dan Jasa Simpanan'!BR124</f>
        <v>0</v>
      </c>
      <c r="E725" s="38"/>
      <c r="G725" s="39"/>
      <c r="H725" s="10" t="s">
        <v>224</v>
      </c>
      <c r="I725" s="1" t="s">
        <v>231</v>
      </c>
      <c r="J725" s="41">
        <f>'Rekap SHU dan Jasa Simpanan'!BR125</f>
        <v>196549.17656257635</v>
      </c>
      <c r="K725" s="38"/>
    </row>
    <row r="726" spans="1:11" x14ac:dyDescent="0.2">
      <c r="A726" s="42"/>
      <c r="B726" s="31" t="s">
        <v>230</v>
      </c>
      <c r="C726" s="32" t="s">
        <v>231</v>
      </c>
      <c r="D726" s="33">
        <v>0</v>
      </c>
      <c r="E726" s="43"/>
      <c r="G726" s="39"/>
      <c r="H726" s="31" t="s">
        <v>230</v>
      </c>
      <c r="I726" s="32" t="s">
        <v>231</v>
      </c>
      <c r="J726" s="33">
        <v>0</v>
      </c>
      <c r="K726" s="43"/>
    </row>
    <row r="727" spans="1:11" x14ac:dyDescent="0.2">
      <c r="A727" s="39"/>
      <c r="B727" s="1" t="s">
        <v>5</v>
      </c>
      <c r="C727" s="2"/>
      <c r="D727" s="41">
        <f>SUM(D723:D726)</f>
        <v>765612.1698025947</v>
      </c>
      <c r="E727" s="38"/>
      <c r="G727" s="44"/>
      <c r="H727" s="1" t="s">
        <v>5</v>
      </c>
      <c r="I727" s="2"/>
      <c r="J727" s="41">
        <f>SUM(J723:J726)</f>
        <v>344894.81065163517</v>
      </c>
      <c r="K727" s="38"/>
    </row>
    <row r="728" spans="1:11" x14ac:dyDescent="0.2">
      <c r="A728" s="42"/>
      <c r="B728" s="31"/>
      <c r="C728" s="31"/>
      <c r="D728" s="31"/>
      <c r="E728" s="43"/>
      <c r="G728" s="42"/>
      <c r="H728" s="31"/>
      <c r="I728" s="31"/>
      <c r="J728" s="31"/>
      <c r="K728" s="43"/>
    </row>
    <row r="730" spans="1:11" x14ac:dyDescent="0.2">
      <c r="A730" s="34"/>
      <c r="B730" s="35"/>
      <c r="C730" s="35"/>
      <c r="D730" s="35"/>
      <c r="E730" s="36"/>
      <c r="G730" s="34"/>
      <c r="H730" s="35"/>
      <c r="I730" s="35"/>
      <c r="J730" s="35"/>
      <c r="K730" s="36"/>
    </row>
    <row r="731" spans="1:11" ht="13.5" x14ac:dyDescent="0.25">
      <c r="A731" s="146" t="s">
        <v>232</v>
      </c>
      <c r="B731" s="147"/>
      <c r="C731" s="147"/>
      <c r="D731" s="147"/>
      <c r="E731" s="148"/>
      <c r="G731" s="146" t="s">
        <v>232</v>
      </c>
      <c r="H731" s="147"/>
      <c r="I731" s="147"/>
      <c r="J731" s="147"/>
      <c r="K731" s="148"/>
    </row>
    <row r="732" spans="1:11" x14ac:dyDescent="0.2">
      <c r="A732" s="37"/>
      <c r="B732" s="2"/>
      <c r="C732" s="2"/>
      <c r="D732" s="2"/>
      <c r="E732" s="38"/>
      <c r="G732" s="39"/>
      <c r="H732" s="2"/>
      <c r="I732" s="2"/>
      <c r="J732" s="2"/>
      <c r="K732" s="38"/>
    </row>
    <row r="733" spans="1:11" x14ac:dyDescent="0.2">
      <c r="A733" s="39"/>
      <c r="B733" s="2" t="s">
        <v>228</v>
      </c>
      <c r="C733" s="1" t="s">
        <v>231</v>
      </c>
      <c r="D733" s="40">
        <f>'Rekap SHU dan Jasa Simpanan'!B126</f>
        <v>200</v>
      </c>
      <c r="E733" s="38"/>
      <c r="G733" s="39"/>
      <c r="H733" s="2" t="s">
        <v>228</v>
      </c>
      <c r="I733" s="1" t="s">
        <v>231</v>
      </c>
      <c r="J733" s="40">
        <f>'Rekap SHU dan Jasa Simpanan'!B127</f>
        <v>201</v>
      </c>
      <c r="K733" s="38"/>
    </row>
    <row r="734" spans="1:11" x14ac:dyDescent="0.2">
      <c r="A734" s="39"/>
      <c r="B734" s="2" t="s">
        <v>229</v>
      </c>
      <c r="C734" s="1" t="s">
        <v>231</v>
      </c>
      <c r="D734" s="7" t="str">
        <f>'Rekap SHU dan Jasa Simpanan'!C126</f>
        <v xml:space="preserve"> Rikrik Nurjaman</v>
      </c>
      <c r="E734" s="38"/>
      <c r="G734" s="39"/>
      <c r="H734" s="2" t="s">
        <v>229</v>
      </c>
      <c r="I734" s="1" t="s">
        <v>231</v>
      </c>
      <c r="J734" s="2" t="str">
        <f>'Rekap SHU dan Jasa Simpanan'!C127</f>
        <v xml:space="preserve"> Ramdani</v>
      </c>
      <c r="K734" s="38"/>
    </row>
    <row r="735" spans="1:11" x14ac:dyDescent="0.2">
      <c r="A735" s="39"/>
      <c r="B735" s="2" t="s">
        <v>221</v>
      </c>
      <c r="C735" s="1" t="s">
        <v>231</v>
      </c>
      <c r="D735" s="41">
        <f>'Rekap SHU dan Jasa Simpanan'!BD126</f>
        <v>31250</v>
      </c>
      <c r="E735" s="38"/>
      <c r="G735" s="39"/>
      <c r="H735" s="2" t="s">
        <v>221</v>
      </c>
      <c r="I735" s="1" t="s">
        <v>231</v>
      </c>
      <c r="J735" s="41">
        <f>'Rekap SHU dan Jasa Simpanan'!BD127</f>
        <v>17100</v>
      </c>
      <c r="K735" s="38"/>
    </row>
    <row r="736" spans="1:11" x14ac:dyDescent="0.2">
      <c r="A736" s="39"/>
      <c r="B736" s="2" t="s">
        <v>223</v>
      </c>
      <c r="C736" s="1" t="s">
        <v>231</v>
      </c>
      <c r="D736" s="41">
        <f>'Rekap SHU dan Jasa Simpanan'!BQ126</f>
        <v>134968.13431985592</v>
      </c>
      <c r="E736" s="38"/>
      <c r="G736" s="39"/>
      <c r="H736" s="2" t="s">
        <v>223</v>
      </c>
      <c r="I736" s="1" t="s">
        <v>231</v>
      </c>
      <c r="J736" s="41">
        <f>'Rekap SHU dan Jasa Simpanan'!BQ127</f>
        <v>120299.6956746255</v>
      </c>
      <c r="K736" s="38"/>
    </row>
    <row r="737" spans="1:11" x14ac:dyDescent="0.2">
      <c r="A737" s="39"/>
      <c r="B737" s="10" t="s">
        <v>224</v>
      </c>
      <c r="C737" s="1" t="s">
        <v>231</v>
      </c>
      <c r="D737" s="41">
        <f>'Rekap SHU dan Jasa Simpanan'!BR126</f>
        <v>188359.62753913569</v>
      </c>
      <c r="E737" s="38"/>
      <c r="G737" s="39"/>
      <c r="H737" s="10" t="s">
        <v>224</v>
      </c>
      <c r="I737" s="1" t="s">
        <v>231</v>
      </c>
      <c r="J737" s="41">
        <f>'Rekap SHU dan Jasa Simpanan'!BR127</f>
        <v>196549.17656257635</v>
      </c>
      <c r="K737" s="38"/>
    </row>
    <row r="738" spans="1:11" x14ac:dyDescent="0.2">
      <c r="A738" s="42"/>
      <c r="B738" s="31" t="s">
        <v>230</v>
      </c>
      <c r="C738" s="32" t="s">
        <v>231</v>
      </c>
      <c r="D738" s="33">
        <v>0</v>
      </c>
      <c r="E738" s="43"/>
      <c r="G738" s="39"/>
      <c r="H738" s="31" t="s">
        <v>230</v>
      </c>
      <c r="I738" s="32" t="s">
        <v>231</v>
      </c>
      <c r="J738" s="33">
        <v>0</v>
      </c>
      <c r="K738" s="43"/>
    </row>
    <row r="739" spans="1:11" x14ac:dyDescent="0.2">
      <c r="A739" s="39"/>
      <c r="B739" s="1" t="s">
        <v>5</v>
      </c>
      <c r="C739" s="2"/>
      <c r="D739" s="41">
        <f>SUM(D735:D738)</f>
        <v>354577.76185899158</v>
      </c>
      <c r="E739" s="38"/>
      <c r="G739" s="44"/>
      <c r="H739" s="1" t="s">
        <v>5</v>
      </c>
      <c r="I739" s="2"/>
      <c r="J739" s="41">
        <f>SUM(J735:J738)</f>
        <v>333948.8722372019</v>
      </c>
      <c r="K739" s="38"/>
    </row>
    <row r="740" spans="1:11" x14ac:dyDescent="0.2">
      <c r="A740" s="42"/>
      <c r="B740" s="31"/>
      <c r="C740" s="31"/>
      <c r="D740" s="31"/>
      <c r="E740" s="43"/>
      <c r="G740" s="42"/>
      <c r="H740" s="31"/>
      <c r="I740" s="31"/>
      <c r="J740" s="31"/>
      <c r="K740" s="43"/>
    </row>
    <row r="742" spans="1:11" x14ac:dyDescent="0.2">
      <c r="A742" s="34"/>
      <c r="B742" s="35"/>
      <c r="C742" s="35"/>
      <c r="D742" s="35"/>
      <c r="E742" s="36"/>
      <c r="G742" s="34"/>
      <c r="H742" s="35"/>
      <c r="I742" s="35"/>
      <c r="J742" s="35"/>
      <c r="K742" s="36"/>
    </row>
    <row r="743" spans="1:11" ht="13.5" x14ac:dyDescent="0.25">
      <c r="A743" s="146" t="s">
        <v>232</v>
      </c>
      <c r="B743" s="147"/>
      <c r="C743" s="147"/>
      <c r="D743" s="147"/>
      <c r="E743" s="148"/>
      <c r="G743" s="146" t="s">
        <v>232</v>
      </c>
      <c r="H743" s="147"/>
      <c r="I743" s="147"/>
      <c r="J743" s="147"/>
      <c r="K743" s="148"/>
    </row>
    <row r="744" spans="1:11" x14ac:dyDescent="0.2">
      <c r="A744" s="37"/>
      <c r="B744" s="2"/>
      <c r="C744" s="2"/>
      <c r="D744" s="2"/>
      <c r="E744" s="38"/>
      <c r="G744" s="39"/>
      <c r="H744" s="2"/>
      <c r="I744" s="2"/>
      <c r="J744" s="2"/>
      <c r="K744" s="38"/>
    </row>
    <row r="745" spans="1:11" x14ac:dyDescent="0.2">
      <c r="A745" s="39"/>
      <c r="B745" s="2" t="s">
        <v>228</v>
      </c>
      <c r="C745" s="1" t="s">
        <v>231</v>
      </c>
      <c r="D745" s="40">
        <f>'Rekap SHU dan Jasa Simpanan'!B128</f>
        <v>202</v>
      </c>
      <c r="E745" s="38"/>
      <c r="G745" s="39"/>
      <c r="H745" s="2" t="s">
        <v>228</v>
      </c>
      <c r="I745" s="1" t="s">
        <v>231</v>
      </c>
      <c r="J745" s="40">
        <f>'Rekap SHU dan Jasa Simpanan'!B129</f>
        <v>203</v>
      </c>
      <c r="K745" s="38"/>
    </row>
    <row r="746" spans="1:11" x14ac:dyDescent="0.2">
      <c r="A746" s="39"/>
      <c r="B746" s="2" t="s">
        <v>229</v>
      </c>
      <c r="C746" s="1" t="s">
        <v>231</v>
      </c>
      <c r="D746" s="7" t="str">
        <f>'Rekap SHU dan Jasa Simpanan'!C128</f>
        <v xml:space="preserve"> Ajat Munajat</v>
      </c>
      <c r="E746" s="38"/>
      <c r="G746" s="39"/>
      <c r="H746" s="2" t="s">
        <v>229</v>
      </c>
      <c r="I746" s="1" t="s">
        <v>231</v>
      </c>
      <c r="J746" s="2" t="str">
        <f>'Rekap SHU dan Jasa Simpanan'!C129</f>
        <v xml:space="preserve"> Jajam Apidin</v>
      </c>
      <c r="K746" s="38"/>
    </row>
    <row r="747" spans="1:11" x14ac:dyDescent="0.2">
      <c r="A747" s="39"/>
      <c r="B747" s="2" t="s">
        <v>221</v>
      </c>
      <c r="C747" s="1" t="s">
        <v>231</v>
      </c>
      <c r="D747" s="41">
        <f>'Rekap SHU dan Jasa Simpanan'!BD128</f>
        <v>72625</v>
      </c>
      <c r="E747" s="38"/>
      <c r="G747" s="39"/>
      <c r="H747" s="2" t="s">
        <v>221</v>
      </c>
      <c r="I747" s="1" t="s">
        <v>231</v>
      </c>
      <c r="J747" s="41">
        <f>'Rekap SHU dan Jasa Simpanan'!BD129</f>
        <v>22300</v>
      </c>
      <c r="K747" s="38"/>
    </row>
    <row r="748" spans="1:11" x14ac:dyDescent="0.2">
      <c r="A748" s="39"/>
      <c r="B748" s="2" t="s">
        <v>223</v>
      </c>
      <c r="C748" s="1" t="s">
        <v>231</v>
      </c>
      <c r="D748" s="41">
        <f>'Rekap SHU dan Jasa Simpanan'!BQ128</f>
        <v>172756.31638368266</v>
      </c>
      <c r="E748" s="38"/>
      <c r="G748" s="39"/>
      <c r="H748" s="2" t="s">
        <v>223</v>
      </c>
      <c r="I748" s="1" t="s">
        <v>231</v>
      </c>
      <c r="J748" s="41">
        <f>'Rekap SHU dan Jasa Simpanan'!BQ129</f>
        <v>125937.01580940674</v>
      </c>
      <c r="K748" s="38"/>
    </row>
    <row r="749" spans="1:11" x14ac:dyDescent="0.2">
      <c r="A749" s="39"/>
      <c r="B749" s="10" t="s">
        <v>224</v>
      </c>
      <c r="C749" s="1" t="s">
        <v>231</v>
      </c>
      <c r="D749" s="41">
        <f>'Rekap SHU dan Jasa Simpanan'!BR128</f>
        <v>196549.17656257635</v>
      </c>
      <c r="E749" s="38"/>
      <c r="G749" s="39"/>
      <c r="H749" s="10" t="s">
        <v>224</v>
      </c>
      <c r="I749" s="1" t="s">
        <v>231</v>
      </c>
      <c r="J749" s="41">
        <f>'Rekap SHU dan Jasa Simpanan'!BR129</f>
        <v>117929.50593754582</v>
      </c>
      <c r="K749" s="38"/>
    </row>
    <row r="750" spans="1:11" x14ac:dyDescent="0.2">
      <c r="A750" s="42"/>
      <c r="B750" s="31" t="s">
        <v>230</v>
      </c>
      <c r="C750" s="32" t="s">
        <v>231</v>
      </c>
      <c r="D750" s="33">
        <v>0</v>
      </c>
      <c r="E750" s="43"/>
      <c r="G750" s="39"/>
      <c r="H750" s="31" t="s">
        <v>230</v>
      </c>
      <c r="I750" s="32" t="s">
        <v>231</v>
      </c>
      <c r="J750" s="33">
        <v>0</v>
      </c>
      <c r="K750" s="43"/>
    </row>
    <row r="751" spans="1:11" x14ac:dyDescent="0.2">
      <c r="A751" s="39"/>
      <c r="B751" s="1" t="s">
        <v>5</v>
      </c>
      <c r="C751" s="2"/>
      <c r="D751" s="41">
        <f>SUM(D747:D750)</f>
        <v>441930.49294625898</v>
      </c>
      <c r="E751" s="38"/>
      <c r="G751" s="44"/>
      <c r="H751" s="1" t="s">
        <v>5</v>
      </c>
      <c r="I751" s="2"/>
      <c r="J751" s="41">
        <f>SUM(J747:J750)</f>
        <v>266166.52174695255</v>
      </c>
      <c r="K751" s="38"/>
    </row>
    <row r="752" spans="1:11" x14ac:dyDescent="0.2">
      <c r="A752" s="42"/>
      <c r="B752" s="31"/>
      <c r="C752" s="31"/>
      <c r="D752" s="31"/>
      <c r="E752" s="43"/>
      <c r="G752" s="42"/>
      <c r="H752" s="31"/>
      <c r="I752" s="31"/>
      <c r="J752" s="31"/>
      <c r="K752" s="43"/>
    </row>
    <row r="757" spans="1:11" x14ac:dyDescent="0.2">
      <c r="A757" s="34"/>
      <c r="B757" s="35"/>
      <c r="C757" s="35"/>
      <c r="D757" s="35"/>
      <c r="E757" s="36"/>
      <c r="G757" s="34"/>
      <c r="H757" s="35"/>
      <c r="I757" s="35"/>
      <c r="J757" s="35"/>
      <c r="K757" s="36"/>
    </row>
    <row r="758" spans="1:11" ht="13.5" x14ac:dyDescent="0.25">
      <c r="A758" s="146" t="s">
        <v>232</v>
      </c>
      <c r="B758" s="147"/>
      <c r="C758" s="147"/>
      <c r="D758" s="147"/>
      <c r="E758" s="148"/>
      <c r="G758" s="146" t="s">
        <v>232</v>
      </c>
      <c r="H758" s="147"/>
      <c r="I758" s="147"/>
      <c r="J758" s="147"/>
      <c r="K758" s="148"/>
    </row>
    <row r="759" spans="1:11" x14ac:dyDescent="0.2">
      <c r="A759" s="37"/>
      <c r="B759" s="2"/>
      <c r="C759" s="2"/>
      <c r="D759" s="2"/>
      <c r="E759" s="38"/>
      <c r="G759" s="39"/>
      <c r="H759" s="2"/>
      <c r="I759" s="2"/>
      <c r="J759" s="2"/>
      <c r="K759" s="38"/>
    </row>
    <row r="760" spans="1:11" x14ac:dyDescent="0.2">
      <c r="A760" s="39"/>
      <c r="B760" s="2" t="s">
        <v>228</v>
      </c>
      <c r="C760" s="1" t="s">
        <v>231</v>
      </c>
      <c r="D760" s="40">
        <f xml:space="preserve">   'Rekap SHU dan Jasa Simpanan'!B131</f>
        <v>204</v>
      </c>
      <c r="E760" s="38"/>
      <c r="G760" s="39"/>
      <c r="H760" s="2" t="s">
        <v>228</v>
      </c>
      <c r="I760" s="1" t="s">
        <v>231</v>
      </c>
      <c r="J760" s="40">
        <f>'Rekap SHU dan Jasa Simpanan'!B132</f>
        <v>205</v>
      </c>
      <c r="K760" s="38"/>
    </row>
    <row r="761" spans="1:11" x14ac:dyDescent="0.2">
      <c r="A761" s="39"/>
      <c r="B761" s="2" t="s">
        <v>229</v>
      </c>
      <c r="C761" s="1" t="s">
        <v>231</v>
      </c>
      <c r="D761" s="2" t="str">
        <f>'Rekap SHU dan Jasa Simpanan'!C131</f>
        <v xml:space="preserve"> Popon Jaelani</v>
      </c>
      <c r="E761" s="38"/>
      <c r="G761" s="39"/>
      <c r="H761" s="2" t="s">
        <v>229</v>
      </c>
      <c r="I761" s="1" t="s">
        <v>231</v>
      </c>
      <c r="J761" s="2" t="str">
        <f>'Rekap SHU dan Jasa Simpanan'!C132</f>
        <v xml:space="preserve"> Wawan Ruswandi</v>
      </c>
      <c r="K761" s="38"/>
    </row>
    <row r="762" spans="1:11" x14ac:dyDescent="0.2">
      <c r="A762" s="39"/>
      <c r="B762" s="2" t="s">
        <v>221</v>
      </c>
      <c r="C762" s="1" t="s">
        <v>231</v>
      </c>
      <c r="D762" s="41">
        <f>'Rekap SHU dan Jasa Simpanan'!BD131</f>
        <v>14550</v>
      </c>
      <c r="E762" s="38"/>
      <c r="G762" s="39"/>
      <c r="H762" s="2" t="s">
        <v>221</v>
      </c>
      <c r="I762" s="1" t="s">
        <v>231</v>
      </c>
      <c r="J762" s="41">
        <f>'Rekap SHU dan Jasa Simpanan'!BD132</f>
        <v>8750</v>
      </c>
      <c r="K762" s="38"/>
    </row>
    <row r="763" spans="1:11" x14ac:dyDescent="0.2">
      <c r="A763" s="39"/>
      <c r="B763" s="2" t="s">
        <v>223</v>
      </c>
      <c r="C763" s="1" t="s">
        <v>231</v>
      </c>
      <c r="D763" s="41">
        <f>'Rekap SHU dan Jasa Simpanan'!BQ131</f>
        <v>117403.25443835316</v>
      </c>
      <c r="E763" s="38"/>
      <c r="G763" s="39"/>
      <c r="H763" s="2" t="s">
        <v>223</v>
      </c>
      <c r="I763" s="1" t="s">
        <v>231</v>
      </c>
      <c r="J763" s="41">
        <f>'Rekap SHU dan Jasa Simpanan'!BQ132</f>
        <v>111297.36083304156</v>
      </c>
      <c r="K763" s="38"/>
    </row>
    <row r="764" spans="1:11" x14ac:dyDescent="0.2">
      <c r="A764" s="39"/>
      <c r="B764" s="10" t="s">
        <v>224</v>
      </c>
      <c r="C764" s="1" t="s">
        <v>231</v>
      </c>
      <c r="D764" s="41">
        <f>'Rekap SHU dan Jasa Simpanan'!BR131</f>
        <v>176894.25890631872</v>
      </c>
      <c r="E764" s="38"/>
      <c r="G764" s="39"/>
      <c r="H764" s="10" t="s">
        <v>224</v>
      </c>
      <c r="I764" s="1" t="s">
        <v>231</v>
      </c>
      <c r="J764" s="41">
        <f>'Rekap SHU dan Jasa Simpanan'!BR132</f>
        <v>196549.17656257635</v>
      </c>
      <c r="K764" s="38"/>
    </row>
    <row r="765" spans="1:11" x14ac:dyDescent="0.2">
      <c r="A765" s="42"/>
      <c r="B765" s="31" t="s">
        <v>230</v>
      </c>
      <c r="C765" s="32" t="s">
        <v>231</v>
      </c>
      <c r="D765" s="33">
        <v>0</v>
      </c>
      <c r="E765" s="43"/>
      <c r="G765" s="39"/>
      <c r="H765" s="31" t="s">
        <v>230</v>
      </c>
      <c r="I765" s="32" t="s">
        <v>231</v>
      </c>
      <c r="J765" s="33">
        <v>0</v>
      </c>
      <c r="K765" s="43"/>
    </row>
    <row r="766" spans="1:11" x14ac:dyDescent="0.2">
      <c r="A766" s="39"/>
      <c r="B766" s="1" t="s">
        <v>5</v>
      </c>
      <c r="C766" s="2"/>
      <c r="D766" s="41">
        <f>SUM(D762:D765)</f>
        <v>308847.51334467193</v>
      </c>
      <c r="E766" s="38"/>
      <c r="G766" s="44"/>
      <c r="H766" s="1" t="s">
        <v>5</v>
      </c>
      <c r="I766" s="2"/>
      <c r="J766" s="41">
        <f>SUM(J762:J765)</f>
        <v>316596.53739561792</v>
      </c>
      <c r="K766" s="38"/>
    </row>
    <row r="767" spans="1:11" x14ac:dyDescent="0.2">
      <c r="A767" s="42"/>
      <c r="B767" s="31"/>
      <c r="C767" s="31"/>
      <c r="D767" s="31"/>
      <c r="E767" s="43"/>
      <c r="G767" s="42"/>
      <c r="H767" s="31"/>
      <c r="I767" s="31"/>
      <c r="J767" s="31"/>
      <c r="K767" s="43"/>
    </row>
    <row r="769" spans="1:11" x14ac:dyDescent="0.2">
      <c r="A769" s="34"/>
      <c r="B769" s="35"/>
      <c r="C769" s="35"/>
      <c r="D769" s="35"/>
      <c r="E769" s="36"/>
      <c r="G769" s="34"/>
      <c r="H769" s="35"/>
      <c r="I769" s="35"/>
      <c r="J769" s="35"/>
      <c r="K769" s="36"/>
    </row>
    <row r="770" spans="1:11" ht="13.5" x14ac:dyDescent="0.25">
      <c r="A770" s="146" t="s">
        <v>232</v>
      </c>
      <c r="B770" s="147"/>
      <c r="C770" s="147"/>
      <c r="D770" s="147"/>
      <c r="E770" s="148"/>
      <c r="G770" s="146" t="s">
        <v>232</v>
      </c>
      <c r="H770" s="147"/>
      <c r="I770" s="147"/>
      <c r="J770" s="147"/>
      <c r="K770" s="148"/>
    </row>
    <row r="771" spans="1:11" x14ac:dyDescent="0.2">
      <c r="A771" s="37"/>
      <c r="B771" s="2"/>
      <c r="C771" s="2"/>
      <c r="D771" s="2"/>
      <c r="E771" s="38"/>
      <c r="G771" s="39"/>
      <c r="H771" s="2"/>
      <c r="I771" s="2"/>
      <c r="J771" s="2"/>
      <c r="K771" s="38"/>
    </row>
    <row r="772" spans="1:11" x14ac:dyDescent="0.2">
      <c r="A772" s="39"/>
      <c r="B772" s="2" t="s">
        <v>228</v>
      </c>
      <c r="C772" s="1" t="s">
        <v>231</v>
      </c>
      <c r="D772" s="40">
        <f>'Rekap SHU dan Jasa Simpanan'!B133</f>
        <v>206</v>
      </c>
      <c r="E772" s="38"/>
      <c r="G772" s="39"/>
      <c r="H772" s="2" t="s">
        <v>228</v>
      </c>
      <c r="I772" s="1" t="s">
        <v>231</v>
      </c>
      <c r="J772" s="40">
        <f>'Rekap SHU dan Jasa Simpanan'!B134</f>
        <v>207</v>
      </c>
      <c r="K772" s="38"/>
    </row>
    <row r="773" spans="1:11" x14ac:dyDescent="0.2">
      <c r="A773" s="39"/>
      <c r="B773" s="2" t="s">
        <v>229</v>
      </c>
      <c r="C773" s="1" t="s">
        <v>231</v>
      </c>
      <c r="D773" s="2" t="str">
        <f>'Rekap SHU dan Jasa Simpanan'!C133</f>
        <v xml:space="preserve"> Nanang Sopiyan</v>
      </c>
      <c r="E773" s="38"/>
      <c r="G773" s="39"/>
      <c r="H773" s="2" t="s">
        <v>229</v>
      </c>
      <c r="I773" s="1" t="s">
        <v>231</v>
      </c>
      <c r="J773" s="2" t="str">
        <f>'Rekap SHU dan Jasa Simpanan'!C134</f>
        <v xml:space="preserve"> Ibu Dian Rudianto</v>
      </c>
      <c r="K773" s="38"/>
    </row>
    <row r="774" spans="1:11" x14ac:dyDescent="0.2">
      <c r="A774" s="39"/>
      <c r="B774" s="2" t="s">
        <v>221</v>
      </c>
      <c r="C774" s="1" t="s">
        <v>231</v>
      </c>
      <c r="D774" s="41">
        <f>'Rekap SHU dan Jasa Simpanan'!BD133</f>
        <v>15850</v>
      </c>
      <c r="E774" s="38"/>
      <c r="G774" s="39"/>
      <c r="H774" s="2" t="s">
        <v>221</v>
      </c>
      <c r="I774" s="1" t="s">
        <v>231</v>
      </c>
      <c r="J774" s="41">
        <f>'Rekap SHU dan Jasa Simpanan'!BD134</f>
        <v>28720</v>
      </c>
      <c r="K774" s="38"/>
    </row>
    <row r="775" spans="1:11" x14ac:dyDescent="0.2">
      <c r="A775" s="39"/>
      <c r="B775" s="2" t="s">
        <v>223</v>
      </c>
      <c r="C775" s="1" t="s">
        <v>231</v>
      </c>
      <c r="D775" s="41">
        <f>'Rekap SHU dan Jasa Simpanan'!BQ133</f>
        <v>119320.45936121281</v>
      </c>
      <c r="E775" s="38"/>
      <c r="G775" s="39"/>
      <c r="H775" s="2" t="s">
        <v>223</v>
      </c>
      <c r="I775" s="1" t="s">
        <v>231</v>
      </c>
      <c r="J775" s="41">
        <f>'Rekap SHU dan Jasa Simpanan'!BQ134</f>
        <v>163672.16446152795</v>
      </c>
      <c r="K775" s="38"/>
    </row>
    <row r="776" spans="1:11" x14ac:dyDescent="0.2">
      <c r="A776" s="39"/>
      <c r="B776" s="10" t="s">
        <v>224</v>
      </c>
      <c r="C776" s="1" t="s">
        <v>231</v>
      </c>
      <c r="D776" s="41">
        <f>'Rekap SHU dan Jasa Simpanan'!BR133</f>
        <v>196549.17656257635</v>
      </c>
      <c r="E776" s="38"/>
      <c r="G776" s="39"/>
      <c r="H776" s="10" t="s">
        <v>224</v>
      </c>
      <c r="I776" s="1" t="s">
        <v>231</v>
      </c>
      <c r="J776" s="41">
        <f>'Rekap SHU dan Jasa Simpanan'!BR134</f>
        <v>58964.752968772911</v>
      </c>
      <c r="K776" s="38"/>
    </row>
    <row r="777" spans="1:11" x14ac:dyDescent="0.2">
      <c r="A777" s="42"/>
      <c r="B777" s="31" t="s">
        <v>230</v>
      </c>
      <c r="C777" s="32" t="s">
        <v>231</v>
      </c>
      <c r="D777" s="33">
        <v>0</v>
      </c>
      <c r="E777" s="43"/>
      <c r="G777" s="39"/>
      <c r="H777" s="31" t="s">
        <v>230</v>
      </c>
      <c r="I777" s="32" t="s">
        <v>231</v>
      </c>
      <c r="J777" s="33">
        <v>0</v>
      </c>
      <c r="K777" s="43"/>
    </row>
    <row r="778" spans="1:11" x14ac:dyDescent="0.2">
      <c r="A778" s="39"/>
      <c r="B778" s="1" t="s">
        <v>5</v>
      </c>
      <c r="C778" s="2"/>
      <c r="D778" s="41">
        <f>SUM(D774:D777)</f>
        <v>331719.63592378912</v>
      </c>
      <c r="E778" s="38"/>
      <c r="G778" s="44"/>
      <c r="H778" s="1" t="s">
        <v>5</v>
      </c>
      <c r="I778" s="2"/>
      <c r="J778" s="41">
        <f>SUM(J774:J777)</f>
        <v>251356.91743030085</v>
      </c>
      <c r="K778" s="38"/>
    </row>
    <row r="779" spans="1:11" x14ac:dyDescent="0.2">
      <c r="A779" s="42"/>
      <c r="B779" s="31"/>
      <c r="C779" s="31"/>
      <c r="D779" s="31"/>
      <c r="E779" s="43"/>
      <c r="G779" s="42"/>
      <c r="H779" s="31"/>
      <c r="I779" s="31"/>
      <c r="J779" s="31"/>
      <c r="K779" s="43"/>
    </row>
    <row r="781" spans="1:11" x14ac:dyDescent="0.2">
      <c r="A781" s="34"/>
      <c r="B781" s="35"/>
      <c r="C781" s="35"/>
      <c r="D781" s="35"/>
      <c r="E781" s="36"/>
      <c r="G781" s="34"/>
      <c r="H781" s="35"/>
      <c r="I781" s="35"/>
      <c r="J781" s="35"/>
      <c r="K781" s="36"/>
    </row>
    <row r="782" spans="1:11" ht="13.5" x14ac:dyDescent="0.25">
      <c r="A782" s="146" t="s">
        <v>232</v>
      </c>
      <c r="B782" s="147"/>
      <c r="C782" s="147"/>
      <c r="D782" s="147"/>
      <c r="E782" s="148"/>
      <c r="G782" s="146" t="s">
        <v>232</v>
      </c>
      <c r="H782" s="147"/>
      <c r="I782" s="147"/>
      <c r="J782" s="147"/>
      <c r="K782" s="148"/>
    </row>
    <row r="783" spans="1:11" x14ac:dyDescent="0.2">
      <c r="A783" s="37"/>
      <c r="B783" s="2"/>
      <c r="C783" s="2"/>
      <c r="D783" s="2"/>
      <c r="E783" s="38"/>
      <c r="G783" s="39"/>
      <c r="H783" s="2"/>
      <c r="I783" s="2"/>
      <c r="J783" s="2"/>
      <c r="K783" s="38"/>
    </row>
    <row r="784" spans="1:11" x14ac:dyDescent="0.2">
      <c r="A784" s="39"/>
      <c r="B784" s="2" t="s">
        <v>228</v>
      </c>
      <c r="C784" s="1" t="s">
        <v>231</v>
      </c>
      <c r="D784" s="40">
        <f>'Rekap SHU dan Jasa Simpanan'!B135</f>
        <v>208</v>
      </c>
      <c r="E784" s="38"/>
      <c r="G784" s="39"/>
      <c r="H784" s="2" t="s">
        <v>228</v>
      </c>
      <c r="I784" s="1" t="s">
        <v>231</v>
      </c>
      <c r="J784" s="40">
        <f>'Rekap SHU dan Jasa Simpanan'!B136</f>
        <v>210</v>
      </c>
      <c r="K784" s="38"/>
    </row>
    <row r="785" spans="1:11" x14ac:dyDescent="0.2">
      <c r="A785" s="39"/>
      <c r="B785" s="2" t="s">
        <v>229</v>
      </c>
      <c r="C785" s="1" t="s">
        <v>231</v>
      </c>
      <c r="D785" s="7" t="str">
        <f>'Rekap SHU dan Jasa Simpanan'!C135</f>
        <v xml:space="preserve"> Nurjaeni Rahmat</v>
      </c>
      <c r="E785" s="38"/>
      <c r="G785" s="39"/>
      <c r="H785" s="2" t="s">
        <v>229</v>
      </c>
      <c r="I785" s="1" t="s">
        <v>231</v>
      </c>
      <c r="J785" s="2" t="str">
        <f>'Rekap SHU dan Jasa Simpanan'!C136</f>
        <v xml:space="preserve"> Asep Supriyadi</v>
      </c>
      <c r="K785" s="38"/>
    </row>
    <row r="786" spans="1:11" x14ac:dyDescent="0.2">
      <c r="A786" s="39"/>
      <c r="B786" s="2" t="s">
        <v>221</v>
      </c>
      <c r="C786" s="1" t="s">
        <v>231</v>
      </c>
      <c r="D786" s="41">
        <f>'Rekap SHU dan Jasa Simpanan'!BD135</f>
        <v>3565</v>
      </c>
      <c r="E786" s="38"/>
      <c r="G786" s="39"/>
      <c r="H786" s="2" t="s">
        <v>221</v>
      </c>
      <c r="I786" s="1" t="s">
        <v>231</v>
      </c>
      <c r="J786" s="41">
        <f>'Rekap SHU dan Jasa Simpanan'!BD136</f>
        <v>24630</v>
      </c>
      <c r="K786" s="38"/>
    </row>
    <row r="787" spans="1:11" x14ac:dyDescent="0.2">
      <c r="A787" s="39"/>
      <c r="B787" s="2" t="s">
        <v>223</v>
      </c>
      <c r="C787" s="1" t="s">
        <v>231</v>
      </c>
      <c r="D787" s="41">
        <f>'Rekap SHU dan Jasa Simpanan'!BQ135</f>
        <v>104913.17773131025</v>
      </c>
      <c r="E787" s="38"/>
      <c r="G787" s="39"/>
      <c r="H787" s="2" t="s">
        <v>223</v>
      </c>
      <c r="I787" s="1" t="s">
        <v>231</v>
      </c>
      <c r="J787" s="41">
        <f>'Rekap SHU dan Jasa Simpanan'!BQ136</f>
        <v>124138.10647222397</v>
      </c>
      <c r="K787" s="38"/>
    </row>
    <row r="788" spans="1:11" x14ac:dyDescent="0.2">
      <c r="A788" s="39"/>
      <c r="B788" s="10" t="s">
        <v>224</v>
      </c>
      <c r="C788" s="1" t="s">
        <v>231</v>
      </c>
      <c r="D788" s="41">
        <f>'Rekap SHU dan Jasa Simpanan'!BR135</f>
        <v>196549.17656257635</v>
      </c>
      <c r="E788" s="38"/>
      <c r="G788" s="39"/>
      <c r="H788" s="10" t="s">
        <v>224</v>
      </c>
      <c r="I788" s="1" t="s">
        <v>231</v>
      </c>
      <c r="J788" s="41">
        <f>'Rekap SHU dan Jasa Simpanan'!BR136</f>
        <v>196549.17656257635</v>
      </c>
      <c r="K788" s="38"/>
    </row>
    <row r="789" spans="1:11" x14ac:dyDescent="0.2">
      <c r="A789" s="42"/>
      <c r="B789" s="31" t="s">
        <v>230</v>
      </c>
      <c r="C789" s="32" t="s">
        <v>231</v>
      </c>
      <c r="D789" s="33">
        <v>0</v>
      </c>
      <c r="E789" s="43"/>
      <c r="G789" s="39"/>
      <c r="H789" s="31" t="s">
        <v>230</v>
      </c>
      <c r="I789" s="32" t="s">
        <v>231</v>
      </c>
      <c r="J789" s="33">
        <v>0</v>
      </c>
      <c r="K789" s="43"/>
    </row>
    <row r="790" spans="1:11" x14ac:dyDescent="0.2">
      <c r="A790" s="39"/>
      <c r="B790" s="1" t="s">
        <v>5</v>
      </c>
      <c r="C790" s="2"/>
      <c r="D790" s="41">
        <f>SUM(D786:D789)</f>
        <v>305027.35429388657</v>
      </c>
      <c r="E790" s="38"/>
      <c r="G790" s="44"/>
      <c r="H790" s="1" t="s">
        <v>5</v>
      </c>
      <c r="I790" s="2"/>
      <c r="J790" s="41">
        <f>SUM(J786:J789)</f>
        <v>345317.28303480032</v>
      </c>
      <c r="K790" s="38"/>
    </row>
    <row r="791" spans="1:11" x14ac:dyDescent="0.2">
      <c r="A791" s="42"/>
      <c r="B791" s="31"/>
      <c r="C791" s="31"/>
      <c r="D791" s="31"/>
      <c r="E791" s="43"/>
      <c r="G791" s="42"/>
      <c r="H791" s="31"/>
      <c r="I791" s="31"/>
      <c r="J791" s="31"/>
      <c r="K791" s="43"/>
    </row>
    <row r="793" spans="1:11" x14ac:dyDescent="0.2">
      <c r="A793" s="34"/>
      <c r="B793" s="35"/>
      <c r="C793" s="35"/>
      <c r="D793" s="35"/>
      <c r="E793" s="36"/>
      <c r="G793" s="34"/>
      <c r="H793" s="35"/>
      <c r="I793" s="35"/>
      <c r="J793" s="35"/>
      <c r="K793" s="36"/>
    </row>
    <row r="794" spans="1:11" ht="13.5" x14ac:dyDescent="0.25">
      <c r="A794" s="146" t="s">
        <v>232</v>
      </c>
      <c r="B794" s="147"/>
      <c r="C794" s="147"/>
      <c r="D794" s="147"/>
      <c r="E794" s="148"/>
      <c r="G794" s="146" t="s">
        <v>232</v>
      </c>
      <c r="H794" s="147"/>
      <c r="I794" s="147"/>
      <c r="J794" s="147"/>
      <c r="K794" s="148"/>
    </row>
    <row r="795" spans="1:11" x14ac:dyDescent="0.2">
      <c r="A795" s="37"/>
      <c r="B795" s="2"/>
      <c r="C795" s="2"/>
      <c r="D795" s="2"/>
      <c r="E795" s="38"/>
      <c r="G795" s="39"/>
      <c r="H795" s="2"/>
      <c r="I795" s="2"/>
      <c r="J795" s="2"/>
      <c r="K795" s="38"/>
    </row>
    <row r="796" spans="1:11" x14ac:dyDescent="0.2">
      <c r="A796" s="39"/>
      <c r="B796" s="2" t="s">
        <v>228</v>
      </c>
      <c r="C796" s="1" t="s">
        <v>231</v>
      </c>
      <c r="D796" s="40">
        <f>'Rekap SHU dan Jasa Simpanan'!B137</f>
        <v>211</v>
      </c>
      <c r="E796" s="38"/>
      <c r="G796" s="39"/>
      <c r="H796" s="2" t="s">
        <v>228</v>
      </c>
      <c r="I796" s="1" t="s">
        <v>231</v>
      </c>
      <c r="J796" s="40">
        <f>'Rekap SHU dan Jasa Simpanan'!B138</f>
        <v>212</v>
      </c>
      <c r="K796" s="38"/>
    </row>
    <row r="797" spans="1:11" x14ac:dyDescent="0.2">
      <c r="A797" s="39"/>
      <c r="B797" s="2" t="s">
        <v>229</v>
      </c>
      <c r="C797" s="1" t="s">
        <v>231</v>
      </c>
      <c r="D797" s="7" t="str">
        <f>'Rekap SHU dan Jasa Simpanan'!C137</f>
        <v xml:space="preserve"> Bpk.Dama Mursidi</v>
      </c>
      <c r="E797" s="38"/>
      <c r="G797" s="39"/>
      <c r="H797" s="2" t="s">
        <v>229</v>
      </c>
      <c r="I797" s="1" t="s">
        <v>231</v>
      </c>
      <c r="J797" s="2" t="str">
        <f>'Rekap SHU dan Jasa Simpanan'!C138</f>
        <v xml:space="preserve"> Bpk.Pa'at</v>
      </c>
      <c r="K797" s="38"/>
    </row>
    <row r="798" spans="1:11" x14ac:dyDescent="0.2">
      <c r="A798" s="39"/>
      <c r="B798" s="2" t="s">
        <v>221</v>
      </c>
      <c r="C798" s="1" t="s">
        <v>231</v>
      </c>
      <c r="D798" s="41">
        <f>'Rekap SHU dan Jasa Simpanan'!BD137</f>
        <v>45525</v>
      </c>
      <c r="E798" s="38"/>
      <c r="G798" s="39"/>
      <c r="H798" s="2" t="s">
        <v>221</v>
      </c>
      <c r="I798" s="1" t="s">
        <v>231</v>
      </c>
      <c r="J798" s="41">
        <f>'Rekap SHU dan Jasa Simpanan'!BD138</f>
        <v>32745</v>
      </c>
      <c r="K798" s="38"/>
    </row>
    <row r="799" spans="1:11" x14ac:dyDescent="0.2">
      <c r="A799" s="39"/>
      <c r="B799" s="2" t="s">
        <v>223</v>
      </c>
      <c r="C799" s="1" t="s">
        <v>231</v>
      </c>
      <c r="D799" s="41">
        <f>'Rekap SHU dan Jasa Simpanan'!BQ137</f>
        <v>145747.36010881473</v>
      </c>
      <c r="E799" s="38"/>
      <c r="G799" s="39"/>
      <c r="H799" s="2" t="s">
        <v>223</v>
      </c>
      <c r="I799" s="1" t="s">
        <v>231</v>
      </c>
      <c r="J799" s="41">
        <f>'Rekap SHU dan Jasa Simpanan'!BQ138</f>
        <v>156011.94296505261</v>
      </c>
      <c r="K799" s="38"/>
    </row>
    <row r="800" spans="1:11" x14ac:dyDescent="0.2">
      <c r="A800" s="39"/>
      <c r="B800" s="10" t="s">
        <v>224</v>
      </c>
      <c r="C800" s="1" t="s">
        <v>231</v>
      </c>
      <c r="D800" s="41">
        <f>'Rekap SHU dan Jasa Simpanan'!BR137</f>
        <v>196549.17656257635</v>
      </c>
      <c r="E800" s="38"/>
      <c r="G800" s="39"/>
      <c r="H800" s="10" t="s">
        <v>224</v>
      </c>
      <c r="I800" s="1" t="s">
        <v>231</v>
      </c>
      <c r="J800" s="41">
        <f>'Rekap SHU dan Jasa Simpanan'!BR138</f>
        <v>196549.17656257635</v>
      </c>
      <c r="K800" s="38"/>
    </row>
    <row r="801" spans="1:11" x14ac:dyDescent="0.2">
      <c r="A801" s="42"/>
      <c r="B801" s="31" t="s">
        <v>230</v>
      </c>
      <c r="C801" s="32" t="s">
        <v>231</v>
      </c>
      <c r="D801" s="33">
        <v>0</v>
      </c>
      <c r="E801" s="43"/>
      <c r="G801" s="39"/>
      <c r="H801" s="31" t="s">
        <v>230</v>
      </c>
      <c r="I801" s="32" t="s">
        <v>231</v>
      </c>
      <c r="J801" s="33">
        <v>0</v>
      </c>
      <c r="K801" s="43"/>
    </row>
    <row r="802" spans="1:11" x14ac:dyDescent="0.2">
      <c r="A802" s="39"/>
      <c r="B802" s="1" t="s">
        <v>5</v>
      </c>
      <c r="C802" s="2"/>
      <c r="D802" s="41">
        <f>SUM(D798:D801)</f>
        <v>387821.53667139111</v>
      </c>
      <c r="E802" s="38"/>
      <c r="G802" s="44"/>
      <c r="H802" s="1" t="s">
        <v>5</v>
      </c>
      <c r="I802" s="2"/>
      <c r="J802" s="41">
        <f>SUM(J798:J801)</f>
        <v>385306.11952762899</v>
      </c>
      <c r="K802" s="38"/>
    </row>
    <row r="803" spans="1:11" x14ac:dyDescent="0.2">
      <c r="A803" s="42"/>
      <c r="B803" s="31"/>
      <c r="C803" s="31"/>
      <c r="D803" s="31"/>
      <c r="E803" s="43"/>
      <c r="G803" s="42"/>
      <c r="H803" s="31"/>
      <c r="I803" s="31"/>
      <c r="J803" s="31"/>
      <c r="K803" s="43"/>
    </row>
    <row r="805" spans="1:11" x14ac:dyDescent="0.2">
      <c r="A805" s="34"/>
      <c r="B805" s="35"/>
      <c r="C805" s="35"/>
      <c r="D805" s="35"/>
      <c r="E805" s="36"/>
      <c r="G805" s="34"/>
      <c r="H805" s="35"/>
      <c r="I805" s="35"/>
      <c r="J805" s="35"/>
      <c r="K805" s="36"/>
    </row>
    <row r="806" spans="1:11" ht="13.5" x14ac:dyDescent="0.25">
      <c r="A806" s="146" t="s">
        <v>232</v>
      </c>
      <c r="B806" s="147"/>
      <c r="C806" s="147"/>
      <c r="D806" s="147"/>
      <c r="E806" s="148"/>
      <c r="G806" s="146" t="s">
        <v>232</v>
      </c>
      <c r="H806" s="147"/>
      <c r="I806" s="147"/>
      <c r="J806" s="147"/>
      <c r="K806" s="148"/>
    </row>
    <row r="807" spans="1:11" x14ac:dyDescent="0.2">
      <c r="A807" s="37"/>
      <c r="B807" s="2"/>
      <c r="C807" s="2"/>
      <c r="D807" s="2"/>
      <c r="E807" s="38"/>
      <c r="G807" s="39"/>
      <c r="H807" s="2"/>
      <c r="I807" s="2"/>
      <c r="J807" s="2"/>
      <c r="K807" s="38"/>
    </row>
    <row r="808" spans="1:11" x14ac:dyDescent="0.2">
      <c r="A808" s="39"/>
      <c r="B808" s="2" t="s">
        <v>228</v>
      </c>
      <c r="C808" s="1" t="s">
        <v>231</v>
      </c>
      <c r="D808" s="40">
        <f>'Rekap SHU dan Jasa Simpanan'!B139</f>
        <v>216</v>
      </c>
      <c r="E808" s="38"/>
      <c r="G808" s="39"/>
      <c r="H808" s="2" t="s">
        <v>228</v>
      </c>
      <c r="I808" s="1" t="s">
        <v>231</v>
      </c>
      <c r="J808" s="40">
        <f>'Rekap SHU dan Jasa Simpanan'!B140</f>
        <v>217</v>
      </c>
      <c r="K808" s="38"/>
    </row>
    <row r="809" spans="1:11" x14ac:dyDescent="0.2">
      <c r="A809" s="39"/>
      <c r="B809" s="2" t="s">
        <v>229</v>
      </c>
      <c r="C809" s="1" t="s">
        <v>231</v>
      </c>
      <c r="D809" s="7" t="str">
        <f>'Rekap SHU dan Jasa Simpanan'!C139</f>
        <v xml:space="preserve"> Herlan Fitriyadi</v>
      </c>
      <c r="E809" s="38"/>
      <c r="G809" s="39"/>
      <c r="H809" s="2" t="s">
        <v>229</v>
      </c>
      <c r="I809" s="1" t="s">
        <v>231</v>
      </c>
      <c r="J809" s="2" t="str">
        <f>'Rekap SHU dan Jasa Simpanan'!C140</f>
        <v xml:space="preserve"> Solihin</v>
      </c>
      <c r="K809" s="38"/>
    </row>
    <row r="810" spans="1:11" x14ac:dyDescent="0.2">
      <c r="A810" s="39"/>
      <c r="B810" s="2" t="s">
        <v>221</v>
      </c>
      <c r="C810" s="1" t="s">
        <v>231</v>
      </c>
      <c r="D810" s="41">
        <f>'Rekap SHU dan Jasa Simpanan'!BD139</f>
        <v>55000</v>
      </c>
      <c r="E810" s="38"/>
      <c r="G810" s="39"/>
      <c r="H810" s="2" t="s">
        <v>221</v>
      </c>
      <c r="I810" s="1" t="s">
        <v>231</v>
      </c>
      <c r="J810" s="41">
        <f>'Rekap SHU dan Jasa Simpanan'!BD140</f>
        <v>41000</v>
      </c>
      <c r="K810" s="38"/>
    </row>
    <row r="811" spans="1:11" x14ac:dyDescent="0.2">
      <c r="A811" s="39"/>
      <c r="B811" s="2" t="s">
        <v>223</v>
      </c>
      <c r="C811" s="1" t="s">
        <v>231</v>
      </c>
      <c r="D811" s="41">
        <f>'Rekap SHU dan Jasa Simpanan'!BQ139</f>
        <v>147271.60325601511</v>
      </c>
      <c r="E811" s="38"/>
      <c r="G811" s="39"/>
      <c r="H811" s="2" t="s">
        <v>223</v>
      </c>
      <c r="I811" s="1" t="s">
        <v>231</v>
      </c>
      <c r="J811" s="41">
        <f>'Rekap SHU dan Jasa Simpanan'!BQ140</f>
        <v>134728.41595290898</v>
      </c>
      <c r="K811" s="38"/>
    </row>
    <row r="812" spans="1:11" x14ac:dyDescent="0.2">
      <c r="A812" s="39"/>
      <c r="B812" s="10" t="s">
        <v>224</v>
      </c>
      <c r="C812" s="1" t="s">
        <v>231</v>
      </c>
      <c r="D812" s="41">
        <f>'Rekap SHU dan Jasa Simpanan'!BR139</f>
        <v>90085.0392578475</v>
      </c>
      <c r="E812" s="38"/>
      <c r="G812" s="39"/>
      <c r="H812" s="10" t="s">
        <v>224</v>
      </c>
      <c r="I812" s="1" t="s">
        <v>231</v>
      </c>
      <c r="J812" s="41">
        <f>'Rekap SHU dan Jasa Simpanan'!BR140</f>
        <v>196549.17656257635</v>
      </c>
      <c r="K812" s="38"/>
    </row>
    <row r="813" spans="1:11" x14ac:dyDescent="0.2">
      <c r="A813" s="42"/>
      <c r="B813" s="31" t="s">
        <v>230</v>
      </c>
      <c r="C813" s="32" t="s">
        <v>231</v>
      </c>
      <c r="D813" s="33">
        <v>0</v>
      </c>
      <c r="E813" s="43"/>
      <c r="G813" s="39"/>
      <c r="H813" s="31" t="s">
        <v>230</v>
      </c>
      <c r="I813" s="32" t="s">
        <v>231</v>
      </c>
      <c r="J813" s="33">
        <v>0</v>
      </c>
      <c r="K813" s="43"/>
    </row>
    <row r="814" spans="1:11" x14ac:dyDescent="0.2">
      <c r="A814" s="39"/>
      <c r="B814" s="1" t="s">
        <v>5</v>
      </c>
      <c r="C814" s="2"/>
      <c r="D814" s="41">
        <f>SUM(D810:D813)</f>
        <v>292356.64251386258</v>
      </c>
      <c r="E814" s="38"/>
      <c r="G814" s="44"/>
      <c r="H814" s="1" t="s">
        <v>5</v>
      </c>
      <c r="I814" s="2"/>
      <c r="J814" s="41">
        <f>SUM(J810:J813)</f>
        <v>372277.59251548536</v>
      </c>
      <c r="K814" s="38"/>
    </row>
    <row r="815" spans="1:11" x14ac:dyDescent="0.2">
      <c r="A815" s="42"/>
      <c r="B815" s="31"/>
      <c r="C815" s="31"/>
      <c r="D815" s="31"/>
      <c r="E815" s="43"/>
      <c r="G815" s="42"/>
      <c r="H815" s="31"/>
      <c r="I815" s="31"/>
      <c r="J815" s="31"/>
      <c r="K815" s="43"/>
    </row>
    <row r="820" spans="1:11" x14ac:dyDescent="0.2">
      <c r="A820" s="34"/>
      <c r="B820" s="35"/>
      <c r="C820" s="35"/>
      <c r="D820" s="35"/>
      <c r="E820" s="36"/>
      <c r="G820" s="34"/>
      <c r="H820" s="35"/>
      <c r="I820" s="35"/>
      <c r="J820" s="35"/>
      <c r="K820" s="36"/>
    </row>
    <row r="821" spans="1:11" ht="13.5" x14ac:dyDescent="0.25">
      <c r="A821" s="146" t="s">
        <v>232</v>
      </c>
      <c r="B821" s="147"/>
      <c r="C821" s="147"/>
      <c r="D821" s="147"/>
      <c r="E821" s="148"/>
      <c r="G821" s="146" t="s">
        <v>232</v>
      </c>
      <c r="H821" s="147"/>
      <c r="I821" s="147"/>
      <c r="J821" s="147"/>
      <c r="K821" s="148"/>
    </row>
    <row r="822" spans="1:11" x14ac:dyDescent="0.2">
      <c r="A822" s="37"/>
      <c r="B822" s="2"/>
      <c r="C822" s="2"/>
      <c r="D822" s="2"/>
      <c r="E822" s="38"/>
      <c r="G822" s="39"/>
      <c r="H822" s="2"/>
      <c r="I822" s="2"/>
      <c r="J822" s="2"/>
      <c r="K822" s="38"/>
    </row>
    <row r="823" spans="1:11" x14ac:dyDescent="0.2">
      <c r="A823" s="39"/>
      <c r="B823" s="2" t="s">
        <v>228</v>
      </c>
      <c r="C823" s="1" t="s">
        <v>231</v>
      </c>
      <c r="D823" s="40">
        <f>'Rekap SHU dan Jasa Simpanan'!B141</f>
        <v>218</v>
      </c>
      <c r="E823" s="38"/>
      <c r="G823" s="39"/>
      <c r="H823" s="2" t="s">
        <v>228</v>
      </c>
      <c r="I823" s="1" t="s">
        <v>231</v>
      </c>
      <c r="J823" s="40">
        <f>'Rekap SHU dan Jasa Simpanan'!B142</f>
        <v>220</v>
      </c>
      <c r="K823" s="38"/>
    </row>
    <row r="824" spans="1:11" x14ac:dyDescent="0.2">
      <c r="A824" s="39"/>
      <c r="B824" s="2" t="s">
        <v>229</v>
      </c>
      <c r="C824" s="1" t="s">
        <v>231</v>
      </c>
      <c r="D824" s="2" t="str">
        <f>'Rekap SHU dan Jasa Simpanan'!C141</f>
        <v xml:space="preserve"> Aang Burhanudin</v>
      </c>
      <c r="E824" s="38"/>
      <c r="G824" s="39"/>
      <c r="H824" s="2" t="s">
        <v>229</v>
      </c>
      <c r="I824" s="1" t="s">
        <v>231</v>
      </c>
      <c r="J824" s="2" t="str">
        <f>'Rekap SHU dan Jasa Simpanan'!C142</f>
        <v xml:space="preserve"> Ibu.U.Firmansyah</v>
      </c>
      <c r="K824" s="38"/>
    </row>
    <row r="825" spans="1:11" x14ac:dyDescent="0.2">
      <c r="A825" s="39"/>
      <c r="B825" s="2" t="s">
        <v>221</v>
      </c>
      <c r="C825" s="1" t="s">
        <v>231</v>
      </c>
      <c r="D825" s="41">
        <f>'Rekap SHU dan Jasa Simpanan'!BD141</f>
        <v>20740</v>
      </c>
      <c r="E825" s="38"/>
      <c r="G825" s="39"/>
      <c r="H825" s="2" t="s">
        <v>221</v>
      </c>
      <c r="I825" s="1" t="s">
        <v>231</v>
      </c>
      <c r="J825" s="41">
        <f>'Rekap SHU dan Jasa Simpanan'!BD142</f>
        <v>78400</v>
      </c>
      <c r="K825" s="38"/>
    </row>
    <row r="826" spans="1:11" x14ac:dyDescent="0.2">
      <c r="A826" s="39"/>
      <c r="B826" s="2" t="s">
        <v>223</v>
      </c>
      <c r="C826" s="1" t="s">
        <v>231</v>
      </c>
      <c r="D826" s="41">
        <f>'Rekap SHU dan Jasa Simpanan'!BQ141</f>
        <v>112964.13908152249</v>
      </c>
      <c r="E826" s="38"/>
      <c r="G826" s="39"/>
      <c r="H826" s="2" t="s">
        <v>223</v>
      </c>
      <c r="I826" s="1" t="s">
        <v>231</v>
      </c>
      <c r="J826" s="41">
        <f>'Rekap SHU dan Jasa Simpanan'!BQ142</f>
        <v>203692.93842298342</v>
      </c>
      <c r="K826" s="38"/>
    </row>
    <row r="827" spans="1:11" x14ac:dyDescent="0.2">
      <c r="A827" s="39"/>
      <c r="B827" s="10" t="s">
        <v>224</v>
      </c>
      <c r="C827" s="1" t="s">
        <v>231</v>
      </c>
      <c r="D827" s="41">
        <f>'Rekap SHU dan Jasa Simpanan'!BR141</f>
        <v>88447.129453159359</v>
      </c>
      <c r="E827" s="38"/>
      <c r="G827" s="39"/>
      <c r="H827" s="10" t="s">
        <v>224</v>
      </c>
      <c r="I827" s="1" t="s">
        <v>231</v>
      </c>
      <c r="J827" s="41">
        <f>'Rekap SHU dan Jasa Simpanan'!BR142</f>
        <v>196549.17656257635</v>
      </c>
      <c r="K827" s="38"/>
    </row>
    <row r="828" spans="1:11" x14ac:dyDescent="0.2">
      <c r="A828" s="42"/>
      <c r="B828" s="31" t="s">
        <v>230</v>
      </c>
      <c r="C828" s="32" t="s">
        <v>231</v>
      </c>
      <c r="D828" s="33">
        <v>0</v>
      </c>
      <c r="E828" s="43"/>
      <c r="G828" s="39"/>
      <c r="H828" s="31" t="s">
        <v>230</v>
      </c>
      <c r="I828" s="32" t="s">
        <v>231</v>
      </c>
      <c r="J828" s="33">
        <v>0</v>
      </c>
      <c r="K828" s="43"/>
    </row>
    <row r="829" spans="1:11" x14ac:dyDescent="0.2">
      <c r="A829" s="39"/>
      <c r="B829" s="1" t="s">
        <v>5</v>
      </c>
      <c r="C829" s="2"/>
      <c r="D829" s="41">
        <f>SUM(D825:D828)</f>
        <v>222151.26853468182</v>
      </c>
      <c r="E829" s="38"/>
      <c r="G829" s="44"/>
      <c r="H829" s="1" t="s">
        <v>5</v>
      </c>
      <c r="I829" s="2"/>
      <c r="J829" s="41">
        <f>SUM(J825:J828)</f>
        <v>478642.11498555972</v>
      </c>
      <c r="K829" s="38"/>
    </row>
    <row r="830" spans="1:11" x14ac:dyDescent="0.2">
      <c r="A830" s="42"/>
      <c r="B830" s="31"/>
      <c r="C830" s="31"/>
      <c r="D830" s="31"/>
      <c r="E830" s="43"/>
      <c r="G830" s="42"/>
      <c r="H830" s="31"/>
      <c r="I830" s="31"/>
      <c r="J830" s="31"/>
      <c r="K830" s="43"/>
    </row>
    <row r="832" spans="1:11" x14ac:dyDescent="0.2">
      <c r="A832" s="34"/>
      <c r="B832" s="35"/>
      <c r="C832" s="35"/>
      <c r="D832" s="35"/>
      <c r="E832" s="36"/>
      <c r="G832" s="34"/>
      <c r="H832" s="35"/>
      <c r="I832" s="35"/>
      <c r="J832" s="35"/>
      <c r="K832" s="36"/>
    </row>
    <row r="833" spans="1:11" ht="13.5" x14ac:dyDescent="0.25">
      <c r="A833" s="146" t="s">
        <v>232</v>
      </c>
      <c r="B833" s="147"/>
      <c r="C833" s="147"/>
      <c r="D833" s="147"/>
      <c r="E833" s="148"/>
      <c r="G833" s="146" t="s">
        <v>232</v>
      </c>
      <c r="H833" s="147"/>
      <c r="I833" s="147"/>
      <c r="J833" s="147"/>
      <c r="K833" s="148"/>
    </row>
    <row r="834" spans="1:11" x14ac:dyDescent="0.2">
      <c r="A834" s="37"/>
      <c r="B834" s="2"/>
      <c r="C834" s="2"/>
      <c r="D834" s="2"/>
      <c r="E834" s="38"/>
      <c r="G834" s="39"/>
      <c r="H834" s="2"/>
      <c r="I834" s="2"/>
      <c r="J834" s="2"/>
      <c r="K834" s="38"/>
    </row>
    <row r="835" spans="1:11" x14ac:dyDescent="0.2">
      <c r="A835" s="39"/>
      <c r="B835" s="2" t="s">
        <v>228</v>
      </c>
      <c r="C835" s="1" t="s">
        <v>231</v>
      </c>
      <c r="D835" s="40">
        <f>'Rekap SHU dan Jasa Simpanan'!B143</f>
        <v>221</v>
      </c>
      <c r="E835" s="38"/>
      <c r="G835" s="39"/>
      <c r="H835" s="2" t="s">
        <v>228</v>
      </c>
      <c r="I835" s="1" t="s">
        <v>231</v>
      </c>
      <c r="J835" s="40">
        <f>'Rekap SHU dan Jasa Simpanan'!B144</f>
        <v>222</v>
      </c>
      <c r="K835" s="38"/>
    </row>
    <row r="836" spans="1:11" x14ac:dyDescent="0.2">
      <c r="A836" s="39"/>
      <c r="B836" s="2" t="s">
        <v>229</v>
      </c>
      <c r="C836" s="1" t="s">
        <v>231</v>
      </c>
      <c r="D836" s="7" t="str">
        <f>'Rekap SHU dan Jasa Simpanan'!C143</f>
        <v xml:space="preserve"> Ibu Dedeh Ajat S</v>
      </c>
      <c r="E836" s="38"/>
      <c r="G836" s="39"/>
      <c r="H836" s="2" t="s">
        <v>229</v>
      </c>
      <c r="I836" s="1" t="s">
        <v>231</v>
      </c>
      <c r="J836" s="2" t="str">
        <f>'Rekap SHU dan Jasa Simpanan'!C144</f>
        <v xml:space="preserve"> Edi B</v>
      </c>
      <c r="K836" s="38"/>
    </row>
    <row r="837" spans="1:11" x14ac:dyDescent="0.2">
      <c r="A837" s="39"/>
      <c r="B837" s="2" t="s">
        <v>221</v>
      </c>
      <c r="C837" s="1" t="s">
        <v>231</v>
      </c>
      <c r="D837" s="41">
        <f>'Rekap SHU dan Jasa Simpanan'!BD143</f>
        <v>63000</v>
      </c>
      <c r="E837" s="38"/>
      <c r="G837" s="39"/>
      <c r="H837" s="2" t="s">
        <v>221</v>
      </c>
      <c r="I837" s="1" t="s">
        <v>231</v>
      </c>
      <c r="J837" s="41">
        <f>'Rekap SHU dan Jasa Simpanan'!BD144</f>
        <v>180</v>
      </c>
      <c r="K837" s="38"/>
    </row>
    <row r="838" spans="1:11" x14ac:dyDescent="0.2">
      <c r="A838" s="39"/>
      <c r="B838" s="2" t="s">
        <v>223</v>
      </c>
      <c r="C838" s="1" t="s">
        <v>231</v>
      </c>
      <c r="D838" s="41">
        <f>'Rekap SHU dan Jasa Simpanan'!BQ143</f>
        <v>185901.11804590948</v>
      </c>
      <c r="E838" s="38"/>
      <c r="G838" s="39"/>
      <c r="H838" s="2" t="s">
        <v>223</v>
      </c>
      <c r="I838" s="1" t="s">
        <v>231</v>
      </c>
      <c r="J838" s="41">
        <f>'Rekap SHU dan Jasa Simpanan'!BQ144</f>
        <v>89610.048885640354</v>
      </c>
      <c r="K838" s="38"/>
    </row>
    <row r="839" spans="1:11" x14ac:dyDescent="0.2">
      <c r="A839" s="39"/>
      <c r="B839" s="10" t="s">
        <v>224</v>
      </c>
      <c r="C839" s="1" t="s">
        <v>231</v>
      </c>
      <c r="D839" s="41">
        <f>'Rekap SHU dan Jasa Simpanan'!BR143</f>
        <v>157239.34125006109</v>
      </c>
      <c r="E839" s="38"/>
      <c r="G839" s="39"/>
      <c r="H839" s="10" t="s">
        <v>224</v>
      </c>
      <c r="I839" s="1" t="s">
        <v>231</v>
      </c>
      <c r="J839" s="41">
        <f>'Rekap SHU dan Jasa Simpanan'!BR144</f>
        <v>155601.43144537293</v>
      </c>
      <c r="K839" s="38"/>
    </row>
    <row r="840" spans="1:11" x14ac:dyDescent="0.2">
      <c r="A840" s="42"/>
      <c r="B840" s="31" t="s">
        <v>230</v>
      </c>
      <c r="C840" s="32" t="s">
        <v>231</v>
      </c>
      <c r="D840" s="33">
        <v>0</v>
      </c>
      <c r="E840" s="43"/>
      <c r="G840" s="39"/>
      <c r="H840" s="31" t="s">
        <v>230</v>
      </c>
      <c r="I840" s="32" t="s">
        <v>231</v>
      </c>
      <c r="J840" s="33">
        <v>0</v>
      </c>
      <c r="K840" s="43"/>
    </row>
    <row r="841" spans="1:11" x14ac:dyDescent="0.2">
      <c r="A841" s="39"/>
      <c r="B841" s="1" t="s">
        <v>5</v>
      </c>
      <c r="C841" s="2"/>
      <c r="D841" s="41">
        <f>SUM(D837:D840)</f>
        <v>406140.45929597056</v>
      </c>
      <c r="E841" s="38"/>
      <c r="G841" s="44"/>
      <c r="H841" s="1" t="s">
        <v>5</v>
      </c>
      <c r="I841" s="2"/>
      <c r="J841" s="41">
        <f>SUM(J837:J840)</f>
        <v>245391.48033101327</v>
      </c>
      <c r="K841" s="38"/>
    </row>
    <row r="842" spans="1:11" x14ac:dyDescent="0.2">
      <c r="A842" s="42"/>
      <c r="B842" s="31"/>
      <c r="C842" s="31"/>
      <c r="D842" s="31"/>
      <c r="E842" s="43"/>
      <c r="G842" s="42"/>
      <c r="H842" s="31"/>
      <c r="I842" s="31"/>
      <c r="J842" s="31"/>
      <c r="K842" s="43"/>
    </row>
    <row r="844" spans="1:11" x14ac:dyDescent="0.2">
      <c r="A844" s="34"/>
      <c r="B844" s="35"/>
      <c r="C844" s="35"/>
      <c r="D844" s="35"/>
      <c r="E844" s="36"/>
      <c r="G844" s="34"/>
      <c r="H844" s="35"/>
      <c r="I844" s="35"/>
      <c r="J844" s="35"/>
      <c r="K844" s="36"/>
    </row>
    <row r="845" spans="1:11" ht="13.5" x14ac:dyDescent="0.25">
      <c r="A845" s="146" t="s">
        <v>232</v>
      </c>
      <c r="B845" s="147"/>
      <c r="C845" s="147"/>
      <c r="D845" s="147"/>
      <c r="E845" s="148"/>
      <c r="G845" s="146" t="s">
        <v>232</v>
      </c>
      <c r="H845" s="147"/>
      <c r="I845" s="147"/>
      <c r="J845" s="147"/>
      <c r="K845" s="148"/>
    </row>
    <row r="846" spans="1:11" x14ac:dyDescent="0.2">
      <c r="A846" s="37"/>
      <c r="B846" s="2"/>
      <c r="C846" s="2"/>
      <c r="D846" s="2"/>
      <c r="E846" s="38"/>
      <c r="G846" s="39"/>
      <c r="H846" s="2"/>
      <c r="I846" s="2"/>
      <c r="J846" s="2"/>
      <c r="K846" s="38"/>
    </row>
    <row r="847" spans="1:11" x14ac:dyDescent="0.2">
      <c r="A847" s="39"/>
      <c r="B847" s="2" t="s">
        <v>228</v>
      </c>
      <c r="C847" s="1" t="s">
        <v>231</v>
      </c>
      <c r="D847" s="40">
        <f>'Rekap SHU dan Jasa Simpanan'!B145</f>
        <v>224</v>
      </c>
      <c r="E847" s="38"/>
      <c r="G847" s="39"/>
      <c r="H847" s="2" t="s">
        <v>228</v>
      </c>
      <c r="I847" s="1" t="s">
        <v>231</v>
      </c>
      <c r="J847" s="40">
        <f>'Rekap SHU dan Jasa Simpanan'!B146</f>
        <v>225</v>
      </c>
      <c r="K847" s="38"/>
    </row>
    <row r="848" spans="1:11" x14ac:dyDescent="0.2">
      <c r="A848" s="39"/>
      <c r="B848" s="2" t="s">
        <v>229</v>
      </c>
      <c r="C848" s="1" t="s">
        <v>231</v>
      </c>
      <c r="D848" s="7" t="str">
        <f>'Rekap SHU dan Jasa Simpanan'!C145</f>
        <v xml:space="preserve"> Ibu Ai Dadang S</v>
      </c>
      <c r="E848" s="38"/>
      <c r="G848" s="39"/>
      <c r="H848" s="2" t="s">
        <v>229</v>
      </c>
      <c r="I848" s="1" t="s">
        <v>231</v>
      </c>
      <c r="J848" s="2" t="str">
        <f>'Rekap SHU dan Jasa Simpanan'!C146</f>
        <v xml:space="preserve"> Ibu Eneng Suryadi</v>
      </c>
      <c r="K848" s="38"/>
    </row>
    <row r="849" spans="1:11" x14ac:dyDescent="0.2">
      <c r="A849" s="39"/>
      <c r="B849" s="2" t="s">
        <v>221</v>
      </c>
      <c r="C849" s="1" t="s">
        <v>231</v>
      </c>
      <c r="D849" s="41">
        <f>'Rekap SHU dan Jasa Simpanan'!BD145</f>
        <v>73750</v>
      </c>
      <c r="E849" s="38"/>
      <c r="G849" s="39"/>
      <c r="H849" s="2" t="s">
        <v>221</v>
      </c>
      <c r="I849" s="1" t="s">
        <v>231</v>
      </c>
      <c r="J849" s="41">
        <f>'Rekap SHU dan Jasa Simpanan'!BD146</f>
        <v>54900</v>
      </c>
      <c r="K849" s="38"/>
    </row>
    <row r="850" spans="1:11" x14ac:dyDescent="0.2">
      <c r="A850" s="39"/>
      <c r="B850" s="2" t="s">
        <v>223</v>
      </c>
      <c r="C850" s="1" t="s">
        <v>231</v>
      </c>
      <c r="D850" s="41">
        <f>'Rekap SHU dan Jasa Simpanan'!BQ145</f>
        <v>193373.29836872721</v>
      </c>
      <c r="E850" s="38"/>
      <c r="G850" s="39"/>
      <c r="H850" s="2" t="s">
        <v>223</v>
      </c>
      <c r="I850" s="1" t="s">
        <v>231</v>
      </c>
      <c r="J850" s="41">
        <f>'Rekap SHU dan Jasa Simpanan'!BQ146</f>
        <v>174655.68801412344</v>
      </c>
      <c r="K850" s="38"/>
    </row>
    <row r="851" spans="1:11" x14ac:dyDescent="0.2">
      <c r="A851" s="39"/>
      <c r="B851" s="10" t="s">
        <v>224</v>
      </c>
      <c r="C851" s="1" t="s">
        <v>231</v>
      </c>
      <c r="D851" s="41">
        <f>'Rekap SHU dan Jasa Simpanan'!BR145</f>
        <v>196549.17656257635</v>
      </c>
      <c r="E851" s="38"/>
      <c r="G851" s="39"/>
      <c r="H851" s="10" t="s">
        <v>224</v>
      </c>
      <c r="I851" s="1" t="s">
        <v>231</v>
      </c>
      <c r="J851" s="41">
        <f>'Rekap SHU dan Jasa Simpanan'!BR146</f>
        <v>104826.22750004072</v>
      </c>
      <c r="K851" s="38"/>
    </row>
    <row r="852" spans="1:11" x14ac:dyDescent="0.2">
      <c r="A852" s="42"/>
      <c r="B852" s="31" t="s">
        <v>230</v>
      </c>
      <c r="C852" s="32" t="s">
        <v>231</v>
      </c>
      <c r="D852" s="33">
        <v>0</v>
      </c>
      <c r="E852" s="43"/>
      <c r="G852" s="39"/>
      <c r="H852" s="31" t="s">
        <v>230</v>
      </c>
      <c r="I852" s="32" t="s">
        <v>231</v>
      </c>
      <c r="J852" s="33">
        <v>0</v>
      </c>
      <c r="K852" s="43"/>
    </row>
    <row r="853" spans="1:11" x14ac:dyDescent="0.2">
      <c r="A853" s="39"/>
      <c r="B853" s="1" t="s">
        <v>5</v>
      </c>
      <c r="C853" s="2"/>
      <c r="D853" s="41">
        <f>SUM(D849:D852)</f>
        <v>463672.47493130353</v>
      </c>
      <c r="E853" s="38"/>
      <c r="G853" s="44"/>
      <c r="H853" s="1" t="s">
        <v>5</v>
      </c>
      <c r="I853" s="2"/>
      <c r="J853" s="41">
        <f>SUM(J849:J852)</f>
        <v>334381.91551416414</v>
      </c>
      <c r="K853" s="38"/>
    </row>
    <row r="854" spans="1:11" x14ac:dyDescent="0.2">
      <c r="A854" s="42"/>
      <c r="B854" s="31"/>
      <c r="C854" s="31"/>
      <c r="D854" s="31"/>
      <c r="E854" s="43"/>
      <c r="G854" s="42"/>
      <c r="H854" s="31"/>
      <c r="I854" s="31"/>
      <c r="J854" s="31"/>
      <c r="K854" s="43"/>
    </row>
    <row r="856" spans="1:11" x14ac:dyDescent="0.2">
      <c r="A856" s="34"/>
      <c r="B856" s="35"/>
      <c r="C856" s="35"/>
      <c r="D856" s="35"/>
      <c r="E856" s="36"/>
      <c r="G856" s="34"/>
      <c r="H856" s="35"/>
      <c r="I856" s="35"/>
      <c r="J856" s="35"/>
      <c r="K856" s="36"/>
    </row>
    <row r="857" spans="1:11" ht="13.5" x14ac:dyDescent="0.25">
      <c r="A857" s="146" t="s">
        <v>232</v>
      </c>
      <c r="B857" s="147"/>
      <c r="C857" s="147"/>
      <c r="D857" s="147"/>
      <c r="E857" s="148"/>
      <c r="G857" s="146" t="s">
        <v>232</v>
      </c>
      <c r="H857" s="147"/>
      <c r="I857" s="147"/>
      <c r="J857" s="147"/>
      <c r="K857" s="148"/>
    </row>
    <row r="858" spans="1:11" x14ac:dyDescent="0.2">
      <c r="A858" s="37"/>
      <c r="B858" s="2"/>
      <c r="C858" s="2"/>
      <c r="D858" s="2"/>
      <c r="E858" s="38"/>
      <c r="G858" s="39"/>
      <c r="H858" s="2"/>
      <c r="I858" s="2"/>
      <c r="J858" s="2"/>
      <c r="K858" s="38"/>
    </row>
    <row r="859" spans="1:11" x14ac:dyDescent="0.2">
      <c r="A859" s="39"/>
      <c r="B859" s="2" t="s">
        <v>228</v>
      </c>
      <c r="C859" s="1" t="s">
        <v>231</v>
      </c>
      <c r="D859" s="40">
        <f>'Rekap SHU dan Jasa Simpanan'!B147</f>
        <v>226</v>
      </c>
      <c r="E859" s="38"/>
      <c r="G859" s="39"/>
      <c r="H859" s="2" t="s">
        <v>228</v>
      </c>
      <c r="I859" s="1" t="s">
        <v>231</v>
      </c>
      <c r="J859" s="40">
        <f>'Rekap SHU dan Jasa Simpanan'!B148</f>
        <v>227</v>
      </c>
      <c r="K859" s="38"/>
    </row>
    <row r="860" spans="1:11" x14ac:dyDescent="0.2">
      <c r="A860" s="39"/>
      <c r="B860" s="2" t="s">
        <v>229</v>
      </c>
      <c r="C860" s="1" t="s">
        <v>231</v>
      </c>
      <c r="D860" s="7" t="str">
        <f>'Rekap SHU dan Jasa Simpanan'!C147</f>
        <v xml:space="preserve"> Saefuloh (oyon)</v>
      </c>
      <c r="E860" s="38"/>
      <c r="G860" s="39"/>
      <c r="H860" s="2" t="s">
        <v>229</v>
      </c>
      <c r="I860" s="1" t="s">
        <v>231</v>
      </c>
      <c r="J860" s="2" t="str">
        <f>'Rekap SHU dan Jasa Simpanan'!C148</f>
        <v xml:space="preserve"> Engkus</v>
      </c>
      <c r="K860" s="38"/>
    </row>
    <row r="861" spans="1:11" x14ac:dyDescent="0.2">
      <c r="A861" s="39"/>
      <c r="B861" s="2" t="s">
        <v>221</v>
      </c>
      <c r="C861" s="1" t="s">
        <v>231</v>
      </c>
      <c r="D861" s="41">
        <f>'Rekap SHU dan Jasa Simpanan'!BD147</f>
        <v>20500</v>
      </c>
      <c r="E861" s="38"/>
      <c r="G861" s="39"/>
      <c r="H861" s="2" t="s">
        <v>221</v>
      </c>
      <c r="I861" s="1" t="s">
        <v>231</v>
      </c>
      <c r="J861" s="41">
        <f>'Rekap SHU dan Jasa Simpanan'!BD148</f>
        <v>7850</v>
      </c>
      <c r="K861" s="38"/>
    </row>
    <row r="862" spans="1:11" x14ac:dyDescent="0.2">
      <c r="A862" s="39"/>
      <c r="B862" s="2" t="s">
        <v>223</v>
      </c>
      <c r="C862" s="1" t="s">
        <v>231</v>
      </c>
      <c r="D862" s="41">
        <f>'Rekap SHU dan Jasa Simpanan'!BQ147</f>
        <v>108894.21697081372</v>
      </c>
      <c r="E862" s="38"/>
      <c r="G862" s="39"/>
      <c r="H862" s="2" t="s">
        <v>223</v>
      </c>
      <c r="I862" s="1" t="s">
        <v>231</v>
      </c>
      <c r="J862" s="41">
        <f>'Rekap SHU dan Jasa Simpanan'!BQ148</f>
        <v>95912.18956803187</v>
      </c>
      <c r="K862" s="38"/>
    </row>
    <row r="863" spans="1:11" x14ac:dyDescent="0.2">
      <c r="A863" s="39"/>
      <c r="B863" s="10" t="s">
        <v>224</v>
      </c>
      <c r="C863" s="1" t="s">
        <v>231</v>
      </c>
      <c r="D863" s="41">
        <f>'Rekap SHU dan Jasa Simpanan'!BR147</f>
        <v>196549.17656257635</v>
      </c>
      <c r="E863" s="38"/>
      <c r="G863" s="39"/>
      <c r="H863" s="10" t="s">
        <v>224</v>
      </c>
      <c r="I863" s="1" t="s">
        <v>231</v>
      </c>
      <c r="J863" s="41">
        <f>'Rekap SHU dan Jasa Simpanan'!BR148</f>
        <v>196549.17656257635</v>
      </c>
      <c r="K863" s="38"/>
    </row>
    <row r="864" spans="1:11" x14ac:dyDescent="0.2">
      <c r="A864" s="42"/>
      <c r="B864" s="31" t="s">
        <v>230</v>
      </c>
      <c r="C864" s="32" t="s">
        <v>231</v>
      </c>
      <c r="D864" s="33">
        <v>0</v>
      </c>
      <c r="E864" s="43"/>
      <c r="G864" s="39"/>
      <c r="H864" s="31" t="s">
        <v>230</v>
      </c>
      <c r="I864" s="32" t="s">
        <v>231</v>
      </c>
      <c r="J864" s="33">
        <v>0</v>
      </c>
      <c r="K864" s="43"/>
    </row>
    <row r="865" spans="1:11" x14ac:dyDescent="0.2">
      <c r="A865" s="39"/>
      <c r="B865" s="1" t="s">
        <v>5</v>
      </c>
      <c r="C865" s="2"/>
      <c r="D865" s="41">
        <f>SUM(D861:D864)</f>
        <v>325943.39353339007</v>
      </c>
      <c r="E865" s="38"/>
      <c r="G865" s="44"/>
      <c r="H865" s="1" t="s">
        <v>5</v>
      </c>
      <c r="I865" s="2"/>
      <c r="J865" s="41">
        <f>SUM(J861:J864)</f>
        <v>300311.36613060825</v>
      </c>
      <c r="K865" s="38"/>
    </row>
    <row r="866" spans="1:11" x14ac:dyDescent="0.2">
      <c r="A866" s="42"/>
      <c r="B866" s="31"/>
      <c r="C866" s="31"/>
      <c r="D866" s="31"/>
      <c r="E866" s="43"/>
      <c r="G866" s="42"/>
      <c r="H866" s="31"/>
      <c r="I866" s="31"/>
      <c r="J866" s="31"/>
      <c r="K866" s="43"/>
    </row>
    <row r="868" spans="1:11" x14ac:dyDescent="0.2">
      <c r="A868" s="34"/>
      <c r="B868" s="35"/>
      <c r="C868" s="35"/>
      <c r="D868" s="35"/>
      <c r="E868" s="36"/>
      <c r="G868" s="34"/>
      <c r="H868" s="35"/>
      <c r="I868" s="35"/>
      <c r="J868" s="35"/>
      <c r="K868" s="36"/>
    </row>
    <row r="869" spans="1:11" ht="13.5" x14ac:dyDescent="0.25">
      <c r="A869" s="146" t="s">
        <v>232</v>
      </c>
      <c r="B869" s="147"/>
      <c r="C869" s="147"/>
      <c r="D869" s="147"/>
      <c r="E869" s="148"/>
      <c r="G869" s="146" t="s">
        <v>232</v>
      </c>
      <c r="H869" s="147"/>
      <c r="I869" s="147"/>
      <c r="J869" s="147"/>
      <c r="K869" s="148"/>
    </row>
    <row r="870" spans="1:11" x14ac:dyDescent="0.2">
      <c r="A870" s="37"/>
      <c r="B870" s="2"/>
      <c r="C870" s="2"/>
      <c r="D870" s="2"/>
      <c r="E870" s="38"/>
      <c r="G870" s="39"/>
      <c r="H870" s="2"/>
      <c r="I870" s="2"/>
      <c r="J870" s="2"/>
      <c r="K870" s="38"/>
    </row>
    <row r="871" spans="1:11" x14ac:dyDescent="0.2">
      <c r="A871" s="39"/>
      <c r="B871" s="2" t="s">
        <v>228</v>
      </c>
      <c r="C871" s="1" t="s">
        <v>231</v>
      </c>
      <c r="D871" s="40">
        <f>'Rekap SHU dan Jasa Simpanan'!B149</f>
        <v>228</v>
      </c>
      <c r="E871" s="38"/>
      <c r="G871" s="39"/>
      <c r="H871" s="2" t="s">
        <v>228</v>
      </c>
      <c r="I871" s="1" t="s">
        <v>231</v>
      </c>
      <c r="J871" s="40">
        <f>'Rekap SHU dan Jasa Simpanan'!B150</f>
        <v>229</v>
      </c>
      <c r="K871" s="38"/>
    </row>
    <row r="872" spans="1:11" x14ac:dyDescent="0.2">
      <c r="A872" s="39"/>
      <c r="B872" s="2" t="s">
        <v>229</v>
      </c>
      <c r="C872" s="1" t="s">
        <v>231</v>
      </c>
      <c r="D872" s="7" t="str">
        <f>'Rekap SHU dan Jasa Simpanan'!C149</f>
        <v xml:space="preserve"> Ibu Komariah Duyeh</v>
      </c>
      <c r="E872" s="38"/>
      <c r="G872" s="39"/>
      <c r="H872" s="2" t="s">
        <v>229</v>
      </c>
      <c r="I872" s="1" t="s">
        <v>231</v>
      </c>
      <c r="J872" s="2" t="str">
        <f>'Rekap SHU dan Jasa Simpanan'!C150</f>
        <v xml:space="preserve"> Gun-gun Gunawan</v>
      </c>
      <c r="K872" s="38"/>
    </row>
    <row r="873" spans="1:11" x14ac:dyDescent="0.2">
      <c r="A873" s="39"/>
      <c r="B873" s="2" t="s">
        <v>221</v>
      </c>
      <c r="C873" s="1" t="s">
        <v>231</v>
      </c>
      <c r="D873" s="41">
        <f>'Rekap SHU dan Jasa Simpanan'!BD149</f>
        <v>256500</v>
      </c>
      <c r="E873" s="38"/>
      <c r="G873" s="39"/>
      <c r="H873" s="2" t="s">
        <v>221</v>
      </c>
      <c r="I873" s="1" t="s">
        <v>231</v>
      </c>
      <c r="J873" s="41">
        <f>'Rekap SHU dan Jasa Simpanan'!BD150</f>
        <v>191250</v>
      </c>
      <c r="K873" s="38"/>
    </row>
    <row r="874" spans="1:11" x14ac:dyDescent="0.2">
      <c r="A874" s="39"/>
      <c r="B874" s="2" t="s">
        <v>223</v>
      </c>
      <c r="C874" s="1" t="s">
        <v>231</v>
      </c>
      <c r="D874" s="41">
        <f>'Rekap SHU dan Jasa Simpanan'!BQ149</f>
        <v>382984.36450217583</v>
      </c>
      <c r="E874" s="38"/>
      <c r="G874" s="39"/>
      <c r="H874" s="2" t="s">
        <v>223</v>
      </c>
      <c r="I874" s="1" t="s">
        <v>231</v>
      </c>
      <c r="J874" s="41">
        <f>'Rekap SHU dan Jasa Simpanan'!BQ150</f>
        <v>289524.03020667302</v>
      </c>
      <c r="K874" s="38"/>
    </row>
    <row r="875" spans="1:11" x14ac:dyDescent="0.2">
      <c r="A875" s="39"/>
      <c r="B875" s="10" t="s">
        <v>224</v>
      </c>
      <c r="C875" s="1" t="s">
        <v>231</v>
      </c>
      <c r="D875" s="41">
        <f>'Rekap SHU dan Jasa Simpanan'!BR149</f>
        <v>0</v>
      </c>
      <c r="E875" s="38"/>
      <c r="G875" s="39"/>
      <c r="H875" s="10" t="s">
        <v>224</v>
      </c>
      <c r="I875" s="1" t="s">
        <v>231</v>
      </c>
      <c r="J875" s="41">
        <f>'Rekap SHU dan Jasa Simpanan'!BR150</f>
        <v>196549.17656257635</v>
      </c>
      <c r="K875" s="38"/>
    </row>
    <row r="876" spans="1:11" x14ac:dyDescent="0.2">
      <c r="A876" s="42"/>
      <c r="B876" s="31" t="s">
        <v>230</v>
      </c>
      <c r="C876" s="32" t="s">
        <v>231</v>
      </c>
      <c r="D876" s="33">
        <v>0</v>
      </c>
      <c r="E876" s="43"/>
      <c r="G876" s="39"/>
      <c r="H876" s="31" t="s">
        <v>230</v>
      </c>
      <c r="I876" s="32" t="s">
        <v>231</v>
      </c>
      <c r="J876" s="33">
        <v>0</v>
      </c>
      <c r="K876" s="43"/>
    </row>
    <row r="877" spans="1:11" x14ac:dyDescent="0.2">
      <c r="A877" s="39"/>
      <c r="B877" s="1" t="s">
        <v>5</v>
      </c>
      <c r="C877" s="2"/>
      <c r="D877" s="41">
        <f>SUM(D873:D876)</f>
        <v>639484.36450217583</v>
      </c>
      <c r="E877" s="38"/>
      <c r="G877" s="44"/>
      <c r="H877" s="1" t="s">
        <v>5</v>
      </c>
      <c r="I877" s="2"/>
      <c r="J877" s="41">
        <f>SUM(J873:J876)</f>
        <v>677323.2067692494</v>
      </c>
      <c r="K877" s="38"/>
    </row>
    <row r="878" spans="1:11" x14ac:dyDescent="0.2">
      <c r="A878" s="42"/>
      <c r="B878" s="31"/>
      <c r="C878" s="31"/>
      <c r="D878" s="31"/>
      <c r="E878" s="43"/>
      <c r="G878" s="42"/>
      <c r="H878" s="31"/>
      <c r="I878" s="31"/>
      <c r="J878" s="31"/>
      <c r="K878" s="43"/>
    </row>
    <row r="883" spans="1:11" x14ac:dyDescent="0.2">
      <c r="A883" s="34"/>
      <c r="B883" s="35"/>
      <c r="C883" s="35"/>
      <c r="D883" s="35"/>
      <c r="E883" s="36"/>
      <c r="G883" s="34"/>
      <c r="H883" s="35"/>
      <c r="I883" s="35"/>
      <c r="J883" s="35"/>
      <c r="K883" s="36"/>
    </row>
    <row r="884" spans="1:11" ht="13.5" x14ac:dyDescent="0.25">
      <c r="A884" s="146" t="s">
        <v>232</v>
      </c>
      <c r="B884" s="147"/>
      <c r="C884" s="147"/>
      <c r="D884" s="147"/>
      <c r="E884" s="148"/>
      <c r="G884" s="146" t="s">
        <v>232</v>
      </c>
      <c r="H884" s="147"/>
      <c r="I884" s="147"/>
      <c r="J884" s="147"/>
      <c r="K884" s="148"/>
    </row>
    <row r="885" spans="1:11" x14ac:dyDescent="0.2">
      <c r="A885" s="37"/>
      <c r="B885" s="2"/>
      <c r="C885" s="2"/>
      <c r="D885" s="2"/>
      <c r="E885" s="38"/>
      <c r="G885" s="39"/>
      <c r="H885" s="2"/>
      <c r="I885" s="2"/>
      <c r="J885" s="2"/>
      <c r="K885" s="38"/>
    </row>
    <row r="886" spans="1:11" x14ac:dyDescent="0.2">
      <c r="A886" s="39"/>
      <c r="B886" s="2" t="s">
        <v>228</v>
      </c>
      <c r="C886" s="1" t="s">
        <v>231</v>
      </c>
      <c r="D886" s="40">
        <f>'Rekap SHU dan Jasa Simpanan'!B151</f>
        <v>230</v>
      </c>
      <c r="E886" s="38"/>
      <c r="G886" s="39"/>
      <c r="H886" s="2" t="s">
        <v>228</v>
      </c>
      <c r="I886" s="1" t="s">
        <v>231</v>
      </c>
      <c r="J886" s="40">
        <f>'Rekap SHU dan Jasa Simpanan'!B152</f>
        <v>231</v>
      </c>
      <c r="K886" s="38"/>
    </row>
    <row r="887" spans="1:11" x14ac:dyDescent="0.2">
      <c r="A887" s="39"/>
      <c r="B887" s="2" t="s">
        <v>229</v>
      </c>
      <c r="C887" s="1" t="s">
        <v>231</v>
      </c>
      <c r="D887" s="2" t="str">
        <f>'Rekap SHU dan Jasa Simpanan'!C151</f>
        <v xml:space="preserve"> Dadan Setiadi</v>
      </c>
      <c r="E887" s="38"/>
      <c r="G887" s="39"/>
      <c r="H887" s="2" t="s">
        <v>229</v>
      </c>
      <c r="I887" s="1" t="s">
        <v>231</v>
      </c>
      <c r="J887" s="2" t="str">
        <f>'Rekap SHU dan Jasa Simpanan'!C152</f>
        <v xml:space="preserve"> Ade Parsid</v>
      </c>
      <c r="K887" s="38"/>
    </row>
    <row r="888" spans="1:11" x14ac:dyDescent="0.2">
      <c r="A888" s="39"/>
      <c r="B888" s="2" t="s">
        <v>221</v>
      </c>
      <c r="C888" s="1" t="s">
        <v>231</v>
      </c>
      <c r="D888" s="41">
        <f>'Rekap SHU dan Jasa Simpanan'!BD151</f>
        <v>26000</v>
      </c>
      <c r="E888" s="38"/>
      <c r="G888" s="39"/>
      <c r="H888" s="2" t="s">
        <v>221</v>
      </c>
      <c r="I888" s="1" t="s">
        <v>231</v>
      </c>
      <c r="J888" s="41">
        <f>'Rekap SHU dan Jasa Simpanan'!BD152</f>
        <v>15250</v>
      </c>
      <c r="K888" s="38"/>
    </row>
    <row r="889" spans="1:11" x14ac:dyDescent="0.2">
      <c r="A889" s="39"/>
      <c r="B889" s="2" t="s">
        <v>223</v>
      </c>
      <c r="C889" s="1" t="s">
        <v>231</v>
      </c>
      <c r="D889" s="41">
        <f>'Rekap SHU dan Jasa Simpanan'!BQ151</f>
        <v>115107.3626771875</v>
      </c>
      <c r="E889" s="38"/>
      <c r="G889" s="39"/>
      <c r="H889" s="2" t="s">
        <v>223</v>
      </c>
      <c r="I889" s="1" t="s">
        <v>231</v>
      </c>
      <c r="J889" s="41">
        <f>'Rekap SHU dan Jasa Simpanan'!BQ152</f>
        <v>99900.882644779194</v>
      </c>
      <c r="K889" s="38"/>
    </row>
    <row r="890" spans="1:11" x14ac:dyDescent="0.2">
      <c r="A890" s="39"/>
      <c r="B890" s="10" t="s">
        <v>224</v>
      </c>
      <c r="C890" s="1" t="s">
        <v>231</v>
      </c>
      <c r="D890" s="41">
        <f>'Rekap SHU dan Jasa Simpanan'!BR151</f>
        <v>196549.17656257635</v>
      </c>
      <c r="E890" s="38"/>
      <c r="G890" s="39"/>
      <c r="H890" s="10" t="s">
        <v>224</v>
      </c>
      <c r="I890" s="1" t="s">
        <v>231</v>
      </c>
      <c r="J890" s="41">
        <f>'Rekap SHU dan Jasa Simpanan'!BR152</f>
        <v>196549.17656257635</v>
      </c>
      <c r="K890" s="38"/>
    </row>
    <row r="891" spans="1:11" x14ac:dyDescent="0.2">
      <c r="A891" s="42"/>
      <c r="B891" s="31" t="s">
        <v>230</v>
      </c>
      <c r="C891" s="32" t="s">
        <v>231</v>
      </c>
      <c r="D891" s="33">
        <v>0</v>
      </c>
      <c r="E891" s="43"/>
      <c r="G891" s="39"/>
      <c r="H891" s="31" t="s">
        <v>230</v>
      </c>
      <c r="I891" s="32" t="s">
        <v>231</v>
      </c>
      <c r="J891" s="33">
        <v>0</v>
      </c>
      <c r="K891" s="43"/>
    </row>
    <row r="892" spans="1:11" x14ac:dyDescent="0.2">
      <c r="A892" s="39"/>
      <c r="B892" s="1" t="s">
        <v>5</v>
      </c>
      <c r="C892" s="2"/>
      <c r="D892" s="41">
        <f>SUM(D888:D891)</f>
        <v>337656.53923976386</v>
      </c>
      <c r="E892" s="38"/>
      <c r="G892" s="44"/>
      <c r="H892" s="1" t="s">
        <v>5</v>
      </c>
      <c r="I892" s="2"/>
      <c r="J892" s="41">
        <f>SUM(J888:J891)</f>
        <v>311700.05920735555</v>
      </c>
      <c r="K892" s="38"/>
    </row>
    <row r="893" spans="1:11" x14ac:dyDescent="0.2">
      <c r="A893" s="42"/>
      <c r="B893" s="31"/>
      <c r="C893" s="31"/>
      <c r="D893" s="31"/>
      <c r="E893" s="43"/>
      <c r="G893" s="42"/>
      <c r="H893" s="31"/>
      <c r="I893" s="31"/>
      <c r="J893" s="31"/>
      <c r="K893" s="43"/>
    </row>
    <row r="895" spans="1:11" x14ac:dyDescent="0.2">
      <c r="A895" s="34"/>
      <c r="B895" s="35"/>
      <c r="C895" s="35"/>
      <c r="D895" s="35"/>
      <c r="E895" s="36"/>
      <c r="G895" s="34"/>
      <c r="H895" s="35"/>
      <c r="I895" s="35"/>
      <c r="J895" s="35"/>
      <c r="K895" s="36"/>
    </row>
    <row r="896" spans="1:11" ht="13.5" x14ac:dyDescent="0.25">
      <c r="A896" s="146" t="s">
        <v>232</v>
      </c>
      <c r="B896" s="147"/>
      <c r="C896" s="147"/>
      <c r="D896" s="147"/>
      <c r="E896" s="148"/>
      <c r="G896" s="146" t="s">
        <v>232</v>
      </c>
      <c r="H896" s="147"/>
      <c r="I896" s="147"/>
      <c r="J896" s="147"/>
      <c r="K896" s="148"/>
    </row>
    <row r="897" spans="1:11" x14ac:dyDescent="0.2">
      <c r="A897" s="37"/>
      <c r="B897" s="2"/>
      <c r="C897" s="2"/>
      <c r="D897" s="2"/>
      <c r="E897" s="38"/>
      <c r="G897" s="39"/>
      <c r="H897" s="2"/>
      <c r="I897" s="2"/>
      <c r="J897" s="2"/>
      <c r="K897" s="38"/>
    </row>
    <row r="898" spans="1:11" x14ac:dyDescent="0.2">
      <c r="A898" s="39"/>
      <c r="B898" s="2" t="s">
        <v>228</v>
      </c>
      <c r="C898" s="1" t="s">
        <v>231</v>
      </c>
      <c r="D898" s="40">
        <f>'Rekap SHU dan Jasa Simpanan'!B153</f>
        <v>232</v>
      </c>
      <c r="E898" s="38"/>
      <c r="G898" s="39"/>
      <c r="H898" s="2" t="s">
        <v>228</v>
      </c>
      <c r="I898" s="1" t="s">
        <v>231</v>
      </c>
      <c r="J898" s="40">
        <f>'Rekap SHU dan Jasa Simpanan'!B154</f>
        <v>233</v>
      </c>
      <c r="K898" s="38"/>
    </row>
    <row r="899" spans="1:11" x14ac:dyDescent="0.2">
      <c r="A899" s="39"/>
      <c r="B899" s="2" t="s">
        <v>229</v>
      </c>
      <c r="C899" s="1" t="s">
        <v>231</v>
      </c>
      <c r="D899" s="7" t="str">
        <f>'Rekap SHU dan Jasa Simpanan'!C153</f>
        <v xml:space="preserve"> Iyus Rusmana</v>
      </c>
      <c r="E899" s="38"/>
      <c r="G899" s="39"/>
      <c r="H899" s="2" t="s">
        <v>229</v>
      </c>
      <c r="I899" s="1" t="s">
        <v>231</v>
      </c>
      <c r="J899" s="2" t="str">
        <f>'Rekap SHU dan Jasa Simpanan'!C154</f>
        <v xml:space="preserve"> Dada Sudariya</v>
      </c>
      <c r="K899" s="38"/>
    </row>
    <row r="900" spans="1:11" x14ac:dyDescent="0.2">
      <c r="A900" s="39"/>
      <c r="B900" s="2" t="s">
        <v>221</v>
      </c>
      <c r="C900" s="1" t="s">
        <v>231</v>
      </c>
      <c r="D900" s="41">
        <f>'Rekap SHU dan Jasa Simpanan'!BD153</f>
        <v>20150</v>
      </c>
      <c r="E900" s="38"/>
      <c r="G900" s="39"/>
      <c r="H900" s="2" t="s">
        <v>221</v>
      </c>
      <c r="I900" s="1" t="s">
        <v>231</v>
      </c>
      <c r="J900" s="41">
        <f>'Rekap SHU dan Jasa Simpanan'!BD154</f>
        <v>51250</v>
      </c>
      <c r="K900" s="38"/>
    </row>
    <row r="901" spans="1:11" x14ac:dyDescent="0.2">
      <c r="A901" s="39"/>
      <c r="B901" s="2" t="s">
        <v>223</v>
      </c>
      <c r="C901" s="1" t="s">
        <v>231</v>
      </c>
      <c r="D901" s="41">
        <f>'Rekap SHU dan Jasa Simpanan'!BQ153</f>
        <v>97911.964494759668</v>
      </c>
      <c r="E901" s="38"/>
      <c r="G901" s="39"/>
      <c r="H901" s="2" t="s">
        <v>223</v>
      </c>
      <c r="I901" s="1" t="s">
        <v>231</v>
      </c>
      <c r="J901" s="41">
        <f>'Rekap SHU dan Jasa Simpanan'!BQ154</f>
        <v>129685.91781748651</v>
      </c>
      <c r="K901" s="38"/>
    </row>
    <row r="902" spans="1:11" x14ac:dyDescent="0.2">
      <c r="A902" s="39"/>
      <c r="B902" s="10" t="s">
        <v>224</v>
      </c>
      <c r="C902" s="1" t="s">
        <v>231</v>
      </c>
      <c r="D902" s="41">
        <f>'Rekap SHU dan Jasa Simpanan'!BR153</f>
        <v>196549.17656257635</v>
      </c>
      <c r="E902" s="38"/>
      <c r="G902" s="39"/>
      <c r="H902" s="10" t="s">
        <v>224</v>
      </c>
      <c r="I902" s="1" t="s">
        <v>231</v>
      </c>
      <c r="J902" s="41">
        <f>'Rekap SHU dan Jasa Simpanan'!BR154</f>
        <v>0</v>
      </c>
      <c r="K902" s="38"/>
    </row>
    <row r="903" spans="1:11" x14ac:dyDescent="0.2">
      <c r="A903" s="42"/>
      <c r="B903" s="31" t="s">
        <v>230</v>
      </c>
      <c r="C903" s="32" t="s">
        <v>231</v>
      </c>
      <c r="D903" s="33">
        <v>0</v>
      </c>
      <c r="E903" s="43"/>
      <c r="G903" s="39"/>
      <c r="H903" s="31" t="s">
        <v>230</v>
      </c>
      <c r="I903" s="32" t="s">
        <v>231</v>
      </c>
      <c r="J903" s="33">
        <v>0</v>
      </c>
      <c r="K903" s="43"/>
    </row>
    <row r="904" spans="1:11" x14ac:dyDescent="0.2">
      <c r="A904" s="39"/>
      <c r="B904" s="1" t="s">
        <v>5</v>
      </c>
      <c r="C904" s="2"/>
      <c r="D904" s="41">
        <f>SUM(D900:D903)</f>
        <v>314611.141057336</v>
      </c>
      <c r="E904" s="38"/>
      <c r="G904" s="44"/>
      <c r="H904" s="1" t="s">
        <v>5</v>
      </c>
      <c r="I904" s="2"/>
      <c r="J904" s="41">
        <f>SUM(J900:J903)</f>
        <v>180935.91781748651</v>
      </c>
      <c r="K904" s="38"/>
    </row>
    <row r="905" spans="1:11" x14ac:dyDescent="0.2">
      <c r="A905" s="42"/>
      <c r="B905" s="31"/>
      <c r="C905" s="31"/>
      <c r="D905" s="31"/>
      <c r="E905" s="43"/>
      <c r="G905" s="42"/>
      <c r="H905" s="31"/>
      <c r="I905" s="31"/>
      <c r="J905" s="31"/>
      <c r="K905" s="43"/>
    </row>
    <row r="907" spans="1:11" x14ac:dyDescent="0.2">
      <c r="A907" s="34"/>
      <c r="B907" s="35"/>
      <c r="C907" s="35"/>
      <c r="D907" s="35"/>
      <c r="E907" s="36"/>
      <c r="G907" s="34"/>
      <c r="H907" s="35"/>
      <c r="I907" s="35"/>
      <c r="J907" s="35"/>
      <c r="K907" s="36"/>
    </row>
    <row r="908" spans="1:11" ht="13.5" x14ac:dyDescent="0.25">
      <c r="A908" s="146" t="s">
        <v>232</v>
      </c>
      <c r="B908" s="147"/>
      <c r="C908" s="147"/>
      <c r="D908" s="147"/>
      <c r="E908" s="148"/>
      <c r="G908" s="146" t="s">
        <v>232</v>
      </c>
      <c r="H908" s="147"/>
      <c r="I908" s="147"/>
      <c r="J908" s="147"/>
      <c r="K908" s="148"/>
    </row>
    <row r="909" spans="1:11" x14ac:dyDescent="0.2">
      <c r="A909" s="37"/>
      <c r="B909" s="2"/>
      <c r="C909" s="2"/>
      <c r="D909" s="2"/>
      <c r="E909" s="38"/>
      <c r="G909" s="39"/>
      <c r="H909" s="2"/>
      <c r="I909" s="2"/>
      <c r="J909" s="2"/>
      <c r="K909" s="38"/>
    </row>
    <row r="910" spans="1:11" x14ac:dyDescent="0.2">
      <c r="A910" s="39"/>
      <c r="B910" s="2" t="s">
        <v>228</v>
      </c>
      <c r="C910" s="1" t="s">
        <v>231</v>
      </c>
      <c r="D910" s="40">
        <f>'Rekap SHU dan Jasa Simpanan'!B155</f>
        <v>234</v>
      </c>
      <c r="E910" s="38"/>
      <c r="G910" s="39"/>
      <c r="H910" s="2" t="s">
        <v>228</v>
      </c>
      <c r="I910" s="1" t="s">
        <v>231</v>
      </c>
      <c r="J910" s="40">
        <f>'Rekap SHU dan Jasa Simpanan'!B156</f>
        <v>235</v>
      </c>
      <c r="K910" s="38"/>
    </row>
    <row r="911" spans="1:11" x14ac:dyDescent="0.2">
      <c r="A911" s="39"/>
      <c r="B911" s="2" t="s">
        <v>229</v>
      </c>
      <c r="C911" s="1" t="s">
        <v>231</v>
      </c>
      <c r="D911" s="7" t="str">
        <f>'Rekap SHU dan Jasa Simpanan'!C155</f>
        <v xml:space="preserve"> Ibu Eka A Bariji</v>
      </c>
      <c r="E911" s="38"/>
      <c r="G911" s="39"/>
      <c r="H911" s="2" t="s">
        <v>229</v>
      </c>
      <c r="I911" s="1" t="s">
        <v>231</v>
      </c>
      <c r="J911" s="2" t="str">
        <f>'Rekap SHU dan Jasa Simpanan'!C156</f>
        <v xml:space="preserve"> Bambang Suswanto</v>
      </c>
      <c r="K911" s="38"/>
    </row>
    <row r="912" spans="1:11" x14ac:dyDescent="0.2">
      <c r="A912" s="39"/>
      <c r="B912" s="2" t="s">
        <v>221</v>
      </c>
      <c r="C912" s="1" t="s">
        <v>231</v>
      </c>
      <c r="D912" s="41">
        <f>'Rekap SHU dan Jasa Simpanan'!BD155</f>
        <v>31240</v>
      </c>
      <c r="E912" s="38"/>
      <c r="G912" s="39"/>
      <c r="H912" s="2" t="s">
        <v>221</v>
      </c>
      <c r="I912" s="1" t="s">
        <v>231</v>
      </c>
      <c r="J912" s="41">
        <f>'Rekap SHU dan Jasa Simpanan'!BD156</f>
        <v>30500</v>
      </c>
      <c r="K912" s="38"/>
    </row>
    <row r="913" spans="1:11" x14ac:dyDescent="0.2">
      <c r="A913" s="39"/>
      <c r="B913" s="2" t="s">
        <v>223</v>
      </c>
      <c r="C913" s="1" t="s">
        <v>231</v>
      </c>
      <c r="D913" s="41">
        <f>'Rekap SHU dan Jasa Simpanan'!BQ155</f>
        <v>140750.68237510463</v>
      </c>
      <c r="E913" s="38"/>
      <c r="G913" s="39"/>
      <c r="H913" s="2" t="s">
        <v>223</v>
      </c>
      <c r="I913" s="1" t="s">
        <v>231</v>
      </c>
      <c r="J913" s="41">
        <f>'Rekap SHU dan Jasa Simpanan'!BQ156</f>
        <v>107202.86735386626</v>
      </c>
      <c r="K913" s="38"/>
    </row>
    <row r="914" spans="1:11" x14ac:dyDescent="0.2">
      <c r="A914" s="39"/>
      <c r="B914" s="10" t="s">
        <v>224</v>
      </c>
      <c r="C914" s="1" t="s">
        <v>231</v>
      </c>
      <c r="D914" s="41">
        <f>'Rekap SHU dan Jasa Simpanan'!BR155</f>
        <v>0</v>
      </c>
      <c r="E914" s="38"/>
      <c r="G914" s="39"/>
      <c r="H914" s="10" t="s">
        <v>224</v>
      </c>
      <c r="I914" s="1" t="s">
        <v>231</v>
      </c>
      <c r="J914" s="41">
        <f>'Rekap SHU dan Jasa Simpanan'!BR156</f>
        <v>196549.17656257635</v>
      </c>
      <c r="K914" s="38"/>
    </row>
    <row r="915" spans="1:11" x14ac:dyDescent="0.2">
      <c r="A915" s="42"/>
      <c r="B915" s="31" t="s">
        <v>230</v>
      </c>
      <c r="C915" s="32" t="s">
        <v>231</v>
      </c>
      <c r="D915" s="33">
        <v>0</v>
      </c>
      <c r="E915" s="43"/>
      <c r="G915" s="39"/>
      <c r="H915" s="31" t="s">
        <v>230</v>
      </c>
      <c r="I915" s="32" t="s">
        <v>231</v>
      </c>
      <c r="J915" s="33">
        <v>0</v>
      </c>
      <c r="K915" s="43"/>
    </row>
    <row r="916" spans="1:11" x14ac:dyDescent="0.2">
      <c r="A916" s="39"/>
      <c r="B916" s="1" t="s">
        <v>5</v>
      </c>
      <c r="C916" s="2"/>
      <c r="D916" s="41">
        <f>SUM(D912:D915)</f>
        <v>171990.68237510463</v>
      </c>
      <c r="E916" s="38"/>
      <c r="G916" s="44"/>
      <c r="H916" s="1" t="s">
        <v>5</v>
      </c>
      <c r="I916" s="2"/>
      <c r="J916" s="41">
        <f>SUM(J912:J915)</f>
        <v>334252.04391644261</v>
      </c>
      <c r="K916" s="38"/>
    </row>
    <row r="917" spans="1:11" x14ac:dyDescent="0.2">
      <c r="A917" s="42"/>
      <c r="B917" s="31"/>
      <c r="C917" s="31"/>
      <c r="D917" s="31"/>
      <c r="E917" s="43"/>
      <c r="G917" s="42"/>
      <c r="H917" s="31"/>
      <c r="I917" s="31"/>
      <c r="J917" s="31"/>
      <c r="K917" s="43"/>
    </row>
    <row r="919" spans="1:11" x14ac:dyDescent="0.2">
      <c r="A919" s="34"/>
      <c r="B919" s="35"/>
      <c r="C919" s="35"/>
      <c r="D919" s="35"/>
      <c r="E919" s="36"/>
      <c r="G919" s="34"/>
      <c r="H919" s="35"/>
      <c r="I919" s="35"/>
      <c r="J919" s="35"/>
      <c r="K919" s="36"/>
    </row>
    <row r="920" spans="1:11" ht="13.5" x14ac:dyDescent="0.25">
      <c r="A920" s="146" t="s">
        <v>232</v>
      </c>
      <c r="B920" s="147"/>
      <c r="C920" s="147"/>
      <c r="D920" s="147"/>
      <c r="E920" s="148"/>
      <c r="G920" s="146" t="s">
        <v>232</v>
      </c>
      <c r="H920" s="147"/>
      <c r="I920" s="147"/>
      <c r="J920" s="147"/>
      <c r="K920" s="148"/>
    </row>
    <row r="921" spans="1:11" x14ac:dyDescent="0.2">
      <c r="A921" s="37"/>
      <c r="B921" s="2"/>
      <c r="C921" s="2"/>
      <c r="D921" s="2"/>
      <c r="E921" s="38"/>
      <c r="G921" s="39"/>
      <c r="H921" s="2"/>
      <c r="I921" s="2"/>
      <c r="J921" s="2"/>
      <c r="K921" s="38"/>
    </row>
    <row r="922" spans="1:11" x14ac:dyDescent="0.2">
      <c r="A922" s="39"/>
      <c r="B922" s="2" t="s">
        <v>228</v>
      </c>
      <c r="C922" s="1" t="s">
        <v>231</v>
      </c>
      <c r="D922" s="40">
        <f>'Rekap SHU dan Jasa Simpanan'!B157</f>
        <v>236</v>
      </c>
      <c r="E922" s="38"/>
      <c r="G922" s="39"/>
      <c r="H922" s="2" t="s">
        <v>228</v>
      </c>
      <c r="I922" s="1" t="s">
        <v>231</v>
      </c>
      <c r="J922" s="40">
        <f>'Rekap SHU dan Jasa Simpanan'!B158</f>
        <v>238</v>
      </c>
      <c r="K922" s="38"/>
    </row>
    <row r="923" spans="1:11" x14ac:dyDescent="0.2">
      <c r="A923" s="39"/>
      <c r="B923" s="2" t="s">
        <v>229</v>
      </c>
      <c r="C923" s="1" t="s">
        <v>231</v>
      </c>
      <c r="D923" s="7" t="str">
        <f>'Rekap SHU dan Jasa Simpanan'!C157</f>
        <v xml:space="preserve"> Afrizal Arisandi</v>
      </c>
      <c r="E923" s="38"/>
      <c r="G923" s="39"/>
      <c r="H923" s="2" t="s">
        <v>229</v>
      </c>
      <c r="I923" s="1" t="s">
        <v>231</v>
      </c>
      <c r="J923" s="2" t="str">
        <f>'Rekap SHU dan Jasa Simpanan'!C158</f>
        <v xml:space="preserve"> Cecep Saepudin</v>
      </c>
      <c r="K923" s="38"/>
    </row>
    <row r="924" spans="1:11" x14ac:dyDescent="0.2">
      <c r="A924" s="39"/>
      <c r="B924" s="2" t="s">
        <v>221</v>
      </c>
      <c r="C924" s="1" t="s">
        <v>231</v>
      </c>
      <c r="D924" s="41">
        <f>'Rekap SHU dan Jasa Simpanan'!BD157</f>
        <v>36590</v>
      </c>
      <c r="E924" s="38"/>
      <c r="G924" s="39"/>
      <c r="H924" s="2" t="s">
        <v>221</v>
      </c>
      <c r="I924" s="1" t="s">
        <v>231</v>
      </c>
      <c r="J924" s="41">
        <f>'Rekap SHU dan Jasa Simpanan'!BD158</f>
        <v>293505</v>
      </c>
      <c r="K924" s="38"/>
    </row>
    <row r="925" spans="1:11" x14ac:dyDescent="0.2">
      <c r="A925" s="39"/>
      <c r="B925" s="2" t="s">
        <v>223</v>
      </c>
      <c r="C925" s="1" t="s">
        <v>231</v>
      </c>
      <c r="D925" s="41">
        <f>'Rekap SHU dan Jasa Simpanan'!BQ157</f>
        <v>113270.94516282885</v>
      </c>
      <c r="E925" s="38"/>
      <c r="G925" s="39"/>
      <c r="H925" s="2" t="s">
        <v>223</v>
      </c>
      <c r="I925" s="1" t="s">
        <v>231</v>
      </c>
      <c r="J925" s="41">
        <f>'Rekap SHU dan Jasa Simpanan'!BQ158</f>
        <v>383082.39067470678</v>
      </c>
      <c r="K925" s="38"/>
    </row>
    <row r="926" spans="1:11" x14ac:dyDescent="0.2">
      <c r="A926" s="39"/>
      <c r="B926" s="10" t="s">
        <v>224</v>
      </c>
      <c r="C926" s="1" t="s">
        <v>231</v>
      </c>
      <c r="D926" s="41">
        <f>'Rekap SHU dan Jasa Simpanan'!BR157</f>
        <v>180170.078515695</v>
      </c>
      <c r="E926" s="38"/>
      <c r="G926" s="39"/>
      <c r="H926" s="10" t="s">
        <v>224</v>
      </c>
      <c r="I926" s="1" t="s">
        <v>231</v>
      </c>
      <c r="J926" s="41">
        <f>'Rekap SHU dan Jasa Simpanan'!BR158</f>
        <v>157239.34125006109</v>
      </c>
      <c r="K926" s="38"/>
    </row>
    <row r="927" spans="1:11" x14ac:dyDescent="0.2">
      <c r="A927" s="42"/>
      <c r="B927" s="31" t="s">
        <v>230</v>
      </c>
      <c r="C927" s="32" t="s">
        <v>231</v>
      </c>
      <c r="D927" s="33">
        <v>0</v>
      </c>
      <c r="E927" s="43"/>
      <c r="G927" s="39"/>
      <c r="H927" s="31" t="s">
        <v>230</v>
      </c>
      <c r="I927" s="32" t="s">
        <v>231</v>
      </c>
      <c r="J927" s="33">
        <v>0</v>
      </c>
      <c r="K927" s="43"/>
    </row>
    <row r="928" spans="1:11" x14ac:dyDescent="0.2">
      <c r="A928" s="39"/>
      <c r="B928" s="1" t="s">
        <v>5</v>
      </c>
      <c r="C928" s="2"/>
      <c r="D928" s="41">
        <f>SUM(D924:D927)</f>
        <v>330031.02367852384</v>
      </c>
      <c r="E928" s="38"/>
      <c r="G928" s="44"/>
      <c r="H928" s="1" t="s">
        <v>5</v>
      </c>
      <c r="I928" s="2"/>
      <c r="J928" s="41">
        <f>SUM(J924:J927)</f>
        <v>833826.73192476784</v>
      </c>
      <c r="K928" s="38"/>
    </row>
    <row r="929" spans="1:11" x14ac:dyDescent="0.2">
      <c r="A929" s="42"/>
      <c r="B929" s="31"/>
      <c r="C929" s="31"/>
      <c r="D929" s="31"/>
      <c r="E929" s="43"/>
      <c r="G929" s="42"/>
      <c r="H929" s="31"/>
      <c r="I929" s="31"/>
      <c r="J929" s="31"/>
      <c r="K929" s="43"/>
    </row>
    <row r="931" spans="1:11" x14ac:dyDescent="0.2">
      <c r="A931" s="34"/>
      <c r="B931" s="35"/>
      <c r="C931" s="35"/>
      <c r="D931" s="35"/>
      <c r="E931" s="36"/>
      <c r="G931" s="34"/>
      <c r="H931" s="35"/>
      <c r="I931" s="35"/>
      <c r="J931" s="35"/>
      <c r="K931" s="36"/>
    </row>
    <row r="932" spans="1:11" ht="13.5" x14ac:dyDescent="0.25">
      <c r="A932" s="146" t="s">
        <v>232</v>
      </c>
      <c r="B932" s="147"/>
      <c r="C932" s="147"/>
      <c r="D932" s="147"/>
      <c r="E932" s="148"/>
      <c r="G932" s="146" t="s">
        <v>232</v>
      </c>
      <c r="H932" s="147"/>
      <c r="I932" s="147"/>
      <c r="J932" s="147"/>
      <c r="K932" s="148"/>
    </row>
    <row r="933" spans="1:11" x14ac:dyDescent="0.2">
      <c r="A933" s="37"/>
      <c r="B933" s="2"/>
      <c r="C933" s="2"/>
      <c r="D933" s="2"/>
      <c r="E933" s="38"/>
      <c r="G933" s="39"/>
      <c r="H933" s="2"/>
      <c r="I933" s="2"/>
      <c r="J933" s="2"/>
      <c r="K933" s="38"/>
    </row>
    <row r="934" spans="1:11" x14ac:dyDescent="0.2">
      <c r="A934" s="39"/>
      <c r="B934" s="2" t="s">
        <v>228</v>
      </c>
      <c r="C934" s="1" t="s">
        <v>231</v>
      </c>
      <c r="D934" s="40">
        <f>'Rekap SHU dan Jasa Simpanan'!B159</f>
        <v>239</v>
      </c>
      <c r="E934" s="38"/>
      <c r="G934" s="39"/>
      <c r="H934" s="2" t="s">
        <v>228</v>
      </c>
      <c r="I934" s="1" t="s">
        <v>231</v>
      </c>
      <c r="J934" s="40">
        <f>'Rekap SHU dan Jasa Simpanan'!B160</f>
        <v>240</v>
      </c>
      <c r="K934" s="38"/>
    </row>
    <row r="935" spans="1:11" x14ac:dyDescent="0.2">
      <c r="A935" s="39"/>
      <c r="B935" s="2" t="s">
        <v>229</v>
      </c>
      <c r="C935" s="1" t="s">
        <v>231</v>
      </c>
      <c r="D935" s="7" t="str">
        <f>'Rekap SHU dan Jasa Simpanan'!C159</f>
        <v xml:space="preserve"> Sehabudin</v>
      </c>
      <c r="E935" s="38"/>
      <c r="G935" s="39"/>
      <c r="H935" s="2" t="s">
        <v>229</v>
      </c>
      <c r="I935" s="1" t="s">
        <v>231</v>
      </c>
      <c r="J935" s="2" t="str">
        <f>'Rekap SHU dan Jasa Simpanan'!C160</f>
        <v xml:space="preserve"> Edo Hadi Nugroho</v>
      </c>
      <c r="K935" s="38"/>
    </row>
    <row r="936" spans="1:11" x14ac:dyDescent="0.2">
      <c r="A936" s="39"/>
      <c r="B936" s="2" t="s">
        <v>221</v>
      </c>
      <c r="C936" s="1" t="s">
        <v>231</v>
      </c>
      <c r="D936" s="41">
        <f>'Rekap SHU dan Jasa Simpanan'!BD159</f>
        <v>36000</v>
      </c>
      <c r="E936" s="38"/>
      <c r="G936" s="39"/>
      <c r="H936" s="2" t="s">
        <v>221</v>
      </c>
      <c r="I936" s="1" t="s">
        <v>231</v>
      </c>
      <c r="J936" s="41">
        <f>'Rekap SHU dan Jasa Simpanan'!BD160</f>
        <v>369750</v>
      </c>
      <c r="K936" s="38"/>
    </row>
    <row r="937" spans="1:11" x14ac:dyDescent="0.2">
      <c r="A937" s="39"/>
      <c r="B937" s="2" t="s">
        <v>223</v>
      </c>
      <c r="C937" s="1" t="s">
        <v>231</v>
      </c>
      <c r="D937" s="41">
        <f>'Rekap SHU dan Jasa Simpanan'!BQ159</f>
        <v>105138.81443884039</v>
      </c>
      <c r="E937" s="38"/>
      <c r="G937" s="39"/>
      <c r="H937" s="2" t="s">
        <v>223</v>
      </c>
      <c r="I937" s="1" t="s">
        <v>231</v>
      </c>
      <c r="J937" s="41">
        <f>'Rekap SHU dan Jasa Simpanan'!BQ160</f>
        <v>495807.59973629186</v>
      </c>
      <c r="K937" s="38"/>
    </row>
    <row r="938" spans="1:11" x14ac:dyDescent="0.2">
      <c r="A938" s="39"/>
      <c r="B938" s="10" t="s">
        <v>224</v>
      </c>
      <c r="C938" s="1" t="s">
        <v>231</v>
      </c>
      <c r="D938" s="41">
        <f>'Rekap SHU dan Jasa Simpanan'!BR159</f>
        <v>170342.61968756618</v>
      </c>
      <c r="E938" s="38"/>
      <c r="G938" s="39"/>
      <c r="H938" s="10" t="s">
        <v>224</v>
      </c>
      <c r="I938" s="1" t="s">
        <v>231</v>
      </c>
      <c r="J938" s="41">
        <f>'Rekap SHU dan Jasa Simpanan'!BR160</f>
        <v>131032.78437505091</v>
      </c>
      <c r="K938" s="38"/>
    </row>
    <row r="939" spans="1:11" x14ac:dyDescent="0.2">
      <c r="A939" s="42"/>
      <c r="B939" s="31" t="s">
        <v>230</v>
      </c>
      <c r="C939" s="32" t="s">
        <v>231</v>
      </c>
      <c r="D939" s="33">
        <v>0</v>
      </c>
      <c r="E939" s="43"/>
      <c r="G939" s="39"/>
      <c r="H939" s="31" t="s">
        <v>230</v>
      </c>
      <c r="I939" s="32" t="s">
        <v>231</v>
      </c>
      <c r="J939" s="33">
        <v>50000</v>
      </c>
      <c r="K939" s="43"/>
    </row>
    <row r="940" spans="1:11" x14ac:dyDescent="0.2">
      <c r="A940" s="39"/>
      <c r="B940" s="1" t="s">
        <v>5</v>
      </c>
      <c r="C940" s="2"/>
      <c r="D940" s="41">
        <f>SUM(D936:D939)</f>
        <v>311481.43412640656</v>
      </c>
      <c r="E940" s="38"/>
      <c r="G940" s="44"/>
      <c r="H940" s="1" t="s">
        <v>5</v>
      </c>
      <c r="I940" s="2"/>
      <c r="J940" s="41">
        <f>SUM(J936:J939)</f>
        <v>1046590.3841113428</v>
      </c>
      <c r="K940" s="38"/>
    </row>
    <row r="941" spans="1:11" x14ac:dyDescent="0.2">
      <c r="A941" s="42"/>
      <c r="B941" s="31"/>
      <c r="C941" s="31"/>
      <c r="D941" s="31"/>
      <c r="E941" s="43"/>
      <c r="G941" s="42"/>
      <c r="H941" s="31"/>
      <c r="I941" s="31"/>
      <c r="J941" s="31"/>
      <c r="K941" s="43"/>
    </row>
    <row r="946" spans="1:11" x14ac:dyDescent="0.2">
      <c r="A946" s="34"/>
      <c r="B946" s="35"/>
      <c r="C946" s="35"/>
      <c r="D946" s="35"/>
      <c r="E946" s="36"/>
      <c r="G946" s="34"/>
      <c r="H946" s="35"/>
      <c r="I946" s="35"/>
      <c r="J946" s="35"/>
      <c r="K946" s="36"/>
    </row>
    <row r="947" spans="1:11" ht="13.5" x14ac:dyDescent="0.25">
      <c r="A947" s="146" t="s">
        <v>232</v>
      </c>
      <c r="B947" s="147"/>
      <c r="C947" s="147"/>
      <c r="D947" s="147"/>
      <c r="E947" s="148"/>
      <c r="G947" s="146" t="s">
        <v>232</v>
      </c>
      <c r="H947" s="147"/>
      <c r="I947" s="147"/>
      <c r="J947" s="147"/>
      <c r="K947" s="148"/>
    </row>
    <row r="948" spans="1:11" x14ac:dyDescent="0.2">
      <c r="A948" s="37"/>
      <c r="B948" s="2"/>
      <c r="C948" s="2"/>
      <c r="D948" s="2"/>
      <c r="E948" s="38"/>
      <c r="G948" s="39"/>
      <c r="H948" s="2"/>
      <c r="I948" s="2"/>
      <c r="J948" s="2"/>
      <c r="K948" s="38"/>
    </row>
    <row r="949" spans="1:11" x14ac:dyDescent="0.2">
      <c r="A949" s="39"/>
      <c r="B949" s="2" t="s">
        <v>228</v>
      </c>
      <c r="C949" s="1" t="s">
        <v>231</v>
      </c>
      <c r="D949" s="40">
        <f>'Rekap SHU dan Jasa Simpanan'!B161</f>
        <v>241</v>
      </c>
      <c r="E949" s="38"/>
      <c r="G949" s="39"/>
      <c r="H949" s="2" t="s">
        <v>228</v>
      </c>
      <c r="I949" s="1" t="s">
        <v>231</v>
      </c>
      <c r="J949" s="40">
        <f>'Rekap SHU dan Jasa Simpanan'!B162</f>
        <v>244</v>
      </c>
      <c r="K949" s="38"/>
    </row>
    <row r="950" spans="1:11" x14ac:dyDescent="0.2">
      <c r="A950" s="39"/>
      <c r="B950" s="2" t="s">
        <v>229</v>
      </c>
      <c r="C950" s="1" t="s">
        <v>231</v>
      </c>
      <c r="D950" s="2" t="str">
        <f>'Rekap SHU dan Jasa Simpanan'!C161</f>
        <v xml:space="preserve"> J.Sudarjat</v>
      </c>
      <c r="E950" s="38"/>
      <c r="G950" s="39"/>
      <c r="H950" s="2" t="s">
        <v>229</v>
      </c>
      <c r="I950" s="1" t="s">
        <v>231</v>
      </c>
      <c r="J950" s="2" t="str">
        <f>'Rekap SHU dan Jasa Simpanan'!C162</f>
        <v xml:space="preserve"> Lukman</v>
      </c>
      <c r="K950" s="38"/>
    </row>
    <row r="951" spans="1:11" x14ac:dyDescent="0.2">
      <c r="A951" s="39"/>
      <c r="B951" s="2" t="s">
        <v>221</v>
      </c>
      <c r="C951" s="1" t="s">
        <v>231</v>
      </c>
      <c r="D951" s="41">
        <f>'Rekap SHU dan Jasa Simpanan'!BD161</f>
        <v>61920</v>
      </c>
      <c r="E951" s="38"/>
      <c r="G951" s="39"/>
      <c r="H951" s="2" t="s">
        <v>221</v>
      </c>
      <c r="I951" s="1" t="s">
        <v>231</v>
      </c>
      <c r="J951" s="41">
        <f>'Rekap SHU dan Jasa Simpanan'!BD162</f>
        <v>12500</v>
      </c>
      <c r="K951" s="38"/>
    </row>
    <row r="952" spans="1:11" x14ac:dyDescent="0.2">
      <c r="A952" s="39"/>
      <c r="B952" s="2" t="s">
        <v>223</v>
      </c>
      <c r="C952" s="1" t="s">
        <v>231</v>
      </c>
      <c r="D952" s="41">
        <f>'Rekap SHU dan Jasa Simpanan'!BQ161</f>
        <v>123439.2054446207</v>
      </c>
      <c r="E952" s="38"/>
      <c r="G952" s="39"/>
      <c r="H952" s="2" t="s">
        <v>223</v>
      </c>
      <c r="I952" s="1" t="s">
        <v>231</v>
      </c>
      <c r="J952" s="41">
        <f>'Rekap SHU dan Jasa Simpanan'!BQ162</f>
        <v>69324.81423393049</v>
      </c>
      <c r="K952" s="38"/>
    </row>
    <row r="953" spans="1:11" x14ac:dyDescent="0.2">
      <c r="A953" s="39"/>
      <c r="B953" s="10" t="s">
        <v>224</v>
      </c>
      <c r="C953" s="1" t="s">
        <v>231</v>
      </c>
      <c r="D953" s="41">
        <f>'Rekap SHU dan Jasa Simpanan'!BR161</f>
        <v>196549.17656257635</v>
      </c>
      <c r="E953" s="38"/>
      <c r="G953" s="39"/>
      <c r="H953" s="10" t="s">
        <v>224</v>
      </c>
      <c r="I953" s="1" t="s">
        <v>231</v>
      </c>
      <c r="J953" s="41">
        <f>'Rekap SHU dan Jasa Simpanan'!BR162</f>
        <v>196549.17656257635</v>
      </c>
      <c r="K953" s="38"/>
    </row>
    <row r="954" spans="1:11" x14ac:dyDescent="0.2">
      <c r="A954" s="42"/>
      <c r="B954" s="31" t="s">
        <v>230</v>
      </c>
      <c r="C954" s="32" t="s">
        <v>231</v>
      </c>
      <c r="D954" s="33">
        <v>0</v>
      </c>
      <c r="E954" s="43"/>
      <c r="G954" s="39"/>
      <c r="H954" s="31" t="s">
        <v>230</v>
      </c>
      <c r="I954" s="32" t="s">
        <v>231</v>
      </c>
      <c r="J954" s="33">
        <v>0</v>
      </c>
      <c r="K954" s="43"/>
    </row>
    <row r="955" spans="1:11" x14ac:dyDescent="0.2">
      <c r="A955" s="39"/>
      <c r="B955" s="1" t="s">
        <v>5</v>
      </c>
      <c r="C955" s="2"/>
      <c r="D955" s="41">
        <f>SUM(D951:D954)</f>
        <v>381908.38200719701</v>
      </c>
      <c r="E955" s="38"/>
      <c r="G955" s="44"/>
      <c r="H955" s="1" t="s">
        <v>5</v>
      </c>
      <c r="I955" s="2"/>
      <c r="J955" s="41">
        <f>SUM(J951:J954)</f>
        <v>278373.99079650687</v>
      </c>
      <c r="K955" s="38"/>
    </row>
    <row r="956" spans="1:11" x14ac:dyDescent="0.2">
      <c r="A956" s="42"/>
      <c r="B956" s="31"/>
      <c r="C956" s="31"/>
      <c r="D956" s="31"/>
      <c r="E956" s="43"/>
      <c r="G956" s="42"/>
      <c r="H956" s="31"/>
      <c r="I956" s="31"/>
      <c r="J956" s="31"/>
      <c r="K956" s="43"/>
    </row>
    <row r="958" spans="1:11" x14ac:dyDescent="0.2">
      <c r="A958" s="34"/>
      <c r="B958" s="35"/>
      <c r="C958" s="35"/>
      <c r="D958" s="35"/>
      <c r="E958" s="36"/>
      <c r="G958" s="34"/>
      <c r="H958" s="35"/>
      <c r="I958" s="35"/>
      <c r="J958" s="35"/>
      <c r="K958" s="36"/>
    </row>
    <row r="959" spans="1:11" ht="13.5" x14ac:dyDescent="0.25">
      <c r="A959" s="146" t="s">
        <v>232</v>
      </c>
      <c r="B959" s="147"/>
      <c r="C959" s="147"/>
      <c r="D959" s="147"/>
      <c r="E959" s="148"/>
      <c r="G959" s="146" t="s">
        <v>232</v>
      </c>
      <c r="H959" s="147"/>
      <c r="I959" s="147"/>
      <c r="J959" s="147"/>
      <c r="K959" s="148"/>
    </row>
    <row r="960" spans="1:11" x14ac:dyDescent="0.2">
      <c r="A960" s="37"/>
      <c r="B960" s="2"/>
      <c r="C960" s="2"/>
      <c r="D960" s="2"/>
      <c r="E960" s="38"/>
      <c r="G960" s="39"/>
      <c r="H960" s="2"/>
      <c r="I960" s="2"/>
      <c r="J960" s="2"/>
      <c r="K960" s="38"/>
    </row>
    <row r="961" spans="1:11" x14ac:dyDescent="0.2">
      <c r="A961" s="39"/>
      <c r="B961" s="2" t="s">
        <v>228</v>
      </c>
      <c r="C961" s="1" t="s">
        <v>231</v>
      </c>
      <c r="D961" s="40">
        <f>'Rekap SHU dan Jasa Simpanan'!B163</f>
        <v>245</v>
      </c>
      <c r="E961" s="38"/>
      <c r="G961" s="39"/>
      <c r="H961" s="2" t="s">
        <v>228</v>
      </c>
      <c r="I961" s="1" t="s">
        <v>231</v>
      </c>
      <c r="J961" s="40">
        <f>'Rekap SHU dan Jasa Simpanan'!B164</f>
        <v>246</v>
      </c>
      <c r="K961" s="38"/>
    </row>
    <row r="962" spans="1:11" x14ac:dyDescent="0.2">
      <c r="A962" s="39"/>
      <c r="B962" s="2" t="s">
        <v>229</v>
      </c>
      <c r="C962" s="1" t="s">
        <v>231</v>
      </c>
      <c r="D962" s="7" t="str">
        <f>'Rekap SHU dan Jasa Simpanan'!C163</f>
        <v xml:space="preserve"> Ardy Robby Irawan</v>
      </c>
      <c r="E962" s="38"/>
      <c r="G962" s="39"/>
      <c r="H962" s="2" t="s">
        <v>229</v>
      </c>
      <c r="I962" s="1" t="s">
        <v>231</v>
      </c>
      <c r="J962" s="2" t="str">
        <f>'Rekap SHU dan Jasa Simpanan'!C164</f>
        <v xml:space="preserve"> Dery Hermawan</v>
      </c>
      <c r="K962" s="38"/>
    </row>
    <row r="963" spans="1:11" x14ac:dyDescent="0.2">
      <c r="A963" s="39"/>
      <c r="B963" s="2" t="s">
        <v>221</v>
      </c>
      <c r="C963" s="1" t="s">
        <v>231</v>
      </c>
      <c r="D963" s="41">
        <f>'Rekap SHU dan Jasa Simpanan'!BD163</f>
        <v>12900</v>
      </c>
      <c r="E963" s="38"/>
      <c r="G963" s="39"/>
      <c r="H963" s="2" t="s">
        <v>221</v>
      </c>
      <c r="I963" s="1" t="s">
        <v>231</v>
      </c>
      <c r="J963" s="41">
        <f>'Rekap SHU dan Jasa Simpanan'!BD164</f>
        <v>18550</v>
      </c>
      <c r="K963" s="38"/>
    </row>
    <row r="964" spans="1:11" x14ac:dyDescent="0.2">
      <c r="A964" s="39"/>
      <c r="B964" s="2" t="s">
        <v>223</v>
      </c>
      <c r="C964" s="1" t="s">
        <v>231</v>
      </c>
      <c r="D964" s="41">
        <f>'Rekap SHU dan Jasa Simpanan'!BQ163</f>
        <v>68698.665373703872</v>
      </c>
      <c r="E964" s="38"/>
      <c r="G964" s="39"/>
      <c r="H964" s="2" t="s">
        <v>223</v>
      </c>
      <c r="I964" s="1" t="s">
        <v>231</v>
      </c>
      <c r="J964" s="41">
        <f>'Rekap SHU dan Jasa Simpanan'!BQ164</f>
        <v>74226.743072857716</v>
      </c>
      <c r="K964" s="38"/>
    </row>
    <row r="965" spans="1:11" x14ac:dyDescent="0.2">
      <c r="A965" s="39"/>
      <c r="B965" s="10" t="s">
        <v>224</v>
      </c>
      <c r="C965" s="1" t="s">
        <v>231</v>
      </c>
      <c r="D965" s="41">
        <f>'Rekap SHU dan Jasa Simpanan'!BR163</f>
        <v>180170.078515695</v>
      </c>
      <c r="E965" s="38"/>
      <c r="G965" s="39"/>
      <c r="H965" s="10" t="s">
        <v>224</v>
      </c>
      <c r="I965" s="1" t="s">
        <v>231</v>
      </c>
      <c r="J965" s="41">
        <f>'Rekap SHU dan Jasa Simpanan'!BR164</f>
        <v>196549.17656257635</v>
      </c>
      <c r="K965" s="38"/>
    </row>
    <row r="966" spans="1:11" x14ac:dyDescent="0.2">
      <c r="A966" s="42"/>
      <c r="B966" s="31" t="s">
        <v>230</v>
      </c>
      <c r="C966" s="32" t="s">
        <v>231</v>
      </c>
      <c r="D966" s="33">
        <v>0</v>
      </c>
      <c r="E966" s="43"/>
      <c r="G966" s="39"/>
      <c r="H966" s="31" t="s">
        <v>230</v>
      </c>
      <c r="I966" s="32" t="s">
        <v>231</v>
      </c>
      <c r="J966" s="33">
        <v>0</v>
      </c>
      <c r="K966" s="43"/>
    </row>
    <row r="967" spans="1:11" x14ac:dyDescent="0.2">
      <c r="A967" s="39"/>
      <c r="B967" s="1" t="s">
        <v>5</v>
      </c>
      <c r="C967" s="2"/>
      <c r="D967" s="41">
        <f>SUM(D963:D966)</f>
        <v>261768.74388939887</v>
      </c>
      <c r="E967" s="38"/>
      <c r="G967" s="44"/>
      <c r="H967" s="1" t="s">
        <v>5</v>
      </c>
      <c r="I967" s="2"/>
      <c r="J967" s="41">
        <f>SUM(J963:J966)</f>
        <v>289325.91963543405</v>
      </c>
      <c r="K967" s="38"/>
    </row>
    <row r="968" spans="1:11" x14ac:dyDescent="0.2">
      <c r="A968" s="42"/>
      <c r="B968" s="31"/>
      <c r="C968" s="31"/>
      <c r="D968" s="31"/>
      <c r="E968" s="43"/>
      <c r="G968" s="42"/>
      <c r="H968" s="31"/>
      <c r="I968" s="31"/>
      <c r="J968" s="31"/>
      <c r="K968" s="43"/>
    </row>
    <row r="970" spans="1:11" x14ac:dyDescent="0.2">
      <c r="A970" s="34"/>
      <c r="B970" s="35"/>
      <c r="C970" s="35"/>
      <c r="D970" s="35"/>
      <c r="E970" s="36"/>
      <c r="G970" s="34"/>
      <c r="H970" s="35"/>
      <c r="I970" s="35"/>
      <c r="J970" s="35"/>
      <c r="K970" s="36"/>
    </row>
    <row r="971" spans="1:11" ht="13.5" x14ac:dyDescent="0.25">
      <c r="A971" s="146" t="s">
        <v>232</v>
      </c>
      <c r="B971" s="147"/>
      <c r="C971" s="147"/>
      <c r="D971" s="147"/>
      <c r="E971" s="148"/>
      <c r="G971" s="146" t="s">
        <v>232</v>
      </c>
      <c r="H971" s="147"/>
      <c r="I971" s="147"/>
      <c r="J971" s="147"/>
      <c r="K971" s="148"/>
    </row>
    <row r="972" spans="1:11" x14ac:dyDescent="0.2">
      <c r="A972" s="37"/>
      <c r="B972" s="2"/>
      <c r="C972" s="2"/>
      <c r="D972" s="2"/>
      <c r="E972" s="38"/>
      <c r="G972" s="39"/>
      <c r="H972" s="2"/>
      <c r="I972" s="2"/>
      <c r="J972" s="2"/>
      <c r="K972" s="38"/>
    </row>
    <row r="973" spans="1:11" x14ac:dyDescent="0.2">
      <c r="A973" s="39"/>
      <c r="B973" s="2" t="s">
        <v>228</v>
      </c>
      <c r="C973" s="1" t="s">
        <v>231</v>
      </c>
      <c r="D973" s="40">
        <f>'Rekap SHU dan Jasa Simpanan'!B165</f>
        <v>247</v>
      </c>
      <c r="E973" s="38"/>
      <c r="G973" s="39"/>
      <c r="H973" s="2" t="s">
        <v>228</v>
      </c>
      <c r="I973" s="1" t="s">
        <v>231</v>
      </c>
      <c r="J973" s="40">
        <f>'Rekap SHU dan Jasa Simpanan'!B166</f>
        <v>248</v>
      </c>
      <c r="K973" s="38"/>
    </row>
    <row r="974" spans="1:11" x14ac:dyDescent="0.2">
      <c r="A974" s="39"/>
      <c r="B974" s="2" t="s">
        <v>229</v>
      </c>
      <c r="C974" s="1" t="s">
        <v>231</v>
      </c>
      <c r="D974" s="7" t="str">
        <f>'Rekap SHU dan Jasa Simpanan'!C165</f>
        <v xml:space="preserve"> Mauldi Agustiana Sidik</v>
      </c>
      <c r="E974" s="38"/>
      <c r="G974" s="39"/>
      <c r="H974" s="2" t="s">
        <v>229</v>
      </c>
      <c r="I974" s="1" t="s">
        <v>231</v>
      </c>
      <c r="J974" s="2" t="str">
        <f>'Rekap SHU dan Jasa Simpanan'!C166</f>
        <v xml:space="preserve"> Mulyana (mamat)</v>
      </c>
      <c r="K974" s="38"/>
    </row>
    <row r="975" spans="1:11" x14ac:dyDescent="0.2">
      <c r="A975" s="39"/>
      <c r="B975" s="2" t="s">
        <v>221</v>
      </c>
      <c r="C975" s="1" t="s">
        <v>231</v>
      </c>
      <c r="D975" s="41">
        <f>'Rekap SHU dan Jasa Simpanan'!BD165</f>
        <v>27900</v>
      </c>
      <c r="E975" s="38"/>
      <c r="G975" s="39"/>
      <c r="H975" s="2" t="s">
        <v>221</v>
      </c>
      <c r="I975" s="1" t="s">
        <v>231</v>
      </c>
      <c r="J975" s="41">
        <f>'Rekap SHU dan Jasa Simpanan'!BD166</f>
        <v>24300</v>
      </c>
      <c r="K975" s="38"/>
    </row>
    <row r="976" spans="1:11" x14ac:dyDescent="0.2">
      <c r="A976" s="39"/>
      <c r="B976" s="2" t="s">
        <v>223</v>
      </c>
      <c r="C976" s="1" t="s">
        <v>231</v>
      </c>
      <c r="D976" s="41">
        <f>'Rekap SHU dan Jasa Simpanan'!BQ165</f>
        <v>84227.238014808623</v>
      </c>
      <c r="E976" s="38"/>
      <c r="G976" s="39"/>
      <c r="H976" s="2" t="s">
        <v>223</v>
      </c>
      <c r="I976" s="1" t="s">
        <v>231</v>
      </c>
      <c r="J976" s="41">
        <f>'Rekap SHU dan Jasa Simpanan'!BQ166</f>
        <v>79596.021068299873</v>
      </c>
      <c r="K976" s="38"/>
    </row>
    <row r="977" spans="1:11" x14ac:dyDescent="0.2">
      <c r="A977" s="39"/>
      <c r="B977" s="10" t="s">
        <v>224</v>
      </c>
      <c r="C977" s="1" t="s">
        <v>231</v>
      </c>
      <c r="D977" s="41">
        <f>'Rekap SHU dan Jasa Simpanan'!BR165</f>
        <v>196549.17656257635</v>
      </c>
      <c r="E977" s="38"/>
      <c r="G977" s="39"/>
      <c r="H977" s="10" t="s">
        <v>224</v>
      </c>
      <c r="I977" s="1" t="s">
        <v>231</v>
      </c>
      <c r="J977" s="41">
        <f>'Rekap SHU dan Jasa Simpanan'!BR166</f>
        <v>157239.34125006109</v>
      </c>
      <c r="K977" s="38"/>
    </row>
    <row r="978" spans="1:11" x14ac:dyDescent="0.2">
      <c r="A978" s="42"/>
      <c r="B978" s="31" t="s">
        <v>230</v>
      </c>
      <c r="C978" s="32" t="s">
        <v>231</v>
      </c>
      <c r="D978" s="33">
        <v>0</v>
      </c>
      <c r="E978" s="43"/>
      <c r="G978" s="39"/>
      <c r="H978" s="31" t="s">
        <v>230</v>
      </c>
      <c r="I978" s="32" t="s">
        <v>231</v>
      </c>
      <c r="J978" s="33">
        <v>0</v>
      </c>
      <c r="K978" s="43"/>
    </row>
    <row r="979" spans="1:11" x14ac:dyDescent="0.2">
      <c r="A979" s="39"/>
      <c r="B979" s="1" t="s">
        <v>5</v>
      </c>
      <c r="C979" s="2"/>
      <c r="D979" s="41">
        <f>SUM(D975:D978)</f>
        <v>308676.41457738495</v>
      </c>
      <c r="E979" s="38"/>
      <c r="G979" s="44"/>
      <c r="H979" s="1" t="s">
        <v>5</v>
      </c>
      <c r="I979" s="2"/>
      <c r="J979" s="41">
        <f>SUM(J975:J978)</f>
        <v>261135.36231836095</v>
      </c>
      <c r="K979" s="38"/>
    </row>
    <row r="980" spans="1:11" x14ac:dyDescent="0.2">
      <c r="A980" s="42"/>
      <c r="B980" s="31"/>
      <c r="C980" s="31"/>
      <c r="D980" s="31"/>
      <c r="E980" s="43"/>
      <c r="G980" s="42"/>
      <c r="H980" s="31"/>
      <c r="I980" s="31"/>
      <c r="J980" s="31"/>
      <c r="K980" s="43"/>
    </row>
    <row r="982" spans="1:11" x14ac:dyDescent="0.2">
      <c r="A982" s="34"/>
      <c r="B982" s="35"/>
      <c r="C982" s="35"/>
      <c r="D982" s="35"/>
      <c r="E982" s="36"/>
      <c r="G982" s="34"/>
      <c r="H982" s="35"/>
      <c r="I982" s="35"/>
      <c r="J982" s="35"/>
      <c r="K982" s="36"/>
    </row>
    <row r="983" spans="1:11" ht="13.5" x14ac:dyDescent="0.25">
      <c r="A983" s="146" t="s">
        <v>232</v>
      </c>
      <c r="B983" s="147"/>
      <c r="C983" s="147"/>
      <c r="D983" s="147"/>
      <c r="E983" s="148"/>
      <c r="G983" s="146" t="s">
        <v>232</v>
      </c>
      <c r="H983" s="147"/>
      <c r="I983" s="147"/>
      <c r="J983" s="147"/>
      <c r="K983" s="148"/>
    </row>
    <row r="984" spans="1:11" x14ac:dyDescent="0.2">
      <c r="A984" s="37"/>
      <c r="B984" s="2"/>
      <c r="C984" s="2"/>
      <c r="D984" s="2"/>
      <c r="E984" s="38"/>
      <c r="G984" s="39"/>
      <c r="H984" s="2"/>
      <c r="I984" s="2"/>
      <c r="J984" s="2"/>
      <c r="K984" s="38"/>
    </row>
    <row r="985" spans="1:11" x14ac:dyDescent="0.2">
      <c r="A985" s="39"/>
      <c r="B985" s="2" t="s">
        <v>228</v>
      </c>
      <c r="C985" s="1" t="s">
        <v>231</v>
      </c>
      <c r="D985" s="40">
        <f>'Rekap SHU dan Jasa Simpanan'!B167</f>
        <v>249</v>
      </c>
      <c r="E985" s="38"/>
      <c r="G985" s="39"/>
      <c r="H985" s="2" t="s">
        <v>228</v>
      </c>
      <c r="I985" s="1" t="s">
        <v>231</v>
      </c>
      <c r="J985" s="40">
        <f>'Rekap SHU dan Jasa Simpanan'!B168</f>
        <v>250</v>
      </c>
      <c r="K985" s="38"/>
    </row>
    <row r="986" spans="1:11" x14ac:dyDescent="0.2">
      <c r="A986" s="39"/>
      <c r="B986" s="2" t="s">
        <v>229</v>
      </c>
      <c r="C986" s="1" t="s">
        <v>231</v>
      </c>
      <c r="D986" s="7" t="str">
        <f>'Rekap SHU dan Jasa Simpanan'!C167</f>
        <v xml:space="preserve"> Ridwan</v>
      </c>
      <c r="E986" s="38"/>
      <c r="G986" s="39"/>
      <c r="H986" s="2" t="s">
        <v>229</v>
      </c>
      <c r="I986" s="1" t="s">
        <v>231</v>
      </c>
      <c r="J986" s="2" t="str">
        <f>'Rekap SHU dan Jasa Simpanan'!C168</f>
        <v xml:space="preserve"> Ibu Hetti Darsono</v>
      </c>
      <c r="K986" s="38"/>
    </row>
    <row r="987" spans="1:11" x14ac:dyDescent="0.2">
      <c r="A987" s="39"/>
      <c r="B987" s="2" t="s">
        <v>221</v>
      </c>
      <c r="C987" s="1" t="s">
        <v>231</v>
      </c>
      <c r="D987" s="41">
        <f>'Rekap SHU dan Jasa Simpanan'!BD167</f>
        <v>14800</v>
      </c>
      <c r="E987" s="38"/>
      <c r="G987" s="39"/>
      <c r="H987" s="2" t="s">
        <v>221</v>
      </c>
      <c r="I987" s="1" t="s">
        <v>231</v>
      </c>
      <c r="J987" s="41">
        <f>'Rekap SHU dan Jasa Simpanan'!BD168</f>
        <v>212000</v>
      </c>
      <c r="K987" s="38"/>
    </row>
    <row r="988" spans="1:11" x14ac:dyDescent="0.2">
      <c r="A988" s="39"/>
      <c r="B988" s="2" t="s">
        <v>223</v>
      </c>
      <c r="C988" s="1" t="s">
        <v>231</v>
      </c>
      <c r="D988" s="41">
        <f>'Rekap SHU dan Jasa Simpanan'!BQ167</f>
        <v>70290.878694551342</v>
      </c>
      <c r="E988" s="38"/>
      <c r="G988" s="39"/>
      <c r="H988" s="2" t="s">
        <v>223</v>
      </c>
      <c r="I988" s="1" t="s">
        <v>231</v>
      </c>
      <c r="J988" s="41">
        <f>'Rekap SHU dan Jasa Simpanan'!BQ168</f>
        <v>304813.28813294007</v>
      </c>
      <c r="K988" s="38"/>
    </row>
    <row r="989" spans="1:11" x14ac:dyDescent="0.2">
      <c r="A989" s="39"/>
      <c r="B989" s="10" t="s">
        <v>224</v>
      </c>
      <c r="C989" s="1" t="s">
        <v>231</v>
      </c>
      <c r="D989" s="41">
        <f>'Rekap SHU dan Jasa Simpanan'!BR167</f>
        <v>196549.17656257635</v>
      </c>
      <c r="E989" s="38"/>
      <c r="G989" s="39"/>
      <c r="H989" s="10" t="s">
        <v>224</v>
      </c>
      <c r="I989" s="1" t="s">
        <v>231</v>
      </c>
      <c r="J989" s="41">
        <f>'Rekap SHU dan Jasa Simpanan'!BR168</f>
        <v>0</v>
      </c>
      <c r="K989" s="38"/>
    </row>
    <row r="990" spans="1:11" x14ac:dyDescent="0.2">
      <c r="A990" s="42"/>
      <c r="B990" s="31" t="s">
        <v>230</v>
      </c>
      <c r="C990" s="32" t="s">
        <v>231</v>
      </c>
      <c r="D990" s="33">
        <v>0</v>
      </c>
      <c r="E990" s="43"/>
      <c r="G990" s="39"/>
      <c r="H990" s="31" t="s">
        <v>230</v>
      </c>
      <c r="I990" s="32" t="s">
        <v>231</v>
      </c>
      <c r="J990" s="33">
        <v>0</v>
      </c>
      <c r="K990" s="43"/>
    </row>
    <row r="991" spans="1:11" x14ac:dyDescent="0.2">
      <c r="A991" s="39"/>
      <c r="B991" s="1" t="s">
        <v>5</v>
      </c>
      <c r="C991" s="2"/>
      <c r="D991" s="41">
        <f>SUM(D987:D990)</f>
        <v>281640.05525712768</v>
      </c>
      <c r="E991" s="38"/>
      <c r="G991" s="44"/>
      <c r="H991" s="1" t="s">
        <v>5</v>
      </c>
      <c r="I991" s="2"/>
      <c r="J991" s="41">
        <f>SUM(J987:J990)</f>
        <v>516813.28813294007</v>
      </c>
      <c r="K991" s="38"/>
    </row>
    <row r="992" spans="1:11" x14ac:dyDescent="0.2">
      <c r="A992" s="42"/>
      <c r="B992" s="31"/>
      <c r="C992" s="31"/>
      <c r="D992" s="31"/>
      <c r="E992" s="43"/>
      <c r="G992" s="42"/>
      <c r="H992" s="31"/>
      <c r="I992" s="31"/>
      <c r="J992" s="31"/>
      <c r="K992" s="43"/>
    </row>
    <row r="994" spans="1:11" x14ac:dyDescent="0.2">
      <c r="A994" s="34"/>
      <c r="B994" s="35"/>
      <c r="C994" s="35"/>
      <c r="D994" s="35"/>
      <c r="E994" s="36"/>
      <c r="G994" s="34"/>
      <c r="H994" s="35"/>
      <c r="I994" s="35"/>
      <c r="J994" s="35"/>
      <c r="K994" s="36"/>
    </row>
    <row r="995" spans="1:11" ht="13.5" x14ac:dyDescent="0.25">
      <c r="A995" s="146" t="s">
        <v>232</v>
      </c>
      <c r="B995" s="147"/>
      <c r="C995" s="147"/>
      <c r="D995" s="147"/>
      <c r="E995" s="148"/>
      <c r="G995" s="146" t="s">
        <v>232</v>
      </c>
      <c r="H995" s="147"/>
      <c r="I995" s="147"/>
      <c r="J995" s="147"/>
      <c r="K995" s="148"/>
    </row>
    <row r="996" spans="1:11" x14ac:dyDescent="0.2">
      <c r="A996" s="37"/>
      <c r="B996" s="2"/>
      <c r="C996" s="2"/>
      <c r="D996" s="2"/>
      <c r="E996" s="38"/>
      <c r="G996" s="39"/>
      <c r="H996" s="2"/>
      <c r="I996" s="2"/>
      <c r="J996" s="2"/>
      <c r="K996" s="38"/>
    </row>
    <row r="997" spans="1:11" x14ac:dyDescent="0.2">
      <c r="A997" s="39"/>
      <c r="B997" s="2" t="s">
        <v>228</v>
      </c>
      <c r="C997" s="1" t="s">
        <v>231</v>
      </c>
      <c r="D997" s="40">
        <f>'Rekap SHU dan Jasa Simpanan'!B170</f>
        <v>253</v>
      </c>
      <c r="E997" s="38"/>
      <c r="G997" s="39"/>
      <c r="H997" s="2" t="s">
        <v>228</v>
      </c>
      <c r="I997" s="1" t="s">
        <v>231</v>
      </c>
      <c r="J997" s="40">
        <f>'Rekap SHU dan Jasa Simpanan'!B171</f>
        <v>254</v>
      </c>
      <c r="K997" s="38"/>
    </row>
    <row r="998" spans="1:11" x14ac:dyDescent="0.2">
      <c r="A998" s="39"/>
      <c r="B998" s="2" t="s">
        <v>229</v>
      </c>
      <c r="C998" s="1" t="s">
        <v>231</v>
      </c>
      <c r="D998" s="7" t="str">
        <f>'Rekap SHU dan Jasa Simpanan'!C170</f>
        <v xml:space="preserve"> Yudi S</v>
      </c>
      <c r="E998" s="38"/>
      <c r="G998" s="39"/>
      <c r="H998" s="2" t="s">
        <v>229</v>
      </c>
      <c r="I998" s="1" t="s">
        <v>231</v>
      </c>
      <c r="J998" s="2" t="str">
        <f>'Rekap SHU dan Jasa Simpanan'!C171</f>
        <v xml:space="preserve"> Abdul Azis</v>
      </c>
      <c r="K998" s="38"/>
    </row>
    <row r="999" spans="1:11" x14ac:dyDescent="0.2">
      <c r="A999" s="39"/>
      <c r="B999" s="2" t="s">
        <v>221</v>
      </c>
      <c r="C999" s="1" t="s">
        <v>231</v>
      </c>
      <c r="D999" s="41">
        <f>'Rekap SHU dan Jasa Simpanan'!BD170</f>
        <v>376550</v>
      </c>
      <c r="E999" s="38"/>
      <c r="G999" s="39"/>
      <c r="H999" s="2" t="s">
        <v>221</v>
      </c>
      <c r="I999" s="1" t="s">
        <v>231</v>
      </c>
      <c r="J999" s="41">
        <f>'Rekap SHU dan Jasa Simpanan'!BD171</f>
        <v>128300</v>
      </c>
      <c r="K999" s="38"/>
    </row>
    <row r="1000" spans="1:11" x14ac:dyDescent="0.2">
      <c r="A1000" s="39"/>
      <c r="B1000" s="2" t="s">
        <v>223</v>
      </c>
      <c r="C1000" s="1" t="s">
        <v>231</v>
      </c>
      <c r="D1000" s="41">
        <f>'Rekap SHU dan Jasa Simpanan'!BQ170</f>
        <v>393898.59057635511</v>
      </c>
      <c r="E1000" s="38"/>
      <c r="G1000" s="39"/>
      <c r="H1000" s="2" t="s">
        <v>223</v>
      </c>
      <c r="I1000" s="1" t="s">
        <v>231</v>
      </c>
      <c r="J1000" s="41">
        <f>'Rekap SHU dan Jasa Simpanan'!BQ171</f>
        <v>189909.99038105478</v>
      </c>
      <c r="K1000" s="38"/>
    </row>
    <row r="1001" spans="1:11" x14ac:dyDescent="0.2">
      <c r="A1001" s="39"/>
      <c r="B1001" s="10" t="s">
        <v>224</v>
      </c>
      <c r="C1001" s="1" t="s">
        <v>231</v>
      </c>
      <c r="D1001" s="41">
        <f>'Rekap SHU dan Jasa Simpanan'!BR170</f>
        <v>196549.17656257635</v>
      </c>
      <c r="E1001" s="38"/>
      <c r="G1001" s="39"/>
      <c r="H1001" s="10" t="s">
        <v>224</v>
      </c>
      <c r="I1001" s="1" t="s">
        <v>231</v>
      </c>
      <c r="J1001" s="41">
        <f>'Rekap SHU dan Jasa Simpanan'!BR171</f>
        <v>0</v>
      </c>
      <c r="K1001" s="38"/>
    </row>
    <row r="1002" spans="1:11" x14ac:dyDescent="0.2">
      <c r="A1002" s="42"/>
      <c r="B1002" s="31" t="s">
        <v>230</v>
      </c>
      <c r="C1002" s="32" t="s">
        <v>231</v>
      </c>
      <c r="D1002" s="33">
        <v>0</v>
      </c>
      <c r="E1002" s="43"/>
      <c r="G1002" s="39"/>
      <c r="H1002" s="31" t="s">
        <v>230</v>
      </c>
      <c r="I1002" s="32" t="s">
        <v>231</v>
      </c>
      <c r="J1002" s="33">
        <v>0</v>
      </c>
      <c r="K1002" s="43"/>
    </row>
    <row r="1003" spans="1:11" x14ac:dyDescent="0.2">
      <c r="A1003" s="39"/>
      <c r="B1003" s="1" t="s">
        <v>5</v>
      </c>
      <c r="C1003" s="2"/>
      <c r="D1003" s="41">
        <f>SUM(D999:D1002)</f>
        <v>966997.76713893143</v>
      </c>
      <c r="E1003" s="38"/>
      <c r="G1003" s="44"/>
      <c r="H1003" s="1" t="s">
        <v>5</v>
      </c>
      <c r="I1003" s="2"/>
      <c r="J1003" s="41">
        <f>SUM(J999:J1002)</f>
        <v>318209.99038105481</v>
      </c>
      <c r="K1003" s="38"/>
    </row>
    <row r="1004" spans="1:11" x14ac:dyDescent="0.2">
      <c r="A1004" s="42"/>
      <c r="B1004" s="31"/>
      <c r="C1004" s="31"/>
      <c r="D1004" s="31"/>
      <c r="E1004" s="43"/>
      <c r="G1004" s="42"/>
      <c r="H1004" s="31"/>
      <c r="I1004" s="31"/>
      <c r="J1004" s="31"/>
      <c r="K1004" s="43"/>
    </row>
    <row r="1009" spans="1:11" x14ac:dyDescent="0.2">
      <c r="A1009" s="34"/>
      <c r="B1009" s="35"/>
      <c r="C1009" s="35"/>
      <c r="D1009" s="35"/>
      <c r="E1009" s="36"/>
      <c r="G1009" s="34"/>
      <c r="H1009" s="35"/>
      <c r="I1009" s="35"/>
      <c r="J1009" s="35"/>
      <c r="K1009" s="36"/>
    </row>
    <row r="1010" spans="1:11" ht="13.5" x14ac:dyDescent="0.25">
      <c r="A1010" s="146" t="s">
        <v>232</v>
      </c>
      <c r="B1010" s="147"/>
      <c r="C1010" s="147"/>
      <c r="D1010" s="147"/>
      <c r="E1010" s="148"/>
      <c r="G1010" s="146" t="s">
        <v>232</v>
      </c>
      <c r="H1010" s="147"/>
      <c r="I1010" s="147"/>
      <c r="J1010" s="147"/>
      <c r="K1010" s="148"/>
    </row>
    <row r="1011" spans="1:11" x14ac:dyDescent="0.2">
      <c r="A1011" s="37"/>
      <c r="B1011" s="2"/>
      <c r="C1011" s="2"/>
      <c r="D1011" s="2"/>
      <c r="E1011" s="38"/>
      <c r="G1011" s="39"/>
      <c r="H1011" s="2"/>
      <c r="I1011" s="2"/>
      <c r="J1011" s="2"/>
      <c r="K1011" s="38"/>
    </row>
    <row r="1012" spans="1:11" x14ac:dyDescent="0.2">
      <c r="A1012" s="39"/>
      <c r="B1012" s="2" t="s">
        <v>228</v>
      </c>
      <c r="C1012" s="1" t="s">
        <v>231</v>
      </c>
      <c r="D1012" s="40">
        <f>'Rekap SHU dan Jasa Simpanan'!B172</f>
        <v>255</v>
      </c>
      <c r="E1012" s="38"/>
      <c r="G1012" s="39"/>
      <c r="H1012" s="2" t="s">
        <v>228</v>
      </c>
      <c r="I1012" s="1" t="s">
        <v>231</v>
      </c>
      <c r="J1012" s="40">
        <f>'Rekap SHU dan Jasa Simpanan'!B173</f>
        <v>256</v>
      </c>
      <c r="K1012" s="38"/>
    </row>
    <row r="1013" spans="1:11" x14ac:dyDescent="0.2">
      <c r="A1013" s="39"/>
      <c r="B1013" s="2" t="s">
        <v>229</v>
      </c>
      <c r="C1013" s="1" t="s">
        <v>231</v>
      </c>
      <c r="D1013" s="2" t="str">
        <f>'Rekap SHU dan Jasa Simpanan'!C172</f>
        <v xml:space="preserve"> Bp.Anda Suganda</v>
      </c>
      <c r="E1013" s="38"/>
      <c r="G1013" s="39"/>
      <c r="H1013" s="2" t="s">
        <v>229</v>
      </c>
      <c r="I1013" s="1" t="s">
        <v>231</v>
      </c>
      <c r="J1013" s="2" t="str">
        <f>'Rekap SHU dan Jasa Simpanan'!C173</f>
        <v xml:space="preserve"> Ibu Cucum</v>
      </c>
      <c r="K1013" s="38"/>
    </row>
    <row r="1014" spans="1:11" x14ac:dyDescent="0.2">
      <c r="A1014" s="39"/>
      <c r="B1014" s="2" t="s">
        <v>221</v>
      </c>
      <c r="C1014" s="1" t="s">
        <v>231</v>
      </c>
      <c r="D1014" s="41">
        <f>'Rekap SHU dan Jasa Simpanan'!BD172</f>
        <v>23045</v>
      </c>
      <c r="E1014" s="38"/>
      <c r="G1014" s="39"/>
      <c r="H1014" s="2" t="s">
        <v>221</v>
      </c>
      <c r="I1014" s="1" t="s">
        <v>231</v>
      </c>
      <c r="J1014" s="41">
        <f>'Rekap SHU dan Jasa Simpanan'!BD173</f>
        <v>179715</v>
      </c>
      <c r="K1014" s="38"/>
    </row>
    <row r="1015" spans="1:11" x14ac:dyDescent="0.2">
      <c r="A1015" s="39"/>
      <c r="B1015" s="2" t="s">
        <v>223</v>
      </c>
      <c r="C1015" s="1" t="s">
        <v>231</v>
      </c>
      <c r="D1015" s="41">
        <f>'Rekap SHU dan Jasa Simpanan'!BQ172</f>
        <v>77018.163358641614</v>
      </c>
      <c r="E1015" s="38"/>
      <c r="G1015" s="39"/>
      <c r="H1015" s="2" t="s">
        <v>223</v>
      </c>
      <c r="I1015" s="1" t="s">
        <v>231</v>
      </c>
      <c r="J1015" s="41">
        <f>'Rekap SHU dan Jasa Simpanan'!BQ173</f>
        <v>240699.4429804126</v>
      </c>
      <c r="K1015" s="38"/>
    </row>
    <row r="1016" spans="1:11" x14ac:dyDescent="0.2">
      <c r="A1016" s="39"/>
      <c r="B1016" s="10" t="s">
        <v>224</v>
      </c>
      <c r="C1016" s="1" t="s">
        <v>231</v>
      </c>
      <c r="D1016" s="41">
        <f>'Rekap SHU dan Jasa Simpanan'!BR172</f>
        <v>65516.392187525453</v>
      </c>
      <c r="E1016" s="38"/>
      <c r="G1016" s="39"/>
      <c r="H1016" s="10" t="s">
        <v>224</v>
      </c>
      <c r="I1016" s="1" t="s">
        <v>231</v>
      </c>
      <c r="J1016" s="41">
        <f>'Rekap SHU dan Jasa Simpanan'!BR173</f>
        <v>32758.196093762726</v>
      </c>
      <c r="K1016" s="38"/>
    </row>
    <row r="1017" spans="1:11" x14ac:dyDescent="0.2">
      <c r="A1017" s="42"/>
      <c r="B1017" s="31" t="s">
        <v>230</v>
      </c>
      <c r="C1017" s="32" t="s">
        <v>231</v>
      </c>
      <c r="D1017" s="33">
        <v>0</v>
      </c>
      <c r="E1017" s="43"/>
      <c r="G1017" s="39"/>
      <c r="H1017" s="31" t="s">
        <v>230</v>
      </c>
      <c r="I1017" s="32" t="s">
        <v>231</v>
      </c>
      <c r="J1017" s="33">
        <v>0</v>
      </c>
      <c r="K1017" s="43"/>
    </row>
    <row r="1018" spans="1:11" x14ac:dyDescent="0.2">
      <c r="A1018" s="39"/>
      <c r="B1018" s="1" t="s">
        <v>5</v>
      </c>
      <c r="C1018" s="2"/>
      <c r="D1018" s="41">
        <f>SUM(D1014:D1017)</f>
        <v>165579.55554616707</v>
      </c>
      <c r="E1018" s="38"/>
      <c r="G1018" s="44"/>
      <c r="H1018" s="1" t="s">
        <v>5</v>
      </c>
      <c r="I1018" s="2"/>
      <c r="J1018" s="41">
        <f>SUM(J1014:J1017)</f>
        <v>453172.63907417533</v>
      </c>
      <c r="K1018" s="38"/>
    </row>
    <row r="1019" spans="1:11" x14ac:dyDescent="0.2">
      <c r="A1019" s="42"/>
      <c r="B1019" s="31"/>
      <c r="C1019" s="31"/>
      <c r="D1019" s="31"/>
      <c r="E1019" s="43"/>
      <c r="G1019" s="42"/>
      <c r="H1019" s="31"/>
      <c r="I1019" s="31"/>
      <c r="J1019" s="31"/>
      <c r="K1019" s="43"/>
    </row>
    <row r="1021" spans="1:11" x14ac:dyDescent="0.2">
      <c r="A1021" s="34"/>
      <c r="B1021" s="35"/>
      <c r="C1021" s="35"/>
      <c r="D1021" s="35"/>
      <c r="E1021" s="36"/>
      <c r="G1021" s="34"/>
      <c r="H1021" s="35"/>
      <c r="I1021" s="35"/>
      <c r="J1021" s="35"/>
      <c r="K1021" s="36"/>
    </row>
    <row r="1022" spans="1:11" ht="13.5" x14ac:dyDescent="0.25">
      <c r="A1022" s="146" t="s">
        <v>232</v>
      </c>
      <c r="B1022" s="147"/>
      <c r="C1022" s="147"/>
      <c r="D1022" s="147"/>
      <c r="E1022" s="148"/>
      <c r="G1022" s="146" t="s">
        <v>232</v>
      </c>
      <c r="H1022" s="147"/>
      <c r="I1022" s="147"/>
      <c r="J1022" s="147"/>
      <c r="K1022" s="148"/>
    </row>
    <row r="1023" spans="1:11" x14ac:dyDescent="0.2">
      <c r="A1023" s="37"/>
      <c r="B1023" s="2"/>
      <c r="C1023" s="2"/>
      <c r="D1023" s="2"/>
      <c r="E1023" s="38"/>
      <c r="G1023" s="39"/>
      <c r="H1023" s="2"/>
      <c r="I1023" s="2"/>
      <c r="J1023" s="2"/>
      <c r="K1023" s="38"/>
    </row>
    <row r="1024" spans="1:11" x14ac:dyDescent="0.2">
      <c r="A1024" s="39"/>
      <c r="B1024" s="2" t="s">
        <v>228</v>
      </c>
      <c r="C1024" s="1" t="s">
        <v>231</v>
      </c>
      <c r="D1024" s="40">
        <f>'Rekap SHU dan Jasa Simpanan'!B174</f>
        <v>257</v>
      </c>
      <c r="E1024" s="38"/>
      <c r="G1024" s="39"/>
      <c r="H1024" s="2" t="s">
        <v>228</v>
      </c>
      <c r="I1024" s="1" t="s">
        <v>231</v>
      </c>
      <c r="J1024" s="40">
        <f>'Rekap SHU dan Jasa Simpanan'!B175</f>
        <v>258</v>
      </c>
      <c r="K1024" s="38"/>
    </row>
    <row r="1025" spans="1:11" x14ac:dyDescent="0.2">
      <c r="A1025" s="39"/>
      <c r="B1025" s="2" t="s">
        <v>229</v>
      </c>
      <c r="C1025" s="1" t="s">
        <v>231</v>
      </c>
      <c r="D1025" s="7" t="str">
        <f>'Rekap SHU dan Jasa Simpanan'!C174</f>
        <v xml:space="preserve"> Agus Riyanto</v>
      </c>
      <c r="E1025" s="38"/>
      <c r="G1025" s="39"/>
      <c r="H1025" s="2" t="s">
        <v>229</v>
      </c>
      <c r="I1025" s="1" t="s">
        <v>231</v>
      </c>
      <c r="J1025" s="2" t="str">
        <f>'Rekap SHU dan Jasa Simpanan'!C175</f>
        <v xml:space="preserve"> Sapto Adi S</v>
      </c>
      <c r="K1025" s="38"/>
    </row>
    <row r="1026" spans="1:11" x14ac:dyDescent="0.2">
      <c r="A1026" s="39"/>
      <c r="B1026" s="2" t="s">
        <v>221</v>
      </c>
      <c r="C1026" s="1" t="s">
        <v>231</v>
      </c>
      <c r="D1026" s="41">
        <f>'Rekap SHU dan Jasa Simpanan'!BD174</f>
        <v>30500</v>
      </c>
      <c r="E1026" s="38"/>
      <c r="G1026" s="39"/>
      <c r="H1026" s="2" t="s">
        <v>221</v>
      </c>
      <c r="I1026" s="1" t="s">
        <v>231</v>
      </c>
      <c r="J1026" s="41">
        <f>'Rekap SHU dan Jasa Simpanan'!BD175</f>
        <v>396000</v>
      </c>
      <c r="K1026" s="38"/>
    </row>
    <row r="1027" spans="1:11" x14ac:dyDescent="0.2">
      <c r="A1027" s="39"/>
      <c r="B1027" s="2" t="s">
        <v>223</v>
      </c>
      <c r="C1027" s="1" t="s">
        <v>231</v>
      </c>
      <c r="D1027" s="41">
        <f>'Rekap SHU dan Jasa Simpanan'!BQ174</f>
        <v>115111.14227015369</v>
      </c>
      <c r="E1027" s="38"/>
      <c r="G1027" s="39"/>
      <c r="H1027" s="2" t="s">
        <v>223</v>
      </c>
      <c r="I1027" s="1" t="s">
        <v>231</v>
      </c>
      <c r="J1027" s="41">
        <f>'Rekap SHU dan Jasa Simpanan'!BQ175</f>
        <v>523560.30609667493</v>
      </c>
      <c r="K1027" s="38"/>
    </row>
    <row r="1028" spans="1:11" x14ac:dyDescent="0.2">
      <c r="A1028" s="39"/>
      <c r="B1028" s="10" t="s">
        <v>224</v>
      </c>
      <c r="C1028" s="1" t="s">
        <v>231</v>
      </c>
      <c r="D1028" s="41">
        <f>'Rekap SHU dan Jasa Simpanan'!BR174</f>
        <v>0</v>
      </c>
      <c r="E1028" s="38"/>
      <c r="G1028" s="39"/>
      <c r="H1028" s="10" t="s">
        <v>224</v>
      </c>
      <c r="I1028" s="1" t="s">
        <v>231</v>
      </c>
      <c r="J1028" s="41">
        <f>'Rekap SHU dan Jasa Simpanan'!BR175</f>
        <v>196549.17656257635</v>
      </c>
      <c r="K1028" s="38"/>
    </row>
    <row r="1029" spans="1:11" x14ac:dyDescent="0.2">
      <c r="A1029" s="42"/>
      <c r="B1029" s="31" t="s">
        <v>230</v>
      </c>
      <c r="C1029" s="32" t="s">
        <v>231</v>
      </c>
      <c r="D1029" s="33">
        <v>50000</v>
      </c>
      <c r="E1029" s="43"/>
      <c r="G1029" s="39"/>
      <c r="H1029" s="31" t="s">
        <v>230</v>
      </c>
      <c r="I1029" s="32" t="s">
        <v>231</v>
      </c>
      <c r="J1029" s="33">
        <v>50000</v>
      </c>
      <c r="K1029" s="43"/>
    </row>
    <row r="1030" spans="1:11" x14ac:dyDescent="0.2">
      <c r="A1030" s="39"/>
      <c r="B1030" s="1" t="s">
        <v>5</v>
      </c>
      <c r="C1030" s="2"/>
      <c r="D1030" s="41">
        <f>SUM(D1026:D1029)</f>
        <v>195611.14227015368</v>
      </c>
      <c r="E1030" s="38"/>
      <c r="G1030" s="44"/>
      <c r="H1030" s="1" t="s">
        <v>5</v>
      </c>
      <c r="I1030" s="2"/>
      <c r="J1030" s="41">
        <f>SUM(J1026:J1029)</f>
        <v>1166109.4826592512</v>
      </c>
      <c r="K1030" s="38"/>
    </row>
    <row r="1031" spans="1:11" x14ac:dyDescent="0.2">
      <c r="A1031" s="42"/>
      <c r="B1031" s="31"/>
      <c r="C1031" s="31"/>
      <c r="D1031" s="31"/>
      <c r="E1031" s="43"/>
      <c r="G1031" s="42"/>
      <c r="H1031" s="31"/>
      <c r="I1031" s="31"/>
      <c r="J1031" s="31"/>
      <c r="K1031" s="43"/>
    </row>
    <row r="1033" spans="1:11" x14ac:dyDescent="0.2">
      <c r="A1033" s="34"/>
      <c r="B1033" s="35"/>
      <c r="C1033" s="35"/>
      <c r="D1033" s="35"/>
      <c r="E1033" s="36"/>
      <c r="G1033" s="34"/>
      <c r="H1033" s="35"/>
      <c r="I1033" s="35"/>
      <c r="J1033" s="35"/>
      <c r="K1033" s="36"/>
    </row>
    <row r="1034" spans="1:11" ht="13.5" x14ac:dyDescent="0.25">
      <c r="A1034" s="146" t="s">
        <v>232</v>
      </c>
      <c r="B1034" s="147"/>
      <c r="C1034" s="147"/>
      <c r="D1034" s="147"/>
      <c r="E1034" s="148"/>
      <c r="G1034" s="146" t="s">
        <v>232</v>
      </c>
      <c r="H1034" s="147"/>
      <c r="I1034" s="147"/>
      <c r="J1034" s="147"/>
      <c r="K1034" s="148"/>
    </row>
    <row r="1035" spans="1:11" x14ac:dyDescent="0.2">
      <c r="A1035" s="37"/>
      <c r="B1035" s="2"/>
      <c r="C1035" s="2"/>
      <c r="D1035" s="2"/>
      <c r="E1035" s="38"/>
      <c r="G1035" s="39"/>
      <c r="H1035" s="2"/>
      <c r="I1035" s="2"/>
      <c r="J1035" s="2"/>
      <c r="K1035" s="38"/>
    </row>
    <row r="1036" spans="1:11" x14ac:dyDescent="0.2">
      <c r="A1036" s="39"/>
      <c r="B1036" s="2" t="s">
        <v>228</v>
      </c>
      <c r="C1036" s="1" t="s">
        <v>231</v>
      </c>
      <c r="D1036" s="40">
        <f>'Rekap SHU dan Jasa Simpanan'!B176</f>
        <v>260</v>
      </c>
      <c r="E1036" s="38"/>
      <c r="G1036" s="39"/>
      <c r="H1036" s="2" t="s">
        <v>228</v>
      </c>
      <c r="I1036" s="1" t="s">
        <v>231</v>
      </c>
      <c r="J1036" s="40">
        <f>'Rekap SHU dan Jasa Simpanan'!B177</f>
        <v>261</v>
      </c>
      <c r="K1036" s="38"/>
    </row>
    <row r="1037" spans="1:11" x14ac:dyDescent="0.2">
      <c r="A1037" s="39"/>
      <c r="B1037" s="2" t="s">
        <v>229</v>
      </c>
      <c r="C1037" s="1" t="s">
        <v>231</v>
      </c>
      <c r="D1037" s="7" t="str">
        <f>'Rekap SHU dan Jasa Simpanan'!C176</f>
        <v xml:space="preserve"> Neni Aprilianti</v>
      </c>
      <c r="E1037" s="38"/>
      <c r="G1037" s="39"/>
      <c r="H1037" s="2" t="s">
        <v>229</v>
      </c>
      <c r="I1037" s="1" t="s">
        <v>231</v>
      </c>
      <c r="J1037" s="2" t="str">
        <f>'Rekap SHU dan Jasa Simpanan'!C177</f>
        <v xml:space="preserve"> Ibu Neneng Somantri</v>
      </c>
      <c r="K1037" s="38"/>
    </row>
    <row r="1038" spans="1:11" x14ac:dyDescent="0.2">
      <c r="A1038" s="39"/>
      <c r="B1038" s="2" t="s">
        <v>221</v>
      </c>
      <c r="C1038" s="1" t="s">
        <v>231</v>
      </c>
      <c r="D1038" s="41">
        <f>'Rekap SHU dan Jasa Simpanan'!BD176</f>
        <v>88500</v>
      </c>
      <c r="E1038" s="38"/>
      <c r="G1038" s="39"/>
      <c r="H1038" s="2" t="s">
        <v>221</v>
      </c>
      <c r="I1038" s="1" t="s">
        <v>231</v>
      </c>
      <c r="J1038" s="41">
        <f>'Rekap SHU dan Jasa Simpanan'!BD177</f>
        <v>24700</v>
      </c>
      <c r="K1038" s="38"/>
    </row>
    <row r="1039" spans="1:11" x14ac:dyDescent="0.2">
      <c r="A1039" s="39"/>
      <c r="B1039" s="2" t="s">
        <v>223</v>
      </c>
      <c r="C1039" s="1" t="s">
        <v>231</v>
      </c>
      <c r="D1039" s="41">
        <f>'Rekap SHU dan Jasa Simpanan'!BQ176</f>
        <v>168043.25497261199</v>
      </c>
      <c r="E1039" s="38"/>
      <c r="G1039" s="39"/>
      <c r="H1039" s="2" t="s">
        <v>223</v>
      </c>
      <c r="I1039" s="1" t="s">
        <v>231</v>
      </c>
      <c r="J1039" s="41">
        <f>'Rekap SHU dan Jasa Simpanan'!BQ177</f>
        <v>106486.01105107882</v>
      </c>
      <c r="K1039" s="38"/>
    </row>
    <row r="1040" spans="1:11" x14ac:dyDescent="0.2">
      <c r="A1040" s="39"/>
      <c r="B1040" s="10" t="s">
        <v>224</v>
      </c>
      <c r="C1040" s="1" t="s">
        <v>231</v>
      </c>
      <c r="D1040" s="41">
        <f>'Rekap SHU dan Jasa Simpanan'!BR176</f>
        <v>622405.72578149172</v>
      </c>
      <c r="E1040" s="38"/>
      <c r="G1040" s="39"/>
      <c r="H1040" s="10" t="s">
        <v>224</v>
      </c>
      <c r="I1040" s="1" t="s">
        <v>231</v>
      </c>
      <c r="J1040" s="41">
        <f>'Rekap SHU dan Jasa Simpanan'!BR177</f>
        <v>176894.25890631872</v>
      </c>
      <c r="K1040" s="38"/>
    </row>
    <row r="1041" spans="1:11" x14ac:dyDescent="0.2">
      <c r="A1041" s="42"/>
      <c r="B1041" s="31" t="s">
        <v>230</v>
      </c>
      <c r="C1041" s="32" t="s">
        <v>231</v>
      </c>
      <c r="D1041" s="33">
        <v>50000</v>
      </c>
      <c r="E1041" s="43"/>
      <c r="G1041" s="39"/>
      <c r="H1041" s="31" t="s">
        <v>230</v>
      </c>
      <c r="I1041" s="32" t="s">
        <v>231</v>
      </c>
      <c r="J1041" s="33">
        <v>0</v>
      </c>
      <c r="K1041" s="43"/>
    </row>
    <row r="1042" spans="1:11" x14ac:dyDescent="0.2">
      <c r="A1042" s="39"/>
      <c r="B1042" s="1" t="s">
        <v>5</v>
      </c>
      <c r="C1042" s="2"/>
      <c r="D1042" s="41">
        <f>SUM(D1038:D1041)</f>
        <v>928948.98075410374</v>
      </c>
      <c r="E1042" s="38"/>
      <c r="G1042" s="44"/>
      <c r="H1042" s="1" t="s">
        <v>5</v>
      </c>
      <c r="I1042" s="2"/>
      <c r="J1042" s="41">
        <f>SUM(J1038:J1041)</f>
        <v>308080.26995739754</v>
      </c>
      <c r="K1042" s="38"/>
    </row>
    <row r="1043" spans="1:11" x14ac:dyDescent="0.2">
      <c r="A1043" s="42"/>
      <c r="B1043" s="31"/>
      <c r="C1043" s="31"/>
      <c r="D1043" s="31"/>
      <c r="E1043" s="43"/>
      <c r="G1043" s="42"/>
      <c r="H1043" s="31"/>
      <c r="I1043" s="31"/>
      <c r="J1043" s="31"/>
      <c r="K1043" s="43"/>
    </row>
    <row r="1045" spans="1:11" x14ac:dyDescent="0.2">
      <c r="A1045" s="34"/>
      <c r="B1045" s="35"/>
      <c r="C1045" s="35"/>
      <c r="D1045" s="35"/>
      <c r="E1045" s="36"/>
      <c r="G1045" s="34"/>
      <c r="H1045" s="35"/>
      <c r="I1045" s="35"/>
      <c r="J1045" s="35"/>
      <c r="K1045" s="36"/>
    </row>
    <row r="1046" spans="1:11" ht="13.5" x14ac:dyDescent="0.25">
      <c r="A1046" s="146" t="s">
        <v>232</v>
      </c>
      <c r="B1046" s="147"/>
      <c r="C1046" s="147"/>
      <c r="D1046" s="147"/>
      <c r="E1046" s="148"/>
      <c r="G1046" s="146" t="s">
        <v>232</v>
      </c>
      <c r="H1046" s="147"/>
      <c r="I1046" s="147"/>
      <c r="J1046" s="147"/>
      <c r="K1046" s="148"/>
    </row>
    <row r="1047" spans="1:11" x14ac:dyDescent="0.2">
      <c r="A1047" s="37"/>
      <c r="B1047" s="2"/>
      <c r="C1047" s="2"/>
      <c r="D1047" s="2"/>
      <c r="E1047" s="38"/>
      <c r="G1047" s="39"/>
      <c r="H1047" s="2"/>
      <c r="I1047" s="2"/>
      <c r="J1047" s="2"/>
      <c r="K1047" s="38"/>
    </row>
    <row r="1048" spans="1:11" x14ac:dyDescent="0.2">
      <c r="A1048" s="39"/>
      <c r="B1048" s="2" t="s">
        <v>228</v>
      </c>
      <c r="C1048" s="1" t="s">
        <v>231</v>
      </c>
      <c r="D1048" s="40">
        <f>'Rekap SHU dan Jasa Simpanan'!B178</f>
        <v>262</v>
      </c>
      <c r="E1048" s="38"/>
      <c r="G1048" s="39"/>
      <c r="H1048" s="2" t="s">
        <v>228</v>
      </c>
      <c r="I1048" s="1" t="s">
        <v>231</v>
      </c>
      <c r="J1048" s="40">
        <f>'Rekap SHU dan Jasa Simpanan'!B180</f>
        <v>264</v>
      </c>
      <c r="K1048" s="38"/>
    </row>
    <row r="1049" spans="1:11" x14ac:dyDescent="0.2">
      <c r="A1049" s="39"/>
      <c r="B1049" s="2" t="s">
        <v>229</v>
      </c>
      <c r="C1049" s="1" t="s">
        <v>231</v>
      </c>
      <c r="D1049" s="7" t="str">
        <f>'Rekap SHU dan Jasa Simpanan'!C178</f>
        <v xml:space="preserve"> Bpk. Mansyur</v>
      </c>
      <c r="E1049" s="38"/>
      <c r="G1049" s="39"/>
      <c r="H1049" s="2" t="s">
        <v>229</v>
      </c>
      <c r="I1049" s="1" t="s">
        <v>231</v>
      </c>
      <c r="J1049" s="2" t="str">
        <f>'Rekap SHU dan Jasa Simpanan'!C180</f>
        <v xml:space="preserve"> Bayu Asmoyo</v>
      </c>
      <c r="K1049" s="38"/>
    </row>
    <row r="1050" spans="1:11" x14ac:dyDescent="0.2">
      <c r="A1050" s="39"/>
      <c r="B1050" s="2" t="s">
        <v>221</v>
      </c>
      <c r="C1050" s="1" t="s">
        <v>231</v>
      </c>
      <c r="D1050" s="41">
        <f>'Rekap SHU dan Jasa Simpanan'!BD178</f>
        <v>408600</v>
      </c>
      <c r="E1050" s="38"/>
      <c r="G1050" s="39"/>
      <c r="H1050" s="2" t="s">
        <v>221</v>
      </c>
      <c r="I1050" s="1" t="s">
        <v>231</v>
      </c>
      <c r="J1050" s="41">
        <f>'Rekap SHU dan Jasa Simpanan'!BD180</f>
        <v>46500</v>
      </c>
      <c r="K1050" s="38"/>
    </row>
    <row r="1051" spans="1:11" x14ac:dyDescent="0.2">
      <c r="A1051" s="39"/>
      <c r="B1051" s="2" t="s">
        <v>223</v>
      </c>
      <c r="C1051" s="1" t="s">
        <v>231</v>
      </c>
      <c r="D1051" s="41">
        <f>'Rekap SHU dan Jasa Simpanan'!BQ178</f>
        <v>489942.78941303829</v>
      </c>
      <c r="E1051" s="38"/>
      <c r="G1051" s="39"/>
      <c r="H1051" s="2" t="s">
        <v>223</v>
      </c>
      <c r="I1051" s="1" t="s">
        <v>231</v>
      </c>
      <c r="J1051" s="41">
        <f>'Rekap SHU dan Jasa Simpanan'!BQ180</f>
        <v>78372.770278951459</v>
      </c>
      <c r="K1051" s="38"/>
    </row>
    <row r="1052" spans="1:11" x14ac:dyDescent="0.2">
      <c r="A1052" s="39"/>
      <c r="B1052" s="10" t="s">
        <v>224</v>
      </c>
      <c r="C1052" s="1" t="s">
        <v>231</v>
      </c>
      <c r="D1052" s="41">
        <f>'Rekap SHU dan Jasa Simpanan'!BR178</f>
        <v>196549.17656257635</v>
      </c>
      <c r="E1052" s="38"/>
      <c r="G1052" s="39"/>
      <c r="H1052" s="10" t="s">
        <v>224</v>
      </c>
      <c r="I1052" s="1" t="s">
        <v>231</v>
      </c>
      <c r="J1052" s="41">
        <f>'Rekap SHU dan Jasa Simpanan'!BR180</f>
        <v>186721.71773444753</v>
      </c>
      <c r="K1052" s="38"/>
    </row>
    <row r="1053" spans="1:11" x14ac:dyDescent="0.2">
      <c r="A1053" s="42"/>
      <c r="B1053" s="31" t="s">
        <v>230</v>
      </c>
      <c r="C1053" s="32" t="s">
        <v>231</v>
      </c>
      <c r="D1053" s="33">
        <v>0</v>
      </c>
      <c r="E1053" s="43"/>
      <c r="G1053" s="39"/>
      <c r="H1053" s="31" t="s">
        <v>230</v>
      </c>
      <c r="I1053" s="32" t="s">
        <v>231</v>
      </c>
      <c r="J1053" s="33">
        <v>0</v>
      </c>
      <c r="K1053" s="43"/>
    </row>
    <row r="1054" spans="1:11" x14ac:dyDescent="0.2">
      <c r="A1054" s="39"/>
      <c r="B1054" s="1" t="s">
        <v>5</v>
      </c>
      <c r="C1054" s="2"/>
      <c r="D1054" s="41">
        <f>SUM(D1050:D1053)</f>
        <v>1095091.9659756147</v>
      </c>
      <c r="E1054" s="38"/>
      <c r="G1054" s="44"/>
      <c r="H1054" s="1" t="s">
        <v>5</v>
      </c>
      <c r="I1054" s="2"/>
      <c r="J1054" s="41">
        <f>SUM(J1050:J1053)</f>
        <v>311594.48801339901</v>
      </c>
      <c r="K1054" s="38"/>
    </row>
    <row r="1055" spans="1:11" x14ac:dyDescent="0.2">
      <c r="A1055" s="42"/>
      <c r="B1055" s="31"/>
      <c r="C1055" s="31"/>
      <c r="D1055" s="31"/>
      <c r="E1055" s="43"/>
      <c r="G1055" s="42"/>
      <c r="H1055" s="31"/>
      <c r="I1055" s="31"/>
      <c r="J1055" s="31"/>
      <c r="K1055" s="43"/>
    </row>
    <row r="1057" spans="1:11" x14ac:dyDescent="0.2">
      <c r="A1057" s="34"/>
      <c r="B1057" s="35"/>
      <c r="C1057" s="35"/>
      <c r="D1057" s="35"/>
      <c r="E1057" s="36"/>
      <c r="G1057" s="34"/>
      <c r="H1057" s="35"/>
      <c r="I1057" s="35"/>
      <c r="J1057" s="35"/>
      <c r="K1057" s="36"/>
    </row>
    <row r="1058" spans="1:11" ht="13.5" x14ac:dyDescent="0.25">
      <c r="A1058" s="146" t="s">
        <v>232</v>
      </c>
      <c r="B1058" s="147"/>
      <c r="C1058" s="147"/>
      <c r="D1058" s="147"/>
      <c r="E1058" s="148"/>
      <c r="G1058" s="146" t="s">
        <v>232</v>
      </c>
      <c r="H1058" s="147"/>
      <c r="I1058" s="147"/>
      <c r="J1058" s="147"/>
      <c r="K1058" s="148"/>
    </row>
    <row r="1059" spans="1:11" x14ac:dyDescent="0.2">
      <c r="A1059" s="37"/>
      <c r="B1059" s="2"/>
      <c r="C1059" s="2"/>
      <c r="D1059" s="2"/>
      <c r="E1059" s="38"/>
      <c r="G1059" s="39"/>
      <c r="H1059" s="2"/>
      <c r="I1059" s="2"/>
      <c r="J1059" s="2"/>
      <c r="K1059" s="38"/>
    </row>
    <row r="1060" spans="1:11" x14ac:dyDescent="0.2">
      <c r="A1060" s="39"/>
      <c r="B1060" s="2" t="s">
        <v>228</v>
      </c>
      <c r="C1060" s="1" t="s">
        <v>231</v>
      </c>
      <c r="D1060" s="40">
        <f>'Rekap SHU dan Jasa Simpanan'!B181</f>
        <v>265</v>
      </c>
      <c r="E1060" s="38"/>
      <c r="G1060" s="39"/>
      <c r="H1060" s="2" t="s">
        <v>228</v>
      </c>
      <c r="I1060" s="1" t="s">
        <v>231</v>
      </c>
      <c r="J1060" s="40">
        <f>'Rekap SHU dan Jasa Simpanan'!B182</f>
        <v>266</v>
      </c>
      <c r="K1060" s="38"/>
    </row>
    <row r="1061" spans="1:11" x14ac:dyDescent="0.2">
      <c r="A1061" s="39"/>
      <c r="B1061" s="2" t="s">
        <v>229</v>
      </c>
      <c r="C1061" s="1" t="s">
        <v>231</v>
      </c>
      <c r="D1061" s="7" t="str">
        <f>'Rekap SHU dan Jasa Simpanan'!C181</f>
        <v xml:space="preserve"> Dayat</v>
      </c>
      <c r="E1061" s="38"/>
      <c r="G1061" s="39"/>
      <c r="H1061" s="2" t="s">
        <v>229</v>
      </c>
      <c r="I1061" s="1" t="s">
        <v>231</v>
      </c>
      <c r="J1061" s="2" t="str">
        <f>'Rekap SHU dan Jasa Simpanan'!C182</f>
        <v xml:space="preserve"> Dimas Hariyanto</v>
      </c>
      <c r="K1061" s="38"/>
    </row>
    <row r="1062" spans="1:11" x14ac:dyDescent="0.2">
      <c r="A1062" s="39"/>
      <c r="B1062" s="2" t="s">
        <v>221</v>
      </c>
      <c r="C1062" s="1" t="s">
        <v>231</v>
      </c>
      <c r="D1062" s="41">
        <f>'Rekap SHU dan Jasa Simpanan'!BD181</f>
        <v>49822.5</v>
      </c>
      <c r="E1062" s="38"/>
      <c r="G1062" s="39"/>
      <c r="H1062" s="2" t="s">
        <v>221</v>
      </c>
      <c r="I1062" s="1" t="s">
        <v>231</v>
      </c>
      <c r="J1062" s="41">
        <f>'Rekap SHU dan Jasa Simpanan'!BD182</f>
        <v>16200</v>
      </c>
      <c r="K1062" s="38"/>
    </row>
    <row r="1063" spans="1:11" x14ac:dyDescent="0.2">
      <c r="A1063" s="39"/>
      <c r="B1063" s="2" t="s">
        <v>223</v>
      </c>
      <c r="C1063" s="1" t="s">
        <v>231</v>
      </c>
      <c r="D1063" s="41">
        <f>'Rekap SHU dan Jasa Simpanan'!BQ181</f>
        <v>93979.635942503897</v>
      </c>
      <c r="E1063" s="38"/>
      <c r="G1063" s="39"/>
      <c r="H1063" s="2" t="s">
        <v>223</v>
      </c>
      <c r="I1063" s="1" t="s">
        <v>231</v>
      </c>
      <c r="J1063" s="41">
        <f>'Rekap SHU dan Jasa Simpanan'!BQ182</f>
        <v>58758.123407265812</v>
      </c>
      <c r="K1063" s="38"/>
    </row>
    <row r="1064" spans="1:11" x14ac:dyDescent="0.2">
      <c r="A1064" s="39"/>
      <c r="B1064" s="10" t="s">
        <v>224</v>
      </c>
      <c r="C1064" s="1" t="s">
        <v>231</v>
      </c>
      <c r="D1064" s="41">
        <f>'Rekap SHU dan Jasa Simpanan'!BR181</f>
        <v>39309.835312515272</v>
      </c>
      <c r="E1064" s="38"/>
      <c r="G1064" s="39"/>
      <c r="H1064" s="10" t="s">
        <v>224</v>
      </c>
      <c r="I1064" s="1" t="s">
        <v>231</v>
      </c>
      <c r="J1064" s="41">
        <f>'Rekap SHU dan Jasa Simpanan'!BR182</f>
        <v>73705.941210966135</v>
      </c>
      <c r="K1064" s="38"/>
    </row>
    <row r="1065" spans="1:11" x14ac:dyDescent="0.2">
      <c r="A1065" s="42"/>
      <c r="B1065" s="31" t="s">
        <v>230</v>
      </c>
      <c r="C1065" s="32" t="s">
        <v>231</v>
      </c>
      <c r="D1065" s="33">
        <v>0</v>
      </c>
      <c r="E1065" s="43"/>
      <c r="G1065" s="39"/>
      <c r="H1065" s="31" t="s">
        <v>230</v>
      </c>
      <c r="I1065" s="32" t="s">
        <v>231</v>
      </c>
      <c r="J1065" s="33">
        <v>0</v>
      </c>
      <c r="K1065" s="43"/>
    </row>
    <row r="1066" spans="1:11" x14ac:dyDescent="0.2">
      <c r="A1066" s="39"/>
      <c r="B1066" s="1" t="s">
        <v>5</v>
      </c>
      <c r="C1066" s="2"/>
      <c r="D1066" s="41">
        <f>SUM(D1062:D1065)</f>
        <v>183111.97125501916</v>
      </c>
      <c r="E1066" s="38"/>
      <c r="G1066" s="44"/>
      <c r="H1066" s="1" t="s">
        <v>5</v>
      </c>
      <c r="I1066" s="2"/>
      <c r="J1066" s="41">
        <f>SUM(J1062:J1065)</f>
        <v>148664.06461823196</v>
      </c>
      <c r="K1066" s="38"/>
    </row>
    <row r="1067" spans="1:11" x14ac:dyDescent="0.2">
      <c r="A1067" s="42"/>
      <c r="B1067" s="31"/>
      <c r="C1067" s="31"/>
      <c r="D1067" s="31"/>
      <c r="E1067" s="43"/>
      <c r="G1067" s="42"/>
      <c r="H1067" s="31"/>
      <c r="I1067" s="31"/>
      <c r="J1067" s="31"/>
      <c r="K1067" s="43"/>
    </row>
    <row r="1072" spans="1:11" x14ac:dyDescent="0.2">
      <c r="A1072" s="34"/>
      <c r="B1072" s="35"/>
      <c r="C1072" s="35"/>
      <c r="D1072" s="35"/>
      <c r="E1072" s="36"/>
      <c r="G1072" s="34"/>
      <c r="H1072" s="35"/>
      <c r="I1072" s="35"/>
      <c r="J1072" s="35"/>
      <c r="K1072" s="36"/>
    </row>
    <row r="1073" spans="1:11" ht="13.5" x14ac:dyDescent="0.25">
      <c r="A1073" s="146" t="s">
        <v>232</v>
      </c>
      <c r="B1073" s="147"/>
      <c r="C1073" s="147"/>
      <c r="D1073" s="147"/>
      <c r="E1073" s="148"/>
      <c r="G1073" s="146" t="s">
        <v>232</v>
      </c>
      <c r="H1073" s="147"/>
      <c r="I1073" s="147"/>
      <c r="J1073" s="147"/>
      <c r="K1073" s="148"/>
    </row>
    <row r="1074" spans="1:11" x14ac:dyDescent="0.2">
      <c r="A1074" s="37"/>
      <c r="B1074" s="2"/>
      <c r="C1074" s="2"/>
      <c r="D1074" s="2"/>
      <c r="E1074" s="38"/>
      <c r="G1074" s="39"/>
      <c r="H1074" s="2"/>
      <c r="I1074" s="2"/>
      <c r="J1074" s="2"/>
      <c r="K1074" s="38"/>
    </row>
    <row r="1075" spans="1:11" x14ac:dyDescent="0.2">
      <c r="A1075" s="39"/>
      <c r="B1075" s="2" t="s">
        <v>228</v>
      </c>
      <c r="C1075" s="1" t="s">
        <v>231</v>
      </c>
      <c r="D1075" s="40">
        <f>'Rekap SHU dan Jasa Simpanan'!B183</f>
        <v>267</v>
      </c>
      <c r="E1075" s="38"/>
      <c r="G1075" s="39"/>
      <c r="H1075" s="2" t="s">
        <v>228</v>
      </c>
      <c r="I1075" s="1" t="s">
        <v>231</v>
      </c>
      <c r="J1075" s="40">
        <f>'Rekap SHU dan Jasa Simpanan'!B184</f>
        <v>268</v>
      </c>
      <c r="K1075" s="38"/>
    </row>
    <row r="1076" spans="1:11" x14ac:dyDescent="0.2">
      <c r="A1076" s="39"/>
      <c r="B1076" s="2" t="s">
        <v>229</v>
      </c>
      <c r="C1076" s="1" t="s">
        <v>231</v>
      </c>
      <c r="D1076" s="2" t="str">
        <f>'Rekap SHU dan Jasa Simpanan'!C183</f>
        <v xml:space="preserve"> Eko Susanto</v>
      </c>
      <c r="E1076" s="38"/>
      <c r="G1076" s="39"/>
      <c r="H1076" s="2" t="s">
        <v>229</v>
      </c>
      <c r="I1076" s="1" t="s">
        <v>231</v>
      </c>
      <c r="J1076" s="2" t="str">
        <f>'Rekap SHU dan Jasa Simpanan'!C184</f>
        <v xml:space="preserve"> Erwin Ardiyanto</v>
      </c>
      <c r="K1076" s="38"/>
    </row>
    <row r="1077" spans="1:11" x14ac:dyDescent="0.2">
      <c r="A1077" s="39"/>
      <c r="B1077" s="2" t="s">
        <v>221</v>
      </c>
      <c r="C1077" s="1" t="s">
        <v>231</v>
      </c>
      <c r="D1077" s="41">
        <f>'Rekap SHU dan Jasa Simpanan'!BD183</f>
        <v>18325</v>
      </c>
      <c r="E1077" s="38"/>
      <c r="G1077" s="39"/>
      <c r="H1077" s="2" t="s">
        <v>221</v>
      </c>
      <c r="I1077" s="1" t="s">
        <v>231</v>
      </c>
      <c r="J1077" s="41">
        <f>'Rekap SHU dan Jasa Simpanan'!BD184</f>
        <v>165075</v>
      </c>
      <c r="K1077" s="38"/>
    </row>
    <row r="1078" spans="1:11" x14ac:dyDescent="0.2">
      <c r="A1078" s="39"/>
      <c r="B1078" s="2" t="s">
        <v>223</v>
      </c>
      <c r="C1078" s="1" t="s">
        <v>231</v>
      </c>
      <c r="D1078" s="41">
        <f>'Rekap SHU dan Jasa Simpanan'!BQ183</f>
        <v>61057.428792544306</v>
      </c>
      <c r="E1078" s="38"/>
      <c r="G1078" s="39"/>
      <c r="H1078" s="2" t="s">
        <v>223</v>
      </c>
      <c r="I1078" s="1" t="s">
        <v>231</v>
      </c>
      <c r="J1078" s="41">
        <f>'Rekap SHU dan Jasa Simpanan'!BQ184</f>
        <v>210891.59002417419</v>
      </c>
      <c r="K1078" s="38"/>
    </row>
    <row r="1079" spans="1:11" x14ac:dyDescent="0.2">
      <c r="A1079" s="39"/>
      <c r="B1079" s="10" t="s">
        <v>224</v>
      </c>
      <c r="C1079" s="1" t="s">
        <v>231</v>
      </c>
      <c r="D1079" s="41">
        <f>'Rekap SHU dan Jasa Simpanan'!BR183</f>
        <v>54051.023554708496</v>
      </c>
      <c r="E1079" s="38"/>
      <c r="G1079" s="39"/>
      <c r="H1079" s="10" t="s">
        <v>224</v>
      </c>
      <c r="I1079" s="1" t="s">
        <v>231</v>
      </c>
      <c r="J1079" s="41">
        <f>'Rekap SHU dan Jasa Simpanan'!BR184</f>
        <v>0</v>
      </c>
      <c r="K1079" s="38"/>
    </row>
    <row r="1080" spans="1:11" x14ac:dyDescent="0.2">
      <c r="A1080" s="42"/>
      <c r="B1080" s="31" t="s">
        <v>230</v>
      </c>
      <c r="C1080" s="32" t="s">
        <v>231</v>
      </c>
      <c r="D1080" s="33">
        <v>0</v>
      </c>
      <c r="E1080" s="43"/>
      <c r="G1080" s="39"/>
      <c r="H1080" s="31" t="s">
        <v>230</v>
      </c>
      <c r="I1080" s="32" t="s">
        <v>231</v>
      </c>
      <c r="J1080" s="33">
        <v>0</v>
      </c>
      <c r="K1080" s="43"/>
    </row>
    <row r="1081" spans="1:11" x14ac:dyDescent="0.2">
      <c r="A1081" s="39"/>
      <c r="B1081" s="1" t="s">
        <v>5</v>
      </c>
      <c r="C1081" s="2"/>
      <c r="D1081" s="41">
        <f>SUM(D1077:D1080)</f>
        <v>133433.45234725281</v>
      </c>
      <c r="E1081" s="38"/>
      <c r="G1081" s="44"/>
      <c r="H1081" s="1" t="s">
        <v>5</v>
      </c>
      <c r="I1081" s="2"/>
      <c r="J1081" s="41">
        <f>SUM(J1077:J1080)</f>
        <v>375966.59002417419</v>
      </c>
      <c r="K1081" s="38"/>
    </row>
    <row r="1082" spans="1:11" x14ac:dyDescent="0.2">
      <c r="A1082" s="42"/>
      <c r="B1082" s="31"/>
      <c r="C1082" s="31"/>
      <c r="D1082" s="31"/>
      <c r="E1082" s="43"/>
      <c r="G1082" s="42"/>
      <c r="H1082" s="31"/>
      <c r="I1082" s="31"/>
      <c r="J1082" s="31"/>
      <c r="K1082" s="43"/>
    </row>
    <row r="1084" spans="1:11" x14ac:dyDescent="0.2">
      <c r="A1084" s="34"/>
      <c r="B1084" s="35"/>
      <c r="C1084" s="35"/>
      <c r="D1084" s="35"/>
      <c r="E1084" s="36"/>
      <c r="G1084" s="34"/>
      <c r="H1084" s="35"/>
      <c r="I1084" s="35"/>
      <c r="J1084" s="35"/>
      <c r="K1084" s="36"/>
    </row>
    <row r="1085" spans="1:11" ht="13.5" x14ac:dyDescent="0.25">
      <c r="A1085" s="146" t="s">
        <v>232</v>
      </c>
      <c r="B1085" s="147"/>
      <c r="C1085" s="147"/>
      <c r="D1085" s="147"/>
      <c r="E1085" s="148"/>
      <c r="G1085" s="146" t="s">
        <v>232</v>
      </c>
      <c r="H1085" s="147"/>
      <c r="I1085" s="147"/>
      <c r="J1085" s="147"/>
      <c r="K1085" s="148"/>
    </row>
    <row r="1086" spans="1:11" x14ac:dyDescent="0.2">
      <c r="A1086" s="37"/>
      <c r="B1086" s="2"/>
      <c r="C1086" s="2"/>
      <c r="D1086" s="2"/>
      <c r="E1086" s="38"/>
      <c r="G1086" s="39"/>
      <c r="H1086" s="2"/>
      <c r="I1086" s="2"/>
      <c r="J1086" s="2"/>
      <c r="K1086" s="38"/>
    </row>
    <row r="1087" spans="1:11" x14ac:dyDescent="0.2">
      <c r="A1087" s="39"/>
      <c r="B1087" s="2" t="s">
        <v>228</v>
      </c>
      <c r="C1087" s="1" t="s">
        <v>231</v>
      </c>
      <c r="D1087" s="40">
        <f>'Rekap SHU dan Jasa Simpanan'!B185</f>
        <v>270</v>
      </c>
      <c r="E1087" s="38"/>
      <c r="G1087" s="39"/>
      <c r="H1087" s="2" t="s">
        <v>228</v>
      </c>
      <c r="I1087" s="1" t="s">
        <v>231</v>
      </c>
      <c r="J1087" s="40">
        <f>'Rekap SHU dan Jasa Simpanan'!B186</f>
        <v>271</v>
      </c>
      <c r="K1087" s="38"/>
    </row>
    <row r="1088" spans="1:11" x14ac:dyDescent="0.2">
      <c r="A1088" s="39"/>
      <c r="B1088" s="2" t="s">
        <v>229</v>
      </c>
      <c r="C1088" s="1" t="s">
        <v>231</v>
      </c>
      <c r="D1088" s="7" t="str">
        <f>'Rekap SHU dan Jasa Simpanan'!C185</f>
        <v xml:space="preserve"> Risda Maliani</v>
      </c>
      <c r="E1088" s="38"/>
      <c r="G1088" s="39"/>
      <c r="H1088" s="2" t="s">
        <v>229</v>
      </c>
      <c r="I1088" s="1" t="s">
        <v>231</v>
      </c>
      <c r="J1088" s="2" t="str">
        <f>'Rekap SHU dan Jasa Simpanan'!C186</f>
        <v xml:space="preserve"> D. Kusnadi</v>
      </c>
      <c r="K1088" s="38"/>
    </row>
    <row r="1089" spans="1:11" x14ac:dyDescent="0.2">
      <c r="A1089" s="39"/>
      <c r="B1089" s="2" t="s">
        <v>221</v>
      </c>
      <c r="C1089" s="1" t="s">
        <v>231</v>
      </c>
      <c r="D1089" s="41">
        <f>'Rekap SHU dan Jasa Simpanan'!BD185</f>
        <v>22550</v>
      </c>
      <c r="E1089" s="38"/>
      <c r="G1089" s="39"/>
      <c r="H1089" s="2" t="s">
        <v>221</v>
      </c>
      <c r="I1089" s="1" t="s">
        <v>231</v>
      </c>
      <c r="J1089" s="41">
        <f>'Rekap SHU dan Jasa Simpanan'!BD186</f>
        <v>76950</v>
      </c>
      <c r="K1089" s="38"/>
    </row>
    <row r="1090" spans="1:11" x14ac:dyDescent="0.2">
      <c r="A1090" s="39"/>
      <c r="B1090" s="2" t="s">
        <v>223</v>
      </c>
      <c r="C1090" s="1" t="s">
        <v>231</v>
      </c>
      <c r="D1090" s="41">
        <f>'Rekap SHU dan Jasa Simpanan'!BQ185</f>
        <v>66656.365541948733</v>
      </c>
      <c r="E1090" s="38"/>
      <c r="G1090" s="39"/>
      <c r="H1090" s="2" t="s">
        <v>223</v>
      </c>
      <c r="I1090" s="1" t="s">
        <v>231</v>
      </c>
      <c r="J1090" s="41">
        <f>'Rekap SHU dan Jasa Simpanan'!BQ186</f>
        <v>116758.14762677089</v>
      </c>
      <c r="K1090" s="38"/>
    </row>
    <row r="1091" spans="1:11" x14ac:dyDescent="0.2">
      <c r="A1091" s="39"/>
      <c r="B1091" s="10" t="s">
        <v>224</v>
      </c>
      <c r="C1091" s="1" t="s">
        <v>231</v>
      </c>
      <c r="D1091" s="41">
        <f>'Rekap SHU dan Jasa Simpanan'!BR185</f>
        <v>196549.17656257635</v>
      </c>
      <c r="E1091" s="38"/>
      <c r="G1091" s="39"/>
      <c r="H1091" s="10" t="s">
        <v>224</v>
      </c>
      <c r="I1091" s="1" t="s">
        <v>231</v>
      </c>
      <c r="J1091" s="41">
        <f>'Rekap SHU dan Jasa Simpanan'!BR186</f>
        <v>65516.392187525453</v>
      </c>
      <c r="K1091" s="38"/>
    </row>
    <row r="1092" spans="1:11" x14ac:dyDescent="0.2">
      <c r="A1092" s="42"/>
      <c r="B1092" s="31" t="s">
        <v>230</v>
      </c>
      <c r="C1092" s="32" t="s">
        <v>231</v>
      </c>
      <c r="D1092" s="33">
        <v>0</v>
      </c>
      <c r="E1092" s="43"/>
      <c r="G1092" s="39"/>
      <c r="H1092" s="31" t="s">
        <v>230</v>
      </c>
      <c r="I1092" s="32" t="s">
        <v>231</v>
      </c>
      <c r="J1092" s="33">
        <v>0</v>
      </c>
      <c r="K1092" s="43"/>
    </row>
    <row r="1093" spans="1:11" x14ac:dyDescent="0.2">
      <c r="A1093" s="39"/>
      <c r="B1093" s="1" t="s">
        <v>5</v>
      </c>
      <c r="C1093" s="2"/>
      <c r="D1093" s="41">
        <f>SUM(D1089:D1092)</f>
        <v>285755.54210452508</v>
      </c>
      <c r="E1093" s="38"/>
      <c r="G1093" s="44"/>
      <c r="H1093" s="1" t="s">
        <v>5</v>
      </c>
      <c r="I1093" s="2"/>
      <c r="J1093" s="41">
        <f>SUM(J1089:J1092)</f>
        <v>259224.53981429635</v>
      </c>
      <c r="K1093" s="38"/>
    </row>
    <row r="1094" spans="1:11" x14ac:dyDescent="0.2">
      <c r="A1094" s="42"/>
      <c r="B1094" s="31"/>
      <c r="C1094" s="31"/>
      <c r="D1094" s="31"/>
      <c r="E1094" s="43"/>
      <c r="G1094" s="42"/>
      <c r="H1094" s="31"/>
      <c r="I1094" s="31"/>
      <c r="J1094" s="31"/>
      <c r="K1094" s="43"/>
    </row>
    <row r="1096" spans="1:11" x14ac:dyDescent="0.2">
      <c r="A1096" s="34"/>
      <c r="B1096" s="35"/>
      <c r="C1096" s="35"/>
      <c r="D1096" s="35"/>
      <c r="E1096" s="36"/>
      <c r="G1096" s="34"/>
      <c r="H1096" s="35"/>
      <c r="I1096" s="35"/>
      <c r="J1096" s="35"/>
      <c r="K1096" s="36"/>
    </row>
    <row r="1097" spans="1:11" ht="13.5" x14ac:dyDescent="0.25">
      <c r="A1097" s="146" t="s">
        <v>232</v>
      </c>
      <c r="B1097" s="147"/>
      <c r="C1097" s="147"/>
      <c r="D1097" s="147"/>
      <c r="E1097" s="148"/>
      <c r="G1097" s="146" t="s">
        <v>232</v>
      </c>
      <c r="H1097" s="147"/>
      <c r="I1097" s="147"/>
      <c r="J1097" s="147"/>
      <c r="K1097" s="148"/>
    </row>
    <row r="1098" spans="1:11" x14ac:dyDescent="0.2">
      <c r="A1098" s="37"/>
      <c r="B1098" s="2"/>
      <c r="C1098" s="2"/>
      <c r="D1098" s="2"/>
      <c r="E1098" s="38"/>
      <c r="G1098" s="39"/>
      <c r="H1098" s="2"/>
      <c r="I1098" s="2"/>
      <c r="J1098" s="2"/>
      <c r="K1098" s="38"/>
    </row>
    <row r="1099" spans="1:11" x14ac:dyDescent="0.2">
      <c r="A1099" s="39"/>
      <c r="B1099" s="2" t="s">
        <v>228</v>
      </c>
      <c r="C1099" s="1" t="s">
        <v>231</v>
      </c>
      <c r="D1099" s="40">
        <f>'Rekap SHU dan Jasa Simpanan'!B187</f>
        <v>272</v>
      </c>
      <c r="E1099" s="38"/>
      <c r="G1099" s="39"/>
      <c r="H1099" s="2" t="s">
        <v>228</v>
      </c>
      <c r="I1099" s="1" t="s">
        <v>231</v>
      </c>
      <c r="J1099" s="40">
        <f>'Rekap SHU dan Jasa Simpanan'!B188</f>
        <v>273</v>
      </c>
      <c r="K1099" s="38"/>
    </row>
    <row r="1100" spans="1:11" x14ac:dyDescent="0.2">
      <c r="A1100" s="39"/>
      <c r="B1100" s="2" t="s">
        <v>229</v>
      </c>
      <c r="C1100" s="1" t="s">
        <v>231</v>
      </c>
      <c r="D1100" s="7" t="str">
        <f>'Rekap SHU dan Jasa Simpanan'!C187</f>
        <v xml:space="preserve"> Bpk. Sambasi</v>
      </c>
      <c r="E1100" s="38"/>
      <c r="G1100" s="39"/>
      <c r="H1100" s="2" t="s">
        <v>229</v>
      </c>
      <c r="I1100" s="1" t="s">
        <v>231</v>
      </c>
      <c r="J1100" s="2" t="str">
        <f>'Rekap SHU dan Jasa Simpanan'!C188</f>
        <v xml:space="preserve"> Ibu Sambasi</v>
      </c>
      <c r="K1100" s="38"/>
    </row>
    <row r="1101" spans="1:11" x14ac:dyDescent="0.2">
      <c r="A1101" s="39"/>
      <c r="B1101" s="2" t="s">
        <v>221</v>
      </c>
      <c r="C1101" s="1" t="s">
        <v>231</v>
      </c>
      <c r="D1101" s="41">
        <f>'Rekap SHU dan Jasa Simpanan'!BD187</f>
        <v>112600</v>
      </c>
      <c r="E1101" s="38"/>
      <c r="G1101" s="39"/>
      <c r="H1101" s="2" t="s">
        <v>221</v>
      </c>
      <c r="I1101" s="1" t="s">
        <v>231</v>
      </c>
      <c r="J1101" s="41">
        <f>'Rekap SHU dan Jasa Simpanan'!BD188</f>
        <v>107100</v>
      </c>
      <c r="K1101" s="38"/>
    </row>
    <row r="1102" spans="1:11" x14ac:dyDescent="0.2">
      <c r="A1102" s="39"/>
      <c r="B1102" s="2" t="s">
        <v>223</v>
      </c>
      <c r="C1102" s="1" t="s">
        <v>231</v>
      </c>
      <c r="D1102" s="41">
        <f>'Rekap SHU dan Jasa Simpanan'!BQ187</f>
        <v>106110.10397777946</v>
      </c>
      <c r="E1102" s="38"/>
      <c r="G1102" s="39"/>
      <c r="H1102" s="2" t="s">
        <v>223</v>
      </c>
      <c r="I1102" s="1" t="s">
        <v>231</v>
      </c>
      <c r="J1102" s="41">
        <f>'Rekap SHU dan Jasa Simpanan'!BQ188</f>
        <v>132737.60242625704</v>
      </c>
      <c r="K1102" s="38"/>
    </row>
    <row r="1103" spans="1:11" x14ac:dyDescent="0.2">
      <c r="A1103" s="39"/>
      <c r="B1103" s="10" t="s">
        <v>224</v>
      </c>
      <c r="C1103" s="1" t="s">
        <v>231</v>
      </c>
      <c r="D1103" s="41">
        <f>'Rekap SHU dan Jasa Simpanan'!BR187</f>
        <v>0</v>
      </c>
      <c r="E1103" s="38"/>
      <c r="G1103" s="39"/>
      <c r="H1103" s="10" t="s">
        <v>224</v>
      </c>
      <c r="I1103" s="1" t="s">
        <v>231</v>
      </c>
      <c r="J1103" s="41">
        <f>'Rekap SHU dan Jasa Simpanan'!BR188</f>
        <v>0</v>
      </c>
      <c r="K1103" s="38"/>
    </row>
    <row r="1104" spans="1:11" x14ac:dyDescent="0.2">
      <c r="A1104" s="42"/>
      <c r="B1104" s="31" t="s">
        <v>230</v>
      </c>
      <c r="C1104" s="32" t="s">
        <v>231</v>
      </c>
      <c r="D1104" s="33">
        <v>0</v>
      </c>
      <c r="E1104" s="43"/>
      <c r="G1104" s="39"/>
      <c r="H1104" s="31" t="s">
        <v>230</v>
      </c>
      <c r="I1104" s="32" t="s">
        <v>231</v>
      </c>
      <c r="J1104" s="33">
        <v>0</v>
      </c>
      <c r="K1104" s="43"/>
    </row>
    <row r="1105" spans="1:11" x14ac:dyDescent="0.2">
      <c r="A1105" s="39"/>
      <c r="B1105" s="1" t="s">
        <v>5</v>
      </c>
      <c r="C1105" s="2"/>
      <c r="D1105" s="41">
        <f>SUM(D1101:D1104)</f>
        <v>218710.10397777945</v>
      </c>
      <c r="E1105" s="38"/>
      <c r="G1105" s="44"/>
      <c r="H1105" s="1" t="s">
        <v>5</v>
      </c>
      <c r="I1105" s="2"/>
      <c r="J1105" s="41">
        <f>SUM(J1101:J1104)</f>
        <v>239837.60242625704</v>
      </c>
      <c r="K1105" s="38"/>
    </row>
    <row r="1106" spans="1:11" x14ac:dyDescent="0.2">
      <c r="A1106" s="42"/>
      <c r="B1106" s="31"/>
      <c r="C1106" s="31"/>
      <c r="D1106" s="31"/>
      <c r="E1106" s="43"/>
      <c r="G1106" s="42"/>
      <c r="H1106" s="31"/>
      <c r="I1106" s="31"/>
      <c r="J1106" s="31"/>
      <c r="K1106" s="43"/>
    </row>
    <row r="1108" spans="1:11" x14ac:dyDescent="0.2">
      <c r="A1108" s="34"/>
      <c r="B1108" s="35"/>
      <c r="C1108" s="35"/>
      <c r="D1108" s="35"/>
      <c r="E1108" s="36"/>
      <c r="G1108" s="34"/>
      <c r="H1108" s="35"/>
      <c r="I1108" s="35"/>
      <c r="J1108" s="35"/>
      <c r="K1108" s="36"/>
    </row>
    <row r="1109" spans="1:11" ht="13.5" x14ac:dyDescent="0.25">
      <c r="A1109" s="146" t="s">
        <v>232</v>
      </c>
      <c r="B1109" s="147"/>
      <c r="C1109" s="147"/>
      <c r="D1109" s="147"/>
      <c r="E1109" s="148"/>
      <c r="G1109" s="146" t="s">
        <v>232</v>
      </c>
      <c r="H1109" s="147"/>
      <c r="I1109" s="147"/>
      <c r="J1109" s="147"/>
      <c r="K1109" s="148"/>
    </row>
    <row r="1110" spans="1:11" x14ac:dyDescent="0.2">
      <c r="A1110" s="37"/>
      <c r="B1110" s="2"/>
      <c r="C1110" s="2"/>
      <c r="D1110" s="2"/>
      <c r="E1110" s="38"/>
      <c r="G1110" s="39"/>
      <c r="H1110" s="2"/>
      <c r="I1110" s="2"/>
      <c r="J1110" s="2"/>
      <c r="K1110" s="38"/>
    </row>
    <row r="1111" spans="1:11" x14ac:dyDescent="0.2">
      <c r="A1111" s="39"/>
      <c r="B1111" s="2" t="s">
        <v>228</v>
      </c>
      <c r="C1111" s="1" t="s">
        <v>231</v>
      </c>
      <c r="D1111" s="40">
        <f>'Rekap SHU dan Jasa Simpanan'!B189</f>
        <v>274</v>
      </c>
      <c r="E1111" s="38"/>
      <c r="G1111" s="39"/>
      <c r="H1111" s="2" t="s">
        <v>228</v>
      </c>
      <c r="I1111" s="1" t="s">
        <v>231</v>
      </c>
      <c r="J1111" s="40">
        <f>'Rekap SHU dan Jasa Simpanan'!B190</f>
        <v>275</v>
      </c>
      <c r="K1111" s="38"/>
    </row>
    <row r="1112" spans="1:11" x14ac:dyDescent="0.2">
      <c r="A1112" s="39"/>
      <c r="B1112" s="2" t="s">
        <v>229</v>
      </c>
      <c r="C1112" s="1" t="s">
        <v>231</v>
      </c>
      <c r="D1112" s="7" t="str">
        <f>'Rekap SHU dan Jasa Simpanan'!C189</f>
        <v xml:space="preserve"> Hedi Mulyadi</v>
      </c>
      <c r="E1112" s="38"/>
      <c r="G1112" s="39"/>
      <c r="H1112" s="2" t="s">
        <v>229</v>
      </c>
      <c r="I1112" s="1" t="s">
        <v>231</v>
      </c>
      <c r="J1112" s="2" t="str">
        <f>'Rekap SHU dan Jasa Simpanan'!C190</f>
        <v xml:space="preserve"> Dani Rijatnika</v>
      </c>
      <c r="K1112" s="38"/>
    </row>
    <row r="1113" spans="1:11" x14ac:dyDescent="0.2">
      <c r="A1113" s="39"/>
      <c r="B1113" s="2" t="s">
        <v>221</v>
      </c>
      <c r="C1113" s="1" t="s">
        <v>231</v>
      </c>
      <c r="D1113" s="41">
        <f>'Rekap SHU dan Jasa Simpanan'!BD189</f>
        <v>34950</v>
      </c>
      <c r="E1113" s="38"/>
      <c r="G1113" s="39"/>
      <c r="H1113" s="2" t="s">
        <v>221</v>
      </c>
      <c r="I1113" s="1" t="s">
        <v>231</v>
      </c>
      <c r="J1113" s="41">
        <f>'Rekap SHU dan Jasa Simpanan'!BD190</f>
        <v>124000</v>
      </c>
      <c r="K1113" s="38"/>
    </row>
    <row r="1114" spans="1:11" x14ac:dyDescent="0.2">
      <c r="A1114" s="39"/>
      <c r="B1114" s="2" t="s">
        <v>223</v>
      </c>
      <c r="C1114" s="1" t="s">
        <v>231</v>
      </c>
      <c r="D1114" s="41">
        <f>'Rekap SHU dan Jasa Simpanan'!BQ189</f>
        <v>73657.876236231619</v>
      </c>
      <c r="E1114" s="38"/>
      <c r="G1114" s="39"/>
      <c r="H1114" s="2" t="s">
        <v>223</v>
      </c>
      <c r="I1114" s="1" t="s">
        <v>231</v>
      </c>
      <c r="J1114" s="41">
        <f>'Rekap SHU dan Jasa Simpanan'!BQ190</f>
        <v>171385.84460286493</v>
      </c>
      <c r="K1114" s="38"/>
    </row>
    <row r="1115" spans="1:11" x14ac:dyDescent="0.2">
      <c r="A1115" s="39"/>
      <c r="B1115" s="10" t="s">
        <v>224</v>
      </c>
      <c r="C1115" s="1" t="s">
        <v>231</v>
      </c>
      <c r="D1115" s="41">
        <f>'Rekap SHU dan Jasa Simpanan'!BR189</f>
        <v>196549.17656257635</v>
      </c>
      <c r="E1115" s="38"/>
      <c r="G1115" s="39"/>
      <c r="H1115" s="10" t="s">
        <v>224</v>
      </c>
      <c r="I1115" s="1" t="s">
        <v>231</v>
      </c>
      <c r="J1115" s="41">
        <f>'Rekap SHU dan Jasa Simpanan'!BR190</f>
        <v>196549.17656257635</v>
      </c>
      <c r="K1115" s="38"/>
    </row>
    <row r="1116" spans="1:11" x14ac:dyDescent="0.2">
      <c r="A1116" s="42"/>
      <c r="B1116" s="31" t="s">
        <v>230</v>
      </c>
      <c r="C1116" s="32" t="s">
        <v>231</v>
      </c>
      <c r="D1116" s="33">
        <v>0</v>
      </c>
      <c r="E1116" s="43"/>
      <c r="G1116" s="39"/>
      <c r="H1116" s="31" t="s">
        <v>230</v>
      </c>
      <c r="I1116" s="32" t="s">
        <v>231</v>
      </c>
      <c r="J1116" s="33">
        <v>0</v>
      </c>
      <c r="K1116" s="43"/>
    </row>
    <row r="1117" spans="1:11" x14ac:dyDescent="0.2">
      <c r="A1117" s="39"/>
      <c r="B1117" s="1" t="s">
        <v>5</v>
      </c>
      <c r="C1117" s="2"/>
      <c r="D1117" s="41">
        <f>SUM(D1113:D1116)</f>
        <v>305157.05279880797</v>
      </c>
      <c r="E1117" s="38"/>
      <c r="G1117" s="44"/>
      <c r="H1117" s="1" t="s">
        <v>5</v>
      </c>
      <c r="I1117" s="2"/>
      <c r="J1117" s="41">
        <f>SUM(J1113:J1116)</f>
        <v>491935.02116544126</v>
      </c>
      <c r="K1117" s="38"/>
    </row>
    <row r="1118" spans="1:11" x14ac:dyDescent="0.2">
      <c r="A1118" s="42"/>
      <c r="B1118" s="31"/>
      <c r="C1118" s="31"/>
      <c r="D1118" s="31"/>
      <c r="E1118" s="43"/>
      <c r="G1118" s="42"/>
      <c r="H1118" s="31"/>
      <c r="I1118" s="31"/>
      <c r="J1118" s="31"/>
      <c r="K1118" s="43"/>
    </row>
    <row r="1120" spans="1:11" x14ac:dyDescent="0.2">
      <c r="A1120" s="34"/>
      <c r="B1120" s="35"/>
      <c r="C1120" s="35"/>
      <c r="D1120" s="35"/>
      <c r="E1120" s="36"/>
      <c r="G1120" s="34"/>
      <c r="H1120" s="35"/>
      <c r="I1120" s="35"/>
      <c r="J1120" s="35"/>
      <c r="K1120" s="36"/>
    </row>
    <row r="1121" spans="1:11" ht="13.5" x14ac:dyDescent="0.25">
      <c r="A1121" s="146" t="s">
        <v>232</v>
      </c>
      <c r="B1121" s="147"/>
      <c r="C1121" s="147"/>
      <c r="D1121" s="147"/>
      <c r="E1121" s="148"/>
      <c r="G1121" s="146" t="s">
        <v>232</v>
      </c>
      <c r="H1121" s="147"/>
      <c r="I1121" s="147"/>
      <c r="J1121" s="147"/>
      <c r="K1121" s="148"/>
    </row>
    <row r="1122" spans="1:11" x14ac:dyDescent="0.2">
      <c r="A1122" s="37"/>
      <c r="B1122" s="2"/>
      <c r="C1122" s="2"/>
      <c r="D1122" s="2"/>
      <c r="E1122" s="38"/>
      <c r="G1122" s="39"/>
      <c r="H1122" s="2"/>
      <c r="I1122" s="2"/>
      <c r="J1122" s="2"/>
      <c r="K1122" s="38"/>
    </row>
    <row r="1123" spans="1:11" x14ac:dyDescent="0.2">
      <c r="A1123" s="39"/>
      <c r="B1123" s="2" t="s">
        <v>228</v>
      </c>
      <c r="C1123" s="1" t="s">
        <v>231</v>
      </c>
      <c r="D1123" s="40">
        <f>'Rekap SHU dan Jasa Simpanan'!B191</f>
        <v>276</v>
      </c>
      <c r="E1123" s="38"/>
      <c r="G1123" s="39"/>
      <c r="H1123" s="2" t="s">
        <v>228</v>
      </c>
      <c r="I1123" s="1" t="s">
        <v>231</v>
      </c>
      <c r="J1123" s="40">
        <f>'Rekap SHU dan Jasa Simpanan'!B192</f>
        <v>277</v>
      </c>
      <c r="K1123" s="38"/>
    </row>
    <row r="1124" spans="1:11" x14ac:dyDescent="0.2">
      <c r="A1124" s="39"/>
      <c r="B1124" s="2" t="s">
        <v>229</v>
      </c>
      <c r="C1124" s="1" t="s">
        <v>231</v>
      </c>
      <c r="D1124" s="7" t="str">
        <f>'Rekap SHU dan Jasa Simpanan'!C191</f>
        <v xml:space="preserve"> Aditia Permana</v>
      </c>
      <c r="E1124" s="38"/>
      <c r="G1124" s="39"/>
      <c r="H1124" s="2" t="s">
        <v>229</v>
      </c>
      <c r="I1124" s="1" t="s">
        <v>231</v>
      </c>
      <c r="J1124" s="2" t="str">
        <f>'Rekap SHU dan Jasa Simpanan'!C192</f>
        <v xml:space="preserve"> Tafsir</v>
      </c>
      <c r="K1124" s="38"/>
    </row>
    <row r="1125" spans="1:11" x14ac:dyDescent="0.2">
      <c r="A1125" s="39"/>
      <c r="B1125" s="2" t="s">
        <v>221</v>
      </c>
      <c r="C1125" s="1" t="s">
        <v>231</v>
      </c>
      <c r="D1125" s="41">
        <f>'Rekap SHU dan Jasa Simpanan'!BD191</f>
        <v>31000</v>
      </c>
      <c r="E1125" s="38"/>
      <c r="G1125" s="39"/>
      <c r="H1125" s="2" t="s">
        <v>221</v>
      </c>
      <c r="I1125" s="1" t="s">
        <v>231</v>
      </c>
      <c r="J1125" s="41">
        <f>'Rekap SHU dan Jasa Simpanan'!BD192</f>
        <v>35000</v>
      </c>
      <c r="K1125" s="38"/>
    </row>
    <row r="1126" spans="1:11" x14ac:dyDescent="0.2">
      <c r="A1126" s="39"/>
      <c r="B1126" s="2" t="s">
        <v>223</v>
      </c>
      <c r="C1126" s="1" t="s">
        <v>231</v>
      </c>
      <c r="D1126" s="41">
        <f>'Rekap SHU dan Jasa Simpanan'!BQ191</f>
        <v>67006.224436192075</v>
      </c>
      <c r="E1126" s="38"/>
      <c r="G1126" s="39"/>
      <c r="H1126" s="2" t="s">
        <v>223</v>
      </c>
      <c r="I1126" s="1" t="s">
        <v>231</v>
      </c>
      <c r="J1126" s="41">
        <f>'Rekap SHU dan Jasa Simpanan'!BQ192</f>
        <v>70885.960682422781</v>
      </c>
      <c r="K1126" s="38"/>
    </row>
    <row r="1127" spans="1:11" x14ac:dyDescent="0.2">
      <c r="A1127" s="39"/>
      <c r="B1127" s="10" t="s">
        <v>224</v>
      </c>
      <c r="C1127" s="1" t="s">
        <v>231</v>
      </c>
      <c r="D1127" s="41">
        <f>'Rekap SHU dan Jasa Simpanan'!BR191</f>
        <v>196549.17656257635</v>
      </c>
      <c r="E1127" s="38"/>
      <c r="G1127" s="39"/>
      <c r="H1127" s="10" t="s">
        <v>224</v>
      </c>
      <c r="I1127" s="1" t="s">
        <v>231</v>
      </c>
      <c r="J1127" s="41">
        <f>'Rekap SHU dan Jasa Simpanan'!BR192</f>
        <v>196549.17656257635</v>
      </c>
      <c r="K1127" s="38"/>
    </row>
    <row r="1128" spans="1:11" x14ac:dyDescent="0.2">
      <c r="A1128" s="42"/>
      <c r="B1128" s="31" t="s">
        <v>230</v>
      </c>
      <c r="C1128" s="32" t="s">
        <v>231</v>
      </c>
      <c r="D1128" s="33">
        <v>0</v>
      </c>
      <c r="E1128" s="43"/>
      <c r="G1128" s="39"/>
      <c r="H1128" s="31" t="s">
        <v>230</v>
      </c>
      <c r="I1128" s="32" t="s">
        <v>231</v>
      </c>
      <c r="J1128" s="33">
        <v>0</v>
      </c>
      <c r="K1128" s="43"/>
    </row>
    <row r="1129" spans="1:11" x14ac:dyDescent="0.2">
      <c r="A1129" s="39"/>
      <c r="B1129" s="1" t="s">
        <v>5</v>
      </c>
      <c r="C1129" s="2"/>
      <c r="D1129" s="41">
        <f>SUM(D1125:D1128)</f>
        <v>294555.4009987684</v>
      </c>
      <c r="E1129" s="38"/>
      <c r="G1129" s="44"/>
      <c r="H1129" s="1" t="s">
        <v>5</v>
      </c>
      <c r="I1129" s="2"/>
      <c r="J1129" s="41">
        <f>SUM(J1125:J1128)</f>
        <v>302435.13724499912</v>
      </c>
      <c r="K1129" s="38"/>
    </row>
    <row r="1130" spans="1:11" x14ac:dyDescent="0.2">
      <c r="A1130" s="42"/>
      <c r="B1130" s="31"/>
      <c r="C1130" s="31"/>
      <c r="D1130" s="31"/>
      <c r="E1130" s="43"/>
      <c r="G1130" s="42"/>
      <c r="H1130" s="31"/>
      <c r="I1130" s="31"/>
      <c r="J1130" s="31"/>
      <c r="K1130" s="43"/>
    </row>
    <row r="1135" spans="1:11" x14ac:dyDescent="0.2">
      <c r="A1135" s="34"/>
      <c r="B1135" s="35"/>
      <c r="C1135" s="35"/>
      <c r="D1135" s="35"/>
      <c r="E1135" s="36"/>
      <c r="G1135" s="34"/>
      <c r="H1135" s="35"/>
      <c r="I1135" s="35"/>
      <c r="J1135" s="35"/>
      <c r="K1135" s="36"/>
    </row>
    <row r="1136" spans="1:11" ht="13.5" x14ac:dyDescent="0.25">
      <c r="A1136" s="146" t="s">
        <v>232</v>
      </c>
      <c r="B1136" s="147"/>
      <c r="C1136" s="147"/>
      <c r="D1136" s="147"/>
      <c r="E1136" s="148"/>
      <c r="G1136" s="146" t="s">
        <v>232</v>
      </c>
      <c r="H1136" s="147"/>
      <c r="I1136" s="147"/>
      <c r="J1136" s="147"/>
      <c r="K1136" s="148"/>
    </row>
    <row r="1137" spans="1:11" x14ac:dyDescent="0.2">
      <c r="A1137" s="37"/>
      <c r="B1137" s="2"/>
      <c r="C1137" s="2"/>
      <c r="D1137" s="2"/>
      <c r="E1137" s="38"/>
      <c r="G1137" s="39"/>
      <c r="H1137" s="2"/>
      <c r="I1137" s="2"/>
      <c r="J1137" s="2"/>
      <c r="K1137" s="38"/>
    </row>
    <row r="1138" spans="1:11" x14ac:dyDescent="0.2">
      <c r="A1138" s="39"/>
      <c r="B1138" s="2" t="s">
        <v>228</v>
      </c>
      <c r="C1138" s="1" t="s">
        <v>231</v>
      </c>
      <c r="D1138" s="40">
        <f>'Rekap SHU dan Jasa Simpanan'!B193</f>
        <v>278</v>
      </c>
      <c r="E1138" s="38"/>
      <c r="G1138" s="39"/>
      <c r="H1138" s="2" t="s">
        <v>228</v>
      </c>
      <c r="I1138" s="1" t="s">
        <v>231</v>
      </c>
      <c r="J1138" s="40">
        <f>'Rekap SHU dan Jasa Simpanan'!B130</f>
        <v>215</v>
      </c>
      <c r="K1138" s="38"/>
    </row>
    <row r="1139" spans="1:11" x14ac:dyDescent="0.2">
      <c r="A1139" s="39"/>
      <c r="B1139" s="2" t="s">
        <v>229</v>
      </c>
      <c r="C1139" s="1" t="s">
        <v>231</v>
      </c>
      <c r="D1139" s="7" t="str">
        <f>'Rekap SHU dan Jasa Simpanan'!C193</f>
        <v xml:space="preserve"> Rahmat Hidayat</v>
      </c>
      <c r="E1139" s="38"/>
      <c r="G1139" s="39"/>
      <c r="H1139" s="2" t="s">
        <v>229</v>
      </c>
      <c r="I1139" s="1" t="s">
        <v>231</v>
      </c>
      <c r="J1139" s="2" t="str">
        <f>'Rekap SHU dan Jasa Simpanan'!C130</f>
        <v xml:space="preserve"> Maman Somantri</v>
      </c>
      <c r="K1139" s="38"/>
    </row>
    <row r="1140" spans="1:11" x14ac:dyDescent="0.2">
      <c r="A1140" s="39"/>
      <c r="B1140" s="2" t="s">
        <v>221</v>
      </c>
      <c r="C1140" s="1" t="s">
        <v>231</v>
      </c>
      <c r="D1140" s="41">
        <f>'Rekap SHU dan Jasa Simpanan'!BD193</f>
        <v>24425</v>
      </c>
      <c r="E1140" s="38"/>
      <c r="G1140" s="39"/>
      <c r="H1140" s="2" t="s">
        <v>221</v>
      </c>
      <c r="I1140" s="1" t="s">
        <v>231</v>
      </c>
      <c r="J1140" s="41">
        <f>'Rekap SHU dan Jasa Simpanan'!BD130</f>
        <v>60400</v>
      </c>
      <c r="K1140" s="38"/>
    </row>
    <row r="1141" spans="1:11" x14ac:dyDescent="0.2">
      <c r="A1141" s="39"/>
      <c r="B1141" s="2" t="s">
        <v>223</v>
      </c>
      <c r="C1141" s="1" t="s">
        <v>231</v>
      </c>
      <c r="D1141" s="41">
        <f>'Rekap SHU dan Jasa Simpanan'!BQ193</f>
        <v>60364.441908306784</v>
      </c>
      <c r="E1141" s="38"/>
      <c r="G1141" s="39"/>
      <c r="H1141" s="2" t="s">
        <v>223</v>
      </c>
      <c r="I1141" s="1" t="s">
        <v>231</v>
      </c>
      <c r="J1141" s="41">
        <f>'Rekap SHU dan Jasa Simpanan'!BQ130</f>
        <v>186080.72746522722</v>
      </c>
      <c r="K1141" s="38"/>
    </row>
    <row r="1142" spans="1:11" x14ac:dyDescent="0.2">
      <c r="A1142" s="39"/>
      <c r="B1142" s="10" t="s">
        <v>224</v>
      </c>
      <c r="C1142" s="1" t="s">
        <v>231</v>
      </c>
      <c r="D1142" s="41">
        <f>'Rekap SHU dan Jasa Simpanan'!BR193</f>
        <v>196549.17656257635</v>
      </c>
      <c r="E1142" s="38"/>
      <c r="G1142" s="39"/>
      <c r="H1142" s="10" t="s">
        <v>224</v>
      </c>
      <c r="I1142" s="1" t="s">
        <v>231</v>
      </c>
      <c r="J1142" s="41">
        <f>'Rekap SHU dan Jasa Simpanan'!BR130</f>
        <v>393098.3531251527</v>
      </c>
      <c r="K1142" s="38"/>
    </row>
    <row r="1143" spans="1:11" x14ac:dyDescent="0.2">
      <c r="A1143" s="42"/>
      <c r="B1143" s="31" t="s">
        <v>230</v>
      </c>
      <c r="C1143" s="32" t="s">
        <v>231</v>
      </c>
      <c r="D1143" s="33">
        <v>0</v>
      </c>
      <c r="E1143" s="43"/>
      <c r="G1143" s="39"/>
      <c r="H1143" s="31" t="s">
        <v>230</v>
      </c>
      <c r="I1143" s="32" t="s">
        <v>231</v>
      </c>
      <c r="J1143" s="33">
        <v>50000</v>
      </c>
      <c r="K1143" s="43"/>
    </row>
    <row r="1144" spans="1:11" x14ac:dyDescent="0.2">
      <c r="A1144" s="39"/>
      <c r="B1144" s="1" t="s">
        <v>5</v>
      </c>
      <c r="C1144" s="2"/>
      <c r="D1144" s="41">
        <f>SUM(D1140:D1143)</f>
        <v>281338.61847088311</v>
      </c>
      <c r="E1144" s="38"/>
      <c r="G1144" s="44"/>
      <c r="H1144" s="1" t="s">
        <v>5</v>
      </c>
      <c r="I1144" s="2"/>
      <c r="J1144" s="41">
        <f>SUM(J1140:J1143)</f>
        <v>689579.08059037989</v>
      </c>
      <c r="K1144" s="38"/>
    </row>
    <row r="1145" spans="1:11" x14ac:dyDescent="0.2">
      <c r="A1145" s="42"/>
      <c r="B1145" s="31"/>
      <c r="C1145" s="31"/>
      <c r="D1145" s="31"/>
      <c r="E1145" s="43"/>
      <c r="G1145" s="42"/>
      <c r="H1145" s="31"/>
      <c r="I1145" s="31"/>
      <c r="J1145" s="31"/>
      <c r="K1145" s="43"/>
    </row>
    <row r="1147" spans="1:11" x14ac:dyDescent="0.2">
      <c r="A1147" s="34"/>
      <c r="B1147" s="35"/>
      <c r="C1147" s="35"/>
      <c r="D1147" s="35"/>
      <c r="E1147" s="36"/>
      <c r="G1147" s="34"/>
      <c r="H1147" s="35"/>
      <c r="I1147" s="35"/>
      <c r="J1147" s="35"/>
      <c r="K1147" s="36"/>
    </row>
    <row r="1148" spans="1:11" ht="13.5" x14ac:dyDescent="0.25">
      <c r="A1148" s="146" t="s">
        <v>232</v>
      </c>
      <c r="B1148" s="147"/>
      <c r="C1148" s="147"/>
      <c r="D1148" s="147"/>
      <c r="E1148" s="148"/>
      <c r="G1148" s="146" t="s">
        <v>232</v>
      </c>
      <c r="H1148" s="147"/>
      <c r="I1148" s="147"/>
      <c r="J1148" s="147"/>
      <c r="K1148" s="148"/>
    </row>
    <row r="1149" spans="1:11" x14ac:dyDescent="0.2">
      <c r="A1149" s="37"/>
      <c r="B1149" s="2"/>
      <c r="C1149" s="2"/>
      <c r="D1149" s="2"/>
      <c r="E1149" s="38"/>
      <c r="G1149" s="39"/>
      <c r="H1149" s="2"/>
      <c r="I1149" s="2"/>
      <c r="J1149" s="2"/>
      <c r="K1149" s="38"/>
    </row>
    <row r="1150" spans="1:11" x14ac:dyDescent="0.2">
      <c r="A1150" s="39"/>
      <c r="B1150" s="2" t="s">
        <v>228</v>
      </c>
      <c r="C1150" s="1" t="s">
        <v>231</v>
      </c>
      <c r="D1150" s="40">
        <f xml:space="preserve">   'Rekap SHU dan Jasa Simpanan'!B194</f>
        <v>279</v>
      </c>
      <c r="E1150" s="38"/>
      <c r="G1150" s="39"/>
      <c r="H1150" s="2" t="s">
        <v>228</v>
      </c>
      <c r="I1150" s="1" t="s">
        <v>231</v>
      </c>
      <c r="J1150" s="40">
        <f>'Rekap SHU dan Jasa Simpanan'!B195</f>
        <v>280</v>
      </c>
      <c r="K1150" s="38"/>
    </row>
    <row r="1151" spans="1:11" x14ac:dyDescent="0.2">
      <c r="A1151" s="39"/>
      <c r="B1151" s="2" t="s">
        <v>229</v>
      </c>
      <c r="C1151" s="1" t="s">
        <v>231</v>
      </c>
      <c r="D1151" s="2" t="str">
        <f>'Rekap SHU dan Jasa Simpanan'!C194</f>
        <v xml:space="preserve"> Sandi Prayoga</v>
      </c>
      <c r="E1151" s="38"/>
      <c r="G1151" s="39"/>
      <c r="H1151" s="2" t="s">
        <v>229</v>
      </c>
      <c r="I1151" s="1" t="s">
        <v>231</v>
      </c>
      <c r="J1151" s="2" t="str">
        <f>'Rekap SHU dan Jasa Simpanan'!C195</f>
        <v>Puloh Saepuloh</v>
      </c>
      <c r="K1151" s="38"/>
    </row>
    <row r="1152" spans="1:11" x14ac:dyDescent="0.2">
      <c r="A1152" s="39"/>
      <c r="B1152" s="2" t="s">
        <v>221</v>
      </c>
      <c r="C1152" s="1" t="s">
        <v>231</v>
      </c>
      <c r="D1152" s="41">
        <f>'Rekap SHU dan Jasa Simpanan'!BD194</f>
        <v>63500</v>
      </c>
      <c r="E1152" s="38"/>
      <c r="G1152" s="39"/>
      <c r="H1152" s="2" t="s">
        <v>221</v>
      </c>
      <c r="I1152" s="1" t="s">
        <v>231</v>
      </c>
      <c r="J1152" s="41">
        <f>'Rekap SHU dan Jasa Simpanan'!BD195</f>
        <v>83750</v>
      </c>
      <c r="K1152" s="38"/>
    </row>
    <row r="1153" spans="1:11" x14ac:dyDescent="0.2">
      <c r="A1153" s="39"/>
      <c r="B1153" s="2" t="s">
        <v>223</v>
      </c>
      <c r="C1153" s="1" t="s">
        <v>231</v>
      </c>
      <c r="D1153" s="41">
        <f>'Rekap SHU dan Jasa Simpanan'!BQ194</f>
        <v>123062.9767995148</v>
      </c>
      <c r="E1153" s="38"/>
      <c r="G1153" s="39"/>
      <c r="H1153" s="2" t="s">
        <v>223</v>
      </c>
      <c r="I1153" s="1" t="s">
        <v>231</v>
      </c>
      <c r="J1153" s="41">
        <f>'Rekap SHU dan Jasa Simpanan'!BQ195</f>
        <v>140270.97422892781</v>
      </c>
      <c r="K1153" s="38"/>
    </row>
    <row r="1154" spans="1:11" x14ac:dyDescent="0.2">
      <c r="A1154" s="39"/>
      <c r="B1154" s="10" t="s">
        <v>224</v>
      </c>
      <c r="C1154" s="1" t="s">
        <v>231</v>
      </c>
      <c r="D1154" s="41">
        <f>'Rekap SHU dan Jasa Simpanan'!BR194</f>
        <v>114653.68632816954</v>
      </c>
      <c r="E1154" s="38"/>
      <c r="G1154" s="39"/>
      <c r="H1154" s="10" t="s">
        <v>224</v>
      </c>
      <c r="I1154" s="1" t="s">
        <v>231</v>
      </c>
      <c r="J1154" s="41">
        <f>'Rekap SHU dan Jasa Simpanan'!BR195</f>
        <v>39309.835312515272</v>
      </c>
      <c r="K1154" s="38"/>
    </row>
    <row r="1155" spans="1:11" x14ac:dyDescent="0.2">
      <c r="A1155" s="42"/>
      <c r="B1155" s="31" t="s">
        <v>230</v>
      </c>
      <c r="C1155" s="32" t="s">
        <v>231</v>
      </c>
      <c r="D1155" s="33">
        <v>0</v>
      </c>
      <c r="E1155" s="43"/>
      <c r="G1155" s="39"/>
      <c r="H1155" s="31" t="s">
        <v>230</v>
      </c>
      <c r="I1155" s="32" t="s">
        <v>231</v>
      </c>
      <c r="J1155" s="33">
        <v>50000</v>
      </c>
      <c r="K1155" s="43"/>
    </row>
    <row r="1156" spans="1:11" x14ac:dyDescent="0.2">
      <c r="A1156" s="39"/>
      <c r="B1156" s="1" t="s">
        <v>5</v>
      </c>
      <c r="C1156" s="2"/>
      <c r="D1156" s="41">
        <f>SUM(D1152:D1155)</f>
        <v>301216.66312768433</v>
      </c>
      <c r="E1156" s="38"/>
      <c r="G1156" s="44"/>
      <c r="H1156" s="1" t="s">
        <v>5</v>
      </c>
      <c r="I1156" s="2"/>
      <c r="J1156" s="41">
        <f>SUM(J1152:J1155)</f>
        <v>313330.80954144307</v>
      </c>
      <c r="K1156" s="38"/>
    </row>
    <row r="1157" spans="1:11" x14ac:dyDescent="0.2">
      <c r="A1157" s="42"/>
      <c r="B1157" s="31"/>
      <c r="C1157" s="31"/>
      <c r="D1157" s="31"/>
      <c r="E1157" s="43"/>
      <c r="G1157" s="42"/>
      <c r="H1157" s="31"/>
      <c r="I1157" s="31"/>
      <c r="J1157" s="31"/>
      <c r="K1157" s="43"/>
    </row>
    <row r="1159" spans="1:11" x14ac:dyDescent="0.2">
      <c r="A1159" s="34"/>
      <c r="B1159" s="35"/>
      <c r="C1159" s="35"/>
      <c r="D1159" s="35"/>
      <c r="E1159" s="36"/>
      <c r="G1159" s="34"/>
      <c r="H1159" s="35"/>
      <c r="I1159" s="35"/>
      <c r="J1159" s="35"/>
      <c r="K1159" s="36"/>
    </row>
    <row r="1160" spans="1:11" ht="13.5" x14ac:dyDescent="0.25">
      <c r="A1160" s="146" t="s">
        <v>232</v>
      </c>
      <c r="B1160" s="147"/>
      <c r="C1160" s="147"/>
      <c r="D1160" s="147"/>
      <c r="E1160" s="148"/>
      <c r="G1160" s="146" t="s">
        <v>232</v>
      </c>
      <c r="H1160" s="147"/>
      <c r="I1160" s="147"/>
      <c r="J1160" s="147"/>
      <c r="K1160" s="148"/>
    </row>
    <row r="1161" spans="1:11" x14ac:dyDescent="0.2">
      <c r="A1161" s="37"/>
      <c r="B1161" s="2"/>
      <c r="C1161" s="2"/>
      <c r="D1161" s="2"/>
      <c r="E1161" s="38"/>
      <c r="G1161" s="39"/>
      <c r="H1161" s="2"/>
      <c r="I1161" s="2"/>
      <c r="J1161" s="2"/>
      <c r="K1161" s="38"/>
    </row>
    <row r="1162" spans="1:11" x14ac:dyDescent="0.2">
      <c r="A1162" s="39"/>
      <c r="B1162" s="2" t="s">
        <v>228</v>
      </c>
      <c r="C1162" s="1" t="s">
        <v>231</v>
      </c>
      <c r="D1162" s="40">
        <f>'Rekap SHU dan Jasa Simpanan'!B196</f>
        <v>281</v>
      </c>
      <c r="E1162" s="38"/>
      <c r="G1162" s="39"/>
      <c r="H1162" s="2" t="s">
        <v>228</v>
      </c>
      <c r="I1162" s="1" t="s">
        <v>231</v>
      </c>
      <c r="J1162" s="40">
        <f>'Rekap SHU dan Jasa Simpanan'!B197</f>
        <v>282</v>
      </c>
      <c r="K1162" s="38"/>
    </row>
    <row r="1163" spans="1:11" x14ac:dyDescent="0.2">
      <c r="A1163" s="39"/>
      <c r="B1163" s="2" t="s">
        <v>229</v>
      </c>
      <c r="C1163" s="1" t="s">
        <v>231</v>
      </c>
      <c r="D1163" s="2" t="str">
        <f>'Rekap SHU dan Jasa Simpanan'!C196</f>
        <v>Eti Kusmiati</v>
      </c>
      <c r="E1163" s="38"/>
      <c r="G1163" s="39"/>
      <c r="H1163" s="2" t="s">
        <v>229</v>
      </c>
      <c r="I1163" s="1" t="s">
        <v>231</v>
      </c>
      <c r="J1163" s="2" t="str">
        <f>'Rekap SHU dan Jasa Simpanan'!C197</f>
        <v>Maman taman</v>
      </c>
      <c r="K1163" s="38"/>
    </row>
    <row r="1164" spans="1:11" x14ac:dyDescent="0.2">
      <c r="A1164" s="39"/>
      <c r="B1164" s="2" t="s">
        <v>221</v>
      </c>
      <c r="C1164" s="1" t="s">
        <v>231</v>
      </c>
      <c r="D1164" s="41">
        <f>'Rekap SHU dan Jasa Simpanan'!BD196</f>
        <v>128000</v>
      </c>
      <c r="E1164" s="38"/>
      <c r="G1164" s="39"/>
      <c r="H1164" s="2" t="s">
        <v>221</v>
      </c>
      <c r="I1164" s="1" t="s">
        <v>231</v>
      </c>
      <c r="J1164" s="41">
        <f>'Rekap SHU dan Jasa Simpanan'!BD197</f>
        <v>15500</v>
      </c>
      <c r="K1164" s="38"/>
    </row>
    <row r="1165" spans="1:11" x14ac:dyDescent="0.2">
      <c r="A1165" s="39"/>
      <c r="B1165" s="2" t="s">
        <v>223</v>
      </c>
      <c r="C1165" s="1" t="s">
        <v>231</v>
      </c>
      <c r="D1165" s="41">
        <f>'Rekap SHU dan Jasa Simpanan'!BQ196</f>
        <v>164005.24725162005</v>
      </c>
      <c r="E1165" s="38"/>
      <c r="G1165" s="39"/>
      <c r="H1165" s="2" t="s">
        <v>223</v>
      </c>
      <c r="I1165" s="1" t="s">
        <v>231</v>
      </c>
      <c r="J1165" s="41">
        <f>'Rekap SHU dan Jasa Simpanan'!BQ197</f>
        <v>42505.959934932813</v>
      </c>
      <c r="K1165" s="38"/>
    </row>
    <row r="1166" spans="1:11" x14ac:dyDescent="0.2">
      <c r="A1166" s="39"/>
      <c r="B1166" s="10" t="s">
        <v>224</v>
      </c>
      <c r="C1166" s="1" t="s">
        <v>231</v>
      </c>
      <c r="D1166" s="41">
        <f>'Rekap SHU dan Jasa Simpanan'!BR196</f>
        <v>0</v>
      </c>
      <c r="E1166" s="38"/>
      <c r="G1166" s="39"/>
      <c r="H1166" s="10" t="s">
        <v>224</v>
      </c>
      <c r="I1166" s="1" t="s">
        <v>231</v>
      </c>
      <c r="J1166" s="41">
        <f>'Rekap SHU dan Jasa Simpanan'!BR197</f>
        <v>98274.588281288175</v>
      </c>
      <c r="K1166" s="38"/>
    </row>
    <row r="1167" spans="1:11" x14ac:dyDescent="0.2">
      <c r="A1167" s="42"/>
      <c r="B1167" s="31" t="s">
        <v>230</v>
      </c>
      <c r="C1167" s="32" t="s">
        <v>231</v>
      </c>
      <c r="D1167" s="33">
        <v>0</v>
      </c>
      <c r="E1167" s="43"/>
      <c r="G1167" s="39"/>
      <c r="H1167" s="31" t="s">
        <v>230</v>
      </c>
      <c r="I1167" s="32" t="s">
        <v>231</v>
      </c>
      <c r="J1167" s="33">
        <v>0</v>
      </c>
      <c r="K1167" s="43"/>
    </row>
    <row r="1168" spans="1:11" x14ac:dyDescent="0.2">
      <c r="A1168" s="39"/>
      <c r="B1168" s="1" t="s">
        <v>5</v>
      </c>
      <c r="C1168" s="2"/>
      <c r="D1168" s="41">
        <f>SUM(D1164:D1167)</f>
        <v>292005.24725162005</v>
      </c>
      <c r="E1168" s="38"/>
      <c r="G1168" s="44"/>
      <c r="H1168" s="1" t="s">
        <v>5</v>
      </c>
      <c r="I1168" s="2"/>
      <c r="J1168" s="41">
        <f>SUM(J1164:J1167)</f>
        <v>156280.54821622098</v>
      </c>
      <c r="K1168" s="38"/>
    </row>
    <row r="1169" spans="1:11" x14ac:dyDescent="0.2">
      <c r="A1169" s="42"/>
      <c r="B1169" s="31"/>
      <c r="C1169" s="31"/>
      <c r="D1169" s="31"/>
      <c r="E1169" s="43"/>
      <c r="G1169" s="42"/>
      <c r="H1169" s="31"/>
      <c r="I1169" s="31"/>
      <c r="J1169" s="31"/>
      <c r="K1169" s="43"/>
    </row>
    <row r="1171" spans="1:11" x14ac:dyDescent="0.2">
      <c r="A1171" s="34"/>
      <c r="B1171" s="35"/>
      <c r="C1171" s="35"/>
      <c r="D1171" s="35"/>
      <c r="E1171" s="36"/>
      <c r="G1171" s="34"/>
      <c r="H1171" s="35"/>
      <c r="I1171" s="35"/>
      <c r="J1171" s="35"/>
      <c r="K1171" s="36"/>
    </row>
    <row r="1172" spans="1:11" ht="13.5" x14ac:dyDescent="0.25">
      <c r="A1172" s="146" t="s">
        <v>232</v>
      </c>
      <c r="B1172" s="147"/>
      <c r="C1172" s="147"/>
      <c r="D1172" s="147"/>
      <c r="E1172" s="148"/>
      <c r="G1172" s="146" t="s">
        <v>232</v>
      </c>
      <c r="H1172" s="147"/>
      <c r="I1172" s="147"/>
      <c r="J1172" s="147"/>
      <c r="K1172" s="148"/>
    </row>
    <row r="1173" spans="1:11" x14ac:dyDescent="0.2">
      <c r="A1173" s="37"/>
      <c r="B1173" s="2"/>
      <c r="C1173" s="2"/>
      <c r="D1173" s="2"/>
      <c r="E1173" s="38"/>
      <c r="G1173" s="39"/>
      <c r="H1173" s="2"/>
      <c r="I1173" s="2"/>
      <c r="J1173" s="2"/>
      <c r="K1173" s="38"/>
    </row>
    <row r="1174" spans="1:11" x14ac:dyDescent="0.2">
      <c r="A1174" s="39"/>
      <c r="B1174" s="2" t="s">
        <v>228</v>
      </c>
      <c r="C1174" s="1" t="s">
        <v>231</v>
      </c>
      <c r="D1174" s="40">
        <f>'Rekap SHU dan Jasa Simpanan'!B198</f>
        <v>283</v>
      </c>
      <c r="E1174" s="38"/>
      <c r="G1174" s="39"/>
      <c r="H1174" s="2" t="s">
        <v>228</v>
      </c>
      <c r="I1174" s="1" t="s">
        <v>231</v>
      </c>
      <c r="J1174" s="40">
        <f>'Rekap SHU dan Jasa Simpanan'!B199</f>
        <v>284</v>
      </c>
      <c r="K1174" s="38"/>
    </row>
    <row r="1175" spans="1:11" x14ac:dyDescent="0.2">
      <c r="A1175" s="39"/>
      <c r="B1175" s="2" t="s">
        <v>229</v>
      </c>
      <c r="C1175" s="1" t="s">
        <v>231</v>
      </c>
      <c r="D1175" s="7" t="str">
        <f>'Rekap SHU dan Jasa Simpanan'!C198</f>
        <v>Dani Ramdani</v>
      </c>
      <c r="E1175" s="38"/>
      <c r="G1175" s="39"/>
      <c r="H1175" s="2" t="s">
        <v>229</v>
      </c>
      <c r="I1175" s="1" t="s">
        <v>231</v>
      </c>
      <c r="J1175" s="2" t="str">
        <f>'Rekap SHU dan Jasa Simpanan'!C199</f>
        <v>Setia Darma</v>
      </c>
      <c r="K1175" s="38"/>
    </row>
    <row r="1176" spans="1:11" x14ac:dyDescent="0.2">
      <c r="A1176" s="39"/>
      <c r="B1176" s="2" t="s">
        <v>221</v>
      </c>
      <c r="C1176" s="1" t="s">
        <v>231</v>
      </c>
      <c r="D1176" s="41">
        <f>'Rekap SHU dan Jasa Simpanan'!BD198</f>
        <v>21550</v>
      </c>
      <c r="E1176" s="38"/>
      <c r="G1176" s="39"/>
      <c r="H1176" s="2" t="s">
        <v>221</v>
      </c>
      <c r="I1176" s="1" t="s">
        <v>231</v>
      </c>
      <c r="J1176" s="41">
        <f>'Rekap SHU dan Jasa Simpanan'!BD199</f>
        <v>64750</v>
      </c>
      <c r="K1176" s="38"/>
    </row>
    <row r="1177" spans="1:11" x14ac:dyDescent="0.2">
      <c r="A1177" s="39"/>
      <c r="B1177" s="2" t="s">
        <v>223</v>
      </c>
      <c r="C1177" s="1" t="s">
        <v>231</v>
      </c>
      <c r="D1177" s="41">
        <f>'Rekap SHU dan Jasa Simpanan'!BQ198</f>
        <v>47276.001417813321</v>
      </c>
      <c r="E1177" s="38"/>
      <c r="G1177" s="39"/>
      <c r="H1177" s="2" t="s">
        <v>223</v>
      </c>
      <c r="I1177" s="1" t="s">
        <v>231</v>
      </c>
      <c r="J1177" s="41">
        <f>'Rekap SHU dan Jasa Simpanan'!BQ199</f>
        <v>92597.620193579103</v>
      </c>
      <c r="K1177" s="38"/>
    </row>
    <row r="1178" spans="1:11" x14ac:dyDescent="0.2">
      <c r="A1178" s="39"/>
      <c r="B1178" s="10" t="s">
        <v>224</v>
      </c>
      <c r="C1178" s="1" t="s">
        <v>231</v>
      </c>
      <c r="D1178" s="41">
        <f>'Rekap SHU dan Jasa Simpanan'!BR198</f>
        <v>131032.78437505091</v>
      </c>
      <c r="E1178" s="38"/>
      <c r="G1178" s="39"/>
      <c r="H1178" s="10" t="s">
        <v>224</v>
      </c>
      <c r="I1178" s="1" t="s">
        <v>231</v>
      </c>
      <c r="J1178" s="41">
        <f>'Rekap SHU dan Jasa Simpanan'!BR199</f>
        <v>131032.78437505091</v>
      </c>
      <c r="K1178" s="38"/>
    </row>
    <row r="1179" spans="1:11" x14ac:dyDescent="0.2">
      <c r="A1179" s="42"/>
      <c r="B1179" s="31" t="s">
        <v>230</v>
      </c>
      <c r="C1179" s="32" t="s">
        <v>231</v>
      </c>
      <c r="D1179" s="33">
        <v>0</v>
      </c>
      <c r="E1179" s="43"/>
      <c r="G1179" s="39"/>
      <c r="H1179" s="31" t="s">
        <v>230</v>
      </c>
      <c r="I1179" s="32" t="s">
        <v>231</v>
      </c>
      <c r="J1179" s="33">
        <v>0</v>
      </c>
      <c r="K1179" s="43"/>
    </row>
    <row r="1180" spans="1:11" x14ac:dyDescent="0.2">
      <c r="A1180" s="39"/>
      <c r="B1180" s="1" t="s">
        <v>5</v>
      </c>
      <c r="C1180" s="2"/>
      <c r="D1180" s="41">
        <f>SUM(D1176:D1179)</f>
        <v>199858.78579286422</v>
      </c>
      <c r="E1180" s="38"/>
      <c r="G1180" s="44"/>
      <c r="H1180" s="1" t="s">
        <v>5</v>
      </c>
      <c r="I1180" s="2"/>
      <c r="J1180" s="41">
        <f>SUM(J1176:J1179)</f>
        <v>288380.40456863004</v>
      </c>
      <c r="K1180" s="38"/>
    </row>
    <row r="1181" spans="1:11" x14ac:dyDescent="0.2">
      <c r="A1181" s="42"/>
      <c r="B1181" s="31"/>
      <c r="C1181" s="31"/>
      <c r="D1181" s="31"/>
      <c r="E1181" s="43"/>
      <c r="G1181" s="42"/>
      <c r="H1181" s="31"/>
      <c r="I1181" s="31"/>
      <c r="J1181" s="31"/>
      <c r="K1181" s="43"/>
    </row>
    <row r="1183" spans="1:11" x14ac:dyDescent="0.2">
      <c r="A1183" s="34"/>
      <c r="B1183" s="35"/>
      <c r="C1183" s="35"/>
      <c r="D1183" s="35"/>
      <c r="E1183" s="36"/>
      <c r="G1183" s="34"/>
      <c r="H1183" s="35"/>
      <c r="I1183" s="35"/>
      <c r="J1183" s="35"/>
      <c r="K1183" s="36"/>
    </row>
    <row r="1184" spans="1:11" ht="13.5" x14ac:dyDescent="0.25">
      <c r="A1184" s="146" t="s">
        <v>232</v>
      </c>
      <c r="B1184" s="147"/>
      <c r="C1184" s="147"/>
      <c r="D1184" s="147"/>
      <c r="E1184" s="148"/>
      <c r="G1184" s="146" t="s">
        <v>232</v>
      </c>
      <c r="H1184" s="147"/>
      <c r="I1184" s="147"/>
      <c r="J1184" s="147"/>
      <c r="K1184" s="148"/>
    </row>
    <row r="1185" spans="1:11" x14ac:dyDescent="0.2">
      <c r="A1185" s="37"/>
      <c r="B1185" s="2"/>
      <c r="C1185" s="2"/>
      <c r="D1185" s="2"/>
      <c r="E1185" s="38"/>
      <c r="G1185" s="39"/>
      <c r="H1185" s="2"/>
      <c r="I1185" s="2"/>
      <c r="J1185" s="2"/>
      <c r="K1185" s="38"/>
    </row>
    <row r="1186" spans="1:11" x14ac:dyDescent="0.2">
      <c r="A1186" s="39"/>
      <c r="B1186" s="2" t="s">
        <v>228</v>
      </c>
      <c r="C1186" s="1" t="s">
        <v>231</v>
      </c>
      <c r="D1186" s="40">
        <f>'Rekap SHU dan Jasa Simpanan'!B200</f>
        <v>285</v>
      </c>
      <c r="E1186" s="38"/>
      <c r="G1186" s="39"/>
      <c r="H1186" s="2" t="s">
        <v>228</v>
      </c>
      <c r="I1186" s="1" t="s">
        <v>231</v>
      </c>
      <c r="J1186" s="40">
        <f>'Rekap SHU dan Jasa Simpanan'!B201</f>
        <v>286</v>
      </c>
      <c r="K1186" s="38"/>
    </row>
    <row r="1187" spans="1:11" x14ac:dyDescent="0.2">
      <c r="A1187" s="39"/>
      <c r="B1187" s="2" t="s">
        <v>229</v>
      </c>
      <c r="C1187" s="1" t="s">
        <v>231</v>
      </c>
      <c r="D1187" s="7" t="str">
        <f>'Rekap SHU dan Jasa Simpanan'!C200</f>
        <v>Fitri Agus R</v>
      </c>
      <c r="E1187" s="38"/>
      <c r="G1187" s="39"/>
      <c r="H1187" s="2" t="s">
        <v>229</v>
      </c>
      <c r="I1187" s="1" t="s">
        <v>231</v>
      </c>
      <c r="J1187" s="2" t="str">
        <f>'Rekap SHU dan Jasa Simpanan'!C201</f>
        <v>Suparman</v>
      </c>
      <c r="K1187" s="38"/>
    </row>
    <row r="1188" spans="1:11" x14ac:dyDescent="0.2">
      <c r="A1188" s="39"/>
      <c r="B1188" s="2" t="s">
        <v>221</v>
      </c>
      <c r="C1188" s="1" t="s">
        <v>231</v>
      </c>
      <c r="D1188" s="41">
        <f>'Rekap SHU dan Jasa Simpanan'!BD200</f>
        <v>10500</v>
      </c>
      <c r="E1188" s="38"/>
      <c r="G1188" s="39"/>
      <c r="H1188" s="2" t="s">
        <v>221</v>
      </c>
      <c r="I1188" s="1" t="s">
        <v>231</v>
      </c>
      <c r="J1188" s="41">
        <f>'Rekap SHU dan Jasa Simpanan'!BD201</f>
        <v>13500</v>
      </c>
      <c r="K1188" s="38"/>
    </row>
    <row r="1189" spans="1:11" x14ac:dyDescent="0.2">
      <c r="A1189" s="39"/>
      <c r="B1189" s="2" t="s">
        <v>223</v>
      </c>
      <c r="C1189" s="1" t="s">
        <v>231</v>
      </c>
      <c r="D1189" s="41">
        <f>'Rekap SHU dan Jasa Simpanan'!BQ200</f>
        <v>49633.146468119732</v>
      </c>
      <c r="E1189" s="38"/>
      <c r="G1189" s="39"/>
      <c r="H1189" s="2" t="s">
        <v>223</v>
      </c>
      <c r="I1189" s="1" t="s">
        <v>231</v>
      </c>
      <c r="J1189" s="41">
        <f>'Rekap SHU dan Jasa Simpanan'!BQ201</f>
        <v>36818.228331164406</v>
      </c>
      <c r="K1189" s="38"/>
    </row>
    <row r="1190" spans="1:11" x14ac:dyDescent="0.2">
      <c r="A1190" s="39"/>
      <c r="B1190" s="10" t="s">
        <v>224</v>
      </c>
      <c r="C1190" s="1" t="s">
        <v>231</v>
      </c>
      <c r="D1190" s="41">
        <f>'Rekap SHU dan Jasa Simpanan'!BR200</f>
        <v>0</v>
      </c>
      <c r="E1190" s="38"/>
      <c r="G1190" s="39"/>
      <c r="H1190" s="10" t="s">
        <v>224</v>
      </c>
      <c r="I1190" s="1" t="s">
        <v>231</v>
      </c>
      <c r="J1190" s="41">
        <f>'Rekap SHU dan Jasa Simpanan'!BR201</f>
        <v>49137.294140644088</v>
      </c>
      <c r="K1190" s="38"/>
    </row>
    <row r="1191" spans="1:11" x14ac:dyDescent="0.2">
      <c r="A1191" s="42"/>
      <c r="B1191" s="31" t="s">
        <v>230</v>
      </c>
      <c r="C1191" s="32" t="s">
        <v>231</v>
      </c>
      <c r="D1191" s="33">
        <v>0</v>
      </c>
      <c r="E1191" s="43"/>
      <c r="G1191" s="39"/>
      <c r="H1191" s="31" t="s">
        <v>230</v>
      </c>
      <c r="I1191" s="32" t="s">
        <v>231</v>
      </c>
      <c r="J1191" s="33">
        <v>0</v>
      </c>
      <c r="K1191" s="43"/>
    </row>
    <row r="1192" spans="1:11" x14ac:dyDescent="0.2">
      <c r="A1192" s="39"/>
      <c r="B1192" s="1" t="s">
        <v>5</v>
      </c>
      <c r="C1192" s="2"/>
      <c r="D1192" s="41">
        <f>SUM(D1188:D1191)</f>
        <v>60133.146468119732</v>
      </c>
      <c r="E1192" s="38"/>
      <c r="G1192" s="44"/>
      <c r="H1192" s="1" t="s">
        <v>5</v>
      </c>
      <c r="I1192" s="2"/>
      <c r="J1192" s="41">
        <f>SUM(J1188:J1191)</f>
        <v>99455.522471808494</v>
      </c>
      <c r="K1192" s="38"/>
    </row>
    <row r="1193" spans="1:11" x14ac:dyDescent="0.2">
      <c r="A1193" s="42"/>
      <c r="B1193" s="31"/>
      <c r="C1193" s="31"/>
      <c r="D1193" s="31"/>
      <c r="E1193" s="43"/>
      <c r="G1193" s="42"/>
      <c r="H1193" s="31"/>
      <c r="I1193" s="31"/>
      <c r="J1193" s="31"/>
      <c r="K1193" s="43"/>
    </row>
    <row r="1198" spans="1:11" x14ac:dyDescent="0.2">
      <c r="A1198" s="34"/>
      <c r="B1198" s="35"/>
      <c r="C1198" s="35"/>
      <c r="D1198" s="35"/>
      <c r="E1198" s="36"/>
      <c r="G1198" s="34"/>
      <c r="H1198" s="35"/>
      <c r="I1198" s="35"/>
      <c r="J1198" s="35"/>
      <c r="K1198" s="36"/>
    </row>
    <row r="1199" spans="1:11" ht="13.5" x14ac:dyDescent="0.25">
      <c r="A1199" s="146" t="s">
        <v>232</v>
      </c>
      <c r="B1199" s="147"/>
      <c r="C1199" s="147"/>
      <c r="D1199" s="147"/>
      <c r="E1199" s="148"/>
      <c r="G1199" s="146" t="s">
        <v>232</v>
      </c>
      <c r="H1199" s="147"/>
      <c r="I1199" s="147"/>
      <c r="J1199" s="147"/>
      <c r="K1199" s="148"/>
    </row>
    <row r="1200" spans="1:11" x14ac:dyDescent="0.2">
      <c r="A1200" s="37"/>
      <c r="B1200" s="2"/>
      <c r="C1200" s="2"/>
      <c r="D1200" s="2"/>
      <c r="E1200" s="38"/>
      <c r="G1200" s="39"/>
      <c r="H1200" s="2"/>
      <c r="I1200" s="2"/>
      <c r="J1200" s="2"/>
      <c r="K1200" s="38"/>
    </row>
    <row r="1201" spans="1:11" x14ac:dyDescent="0.2">
      <c r="A1201" s="39"/>
      <c r="B1201" s="2" t="s">
        <v>228</v>
      </c>
      <c r="C1201" s="1" t="s">
        <v>231</v>
      </c>
      <c r="D1201" s="40">
        <f>'Rekap SHU dan Jasa Simpanan'!B202</f>
        <v>287</v>
      </c>
      <c r="E1201" s="38"/>
      <c r="G1201" s="39"/>
      <c r="H1201" s="2" t="s">
        <v>228</v>
      </c>
      <c r="I1201" s="1" t="s">
        <v>231</v>
      </c>
      <c r="J1201" s="40">
        <f>'Rekap SHU dan Jasa Simpanan'!B203</f>
        <v>288</v>
      </c>
      <c r="K1201" s="38"/>
    </row>
    <row r="1202" spans="1:11" x14ac:dyDescent="0.2">
      <c r="A1202" s="39"/>
      <c r="B1202" s="2" t="s">
        <v>229</v>
      </c>
      <c r="C1202" s="1" t="s">
        <v>231</v>
      </c>
      <c r="D1202" s="7" t="str">
        <f>'Rekap SHU dan Jasa Simpanan'!C202</f>
        <v>Johanudin Maulana</v>
      </c>
      <c r="E1202" s="38"/>
      <c r="G1202" s="39"/>
      <c r="H1202" s="2" t="s">
        <v>229</v>
      </c>
      <c r="I1202" s="1" t="s">
        <v>231</v>
      </c>
      <c r="J1202" s="2" t="str">
        <f>'Rekap SHU dan Jasa Simpanan'!C203</f>
        <v>Muhammad Patria P</v>
      </c>
      <c r="K1202" s="38"/>
    </row>
    <row r="1203" spans="1:11" x14ac:dyDescent="0.2">
      <c r="A1203" s="39"/>
      <c r="B1203" s="2" t="s">
        <v>221</v>
      </c>
      <c r="C1203" s="1" t="s">
        <v>231</v>
      </c>
      <c r="D1203" s="41">
        <f>'Rekap SHU dan Jasa Simpanan'!BD202</f>
        <v>70000</v>
      </c>
      <c r="E1203" s="38"/>
      <c r="G1203" s="39"/>
      <c r="H1203" s="2" t="s">
        <v>221</v>
      </c>
      <c r="I1203" s="1" t="s">
        <v>231</v>
      </c>
      <c r="J1203" s="41">
        <f>'Rekap SHU dan Jasa Simpanan'!BD203</f>
        <v>27250</v>
      </c>
      <c r="K1203" s="38"/>
    </row>
    <row r="1204" spans="1:11" x14ac:dyDescent="0.2">
      <c r="A1204" s="39"/>
      <c r="B1204" s="2" t="s">
        <v>223</v>
      </c>
      <c r="C1204" s="1" t="s">
        <v>231</v>
      </c>
      <c r="D1204" s="41">
        <f>'Rekap SHU dan Jasa Simpanan'!BQ202</f>
        <v>96560.48173439657</v>
      </c>
      <c r="E1204" s="38"/>
      <c r="G1204" s="39"/>
      <c r="H1204" s="2" t="s">
        <v>223</v>
      </c>
      <c r="I1204" s="1" t="s">
        <v>231</v>
      </c>
      <c r="J1204" s="41">
        <f>'Rekap SHU dan Jasa Simpanan'!BQ203</f>
        <v>40172.149218756327</v>
      </c>
      <c r="K1204" s="38"/>
    </row>
    <row r="1205" spans="1:11" x14ac:dyDescent="0.2">
      <c r="A1205" s="39"/>
      <c r="B1205" s="10" t="s">
        <v>224</v>
      </c>
      <c r="C1205" s="1" t="s">
        <v>231</v>
      </c>
      <c r="D1205" s="41">
        <f>'Rekap SHU dan Jasa Simpanan'!BR202</f>
        <v>49137.294140644088</v>
      </c>
      <c r="E1205" s="38"/>
      <c r="G1205" s="39"/>
      <c r="H1205" s="10" t="s">
        <v>224</v>
      </c>
      <c r="I1205" s="1" t="s">
        <v>231</v>
      </c>
      <c r="J1205" s="41">
        <f>'Rekap SHU dan Jasa Simpanan'!BR203</f>
        <v>72068.031406277994</v>
      </c>
      <c r="K1205" s="38"/>
    </row>
    <row r="1206" spans="1:11" x14ac:dyDescent="0.2">
      <c r="A1206" s="42"/>
      <c r="B1206" s="31" t="s">
        <v>230</v>
      </c>
      <c r="C1206" s="32" t="s">
        <v>231</v>
      </c>
      <c r="D1206" s="33">
        <v>0</v>
      </c>
      <c r="E1206" s="43"/>
      <c r="G1206" s="39"/>
      <c r="H1206" s="31" t="s">
        <v>230</v>
      </c>
      <c r="I1206" s="32" t="s">
        <v>231</v>
      </c>
      <c r="J1206" s="33">
        <v>50000</v>
      </c>
      <c r="K1206" s="43"/>
    </row>
    <row r="1207" spans="1:11" x14ac:dyDescent="0.2">
      <c r="A1207" s="39"/>
      <c r="B1207" s="1" t="s">
        <v>5</v>
      </c>
      <c r="C1207" s="2"/>
      <c r="D1207" s="41">
        <f>SUM(D1203:D1206)</f>
        <v>215697.77587504065</v>
      </c>
      <c r="E1207" s="38"/>
      <c r="G1207" s="44"/>
      <c r="H1207" s="1" t="s">
        <v>5</v>
      </c>
      <c r="I1207" s="2"/>
      <c r="J1207" s="41">
        <f>SUM(J1203:J1206)</f>
        <v>189490.18062503432</v>
      </c>
      <c r="K1207" s="38"/>
    </row>
    <row r="1208" spans="1:11" x14ac:dyDescent="0.2">
      <c r="A1208" s="42"/>
      <c r="B1208" s="31"/>
      <c r="C1208" s="31"/>
      <c r="D1208" s="31"/>
      <c r="E1208" s="43"/>
      <c r="G1208" s="42"/>
      <c r="H1208" s="31"/>
      <c r="I1208" s="31"/>
      <c r="J1208" s="31"/>
      <c r="K1208" s="43"/>
    </row>
    <row r="1210" spans="1:11" x14ac:dyDescent="0.2">
      <c r="A1210" s="34"/>
      <c r="B1210" s="35"/>
      <c r="C1210" s="35"/>
      <c r="D1210" s="35"/>
      <c r="E1210" s="36"/>
      <c r="G1210" s="34"/>
      <c r="H1210" s="35"/>
      <c r="I1210" s="35"/>
      <c r="J1210" s="35"/>
      <c r="K1210" s="36"/>
    </row>
    <row r="1211" spans="1:11" ht="13.5" x14ac:dyDescent="0.25">
      <c r="A1211" s="146" t="s">
        <v>232</v>
      </c>
      <c r="B1211" s="147"/>
      <c r="C1211" s="147"/>
      <c r="D1211" s="147"/>
      <c r="E1211" s="148"/>
      <c r="G1211" s="146" t="s">
        <v>232</v>
      </c>
      <c r="H1211" s="147"/>
      <c r="I1211" s="147"/>
      <c r="J1211" s="147"/>
      <c r="K1211" s="148"/>
    </row>
    <row r="1212" spans="1:11" x14ac:dyDescent="0.2">
      <c r="A1212" s="37"/>
      <c r="B1212" s="2"/>
      <c r="C1212" s="2"/>
      <c r="D1212" s="2"/>
      <c r="E1212" s="38"/>
      <c r="G1212" s="39"/>
      <c r="H1212" s="2"/>
      <c r="I1212" s="2"/>
      <c r="J1212" s="2"/>
      <c r="K1212" s="38"/>
    </row>
    <row r="1213" spans="1:11" x14ac:dyDescent="0.2">
      <c r="A1213" s="39"/>
      <c r="B1213" s="2" t="s">
        <v>228</v>
      </c>
      <c r="C1213" s="1" t="s">
        <v>231</v>
      </c>
      <c r="D1213" s="40">
        <f>'Rekap SHU dan Jasa Simpanan'!B169</f>
        <v>251</v>
      </c>
      <c r="E1213" s="38"/>
      <c r="G1213" s="39"/>
      <c r="H1213" s="2" t="s">
        <v>228</v>
      </c>
      <c r="I1213" s="1" t="s">
        <v>231</v>
      </c>
      <c r="J1213" s="40">
        <f>'Rekap SHU dan Jasa Simpanan'!B179</f>
        <v>263</v>
      </c>
      <c r="K1213" s="38"/>
    </row>
    <row r="1214" spans="1:11" x14ac:dyDescent="0.2">
      <c r="A1214" s="39"/>
      <c r="B1214" s="2" t="s">
        <v>229</v>
      </c>
      <c r="C1214" s="1" t="s">
        <v>231</v>
      </c>
      <c r="D1214" s="7" t="str">
        <f>'Rekap SHU dan Jasa Simpanan'!C169</f>
        <v xml:space="preserve"> Rega C.Saputra</v>
      </c>
      <c r="E1214" s="38"/>
      <c r="G1214" s="39"/>
      <c r="H1214" s="2" t="s">
        <v>229</v>
      </c>
      <c r="I1214" s="1" t="s">
        <v>231</v>
      </c>
      <c r="J1214" s="2" t="str">
        <f>'Rekap SHU dan Jasa Simpanan'!C179</f>
        <v xml:space="preserve"> Suroso Kartaatmaja</v>
      </c>
      <c r="K1214" s="38"/>
    </row>
    <row r="1215" spans="1:11" x14ac:dyDescent="0.2">
      <c r="A1215" s="39"/>
      <c r="B1215" s="2" t="s">
        <v>221</v>
      </c>
      <c r="C1215" s="1" t="s">
        <v>231</v>
      </c>
      <c r="D1215" s="41">
        <f>'Rekap SHU dan Jasa Simpanan'!BD169</f>
        <v>0</v>
      </c>
      <c r="E1215" s="38"/>
      <c r="G1215" s="39"/>
      <c r="H1215" s="2" t="s">
        <v>221</v>
      </c>
      <c r="I1215" s="1" t="s">
        <v>231</v>
      </c>
      <c r="J1215" s="41">
        <f>'Rekap SHU dan Jasa Simpanan'!BD179</f>
        <v>121800</v>
      </c>
      <c r="K1215" s="38"/>
    </row>
    <row r="1216" spans="1:11" x14ac:dyDescent="0.2">
      <c r="A1216" s="39"/>
      <c r="B1216" s="2" t="s">
        <v>223</v>
      </c>
      <c r="C1216" s="1" t="s">
        <v>231</v>
      </c>
      <c r="D1216" s="41">
        <f>'Rekap SHU dan Jasa Simpanan'!BQ169</f>
        <v>53807.452817999001</v>
      </c>
      <c r="E1216" s="38"/>
      <c r="G1216" s="39"/>
      <c r="H1216" s="2" t="s">
        <v>223</v>
      </c>
      <c r="I1216" s="1" t="s">
        <v>231</v>
      </c>
      <c r="J1216" s="41">
        <f>'Rekap SHU dan Jasa Simpanan'!BQ179</f>
        <v>200150.73604059726</v>
      </c>
      <c r="K1216" s="38"/>
    </row>
    <row r="1217" spans="1:11" x14ac:dyDescent="0.2">
      <c r="A1217" s="39"/>
      <c r="B1217" s="10" t="s">
        <v>224</v>
      </c>
      <c r="C1217" s="1" t="s">
        <v>231</v>
      </c>
      <c r="D1217" s="41">
        <f>'Rekap SHU dan Jasa Simpanan'!BR169</f>
        <v>196549.17656257635</v>
      </c>
      <c r="E1217" s="38"/>
      <c r="G1217" s="39"/>
      <c r="H1217" s="10" t="s">
        <v>224</v>
      </c>
      <c r="I1217" s="1" t="s">
        <v>231</v>
      </c>
      <c r="J1217" s="41">
        <f>'Rekap SHU dan Jasa Simpanan'!BR179</f>
        <v>0</v>
      </c>
      <c r="K1217" s="38"/>
    </row>
    <row r="1218" spans="1:11" x14ac:dyDescent="0.2">
      <c r="A1218" s="42"/>
      <c r="B1218" s="31" t="s">
        <v>230</v>
      </c>
      <c r="C1218" s="32" t="s">
        <v>231</v>
      </c>
      <c r="D1218" s="33">
        <v>0</v>
      </c>
      <c r="E1218" s="43"/>
      <c r="G1218" s="39"/>
      <c r="H1218" s="31" t="s">
        <v>230</v>
      </c>
      <c r="I1218" s="32" t="s">
        <v>231</v>
      </c>
      <c r="J1218" s="33">
        <v>50000</v>
      </c>
      <c r="K1218" s="43"/>
    </row>
    <row r="1219" spans="1:11" x14ac:dyDescent="0.2">
      <c r="A1219" s="39"/>
      <c r="B1219" s="1" t="s">
        <v>5</v>
      </c>
      <c r="C1219" s="2"/>
      <c r="D1219" s="41">
        <f>SUM(D1215:D1218)</f>
        <v>250356.62938057535</v>
      </c>
      <c r="E1219" s="38"/>
      <c r="G1219" s="44"/>
      <c r="H1219" s="1" t="s">
        <v>5</v>
      </c>
      <c r="I1219" s="2"/>
      <c r="J1219" s="41">
        <f>SUM(J1215:J1218)</f>
        <v>371950.73604059726</v>
      </c>
      <c r="K1219" s="38"/>
    </row>
    <row r="1220" spans="1:11" x14ac:dyDescent="0.2">
      <c r="A1220" s="42"/>
      <c r="B1220" s="31"/>
      <c r="C1220" s="31"/>
      <c r="D1220" s="31"/>
      <c r="E1220" s="43"/>
      <c r="G1220" s="42"/>
      <c r="H1220" s="31"/>
      <c r="I1220" s="31"/>
      <c r="J1220" s="31"/>
      <c r="K1220" s="43"/>
    </row>
    <row r="1222" spans="1:11" x14ac:dyDescent="0.2">
      <c r="A1222" s="46" t="s">
        <v>233</v>
      </c>
      <c r="B1222" s="35"/>
      <c r="C1222" s="35"/>
      <c r="D1222" s="35"/>
      <c r="E1222" s="36"/>
      <c r="G1222" s="34"/>
      <c r="H1222" s="35"/>
      <c r="I1222" s="35"/>
      <c r="J1222" s="35"/>
      <c r="K1222" s="36"/>
    </row>
    <row r="1223" spans="1:11" ht="13.5" x14ac:dyDescent="0.25">
      <c r="A1223" s="146" t="s">
        <v>232</v>
      </c>
      <c r="B1223" s="147"/>
      <c r="C1223" s="147"/>
      <c r="D1223" s="147"/>
      <c r="E1223" s="148"/>
      <c r="G1223" s="146" t="s">
        <v>232</v>
      </c>
      <c r="H1223" s="147"/>
      <c r="I1223" s="147"/>
      <c r="J1223" s="147"/>
      <c r="K1223" s="148"/>
    </row>
    <row r="1224" spans="1:11" x14ac:dyDescent="0.2">
      <c r="A1224" s="37"/>
      <c r="B1224" s="2"/>
      <c r="C1224" s="2"/>
      <c r="D1224" s="2"/>
      <c r="E1224" s="38"/>
      <c r="G1224" s="39"/>
      <c r="H1224" s="2"/>
      <c r="I1224" s="2"/>
      <c r="J1224" s="2"/>
      <c r="K1224" s="38"/>
    </row>
    <row r="1225" spans="1:11" x14ac:dyDescent="0.2">
      <c r="A1225" s="39"/>
      <c r="B1225" s="2" t="s">
        <v>228</v>
      </c>
      <c r="C1225" s="1" t="s">
        <v>231</v>
      </c>
      <c r="D1225" s="40">
        <f>'Rekap SHU dan Jasa Simpanan'!B204</f>
        <v>289</v>
      </c>
      <c r="E1225" s="38"/>
      <c r="G1225" s="39"/>
      <c r="H1225" s="2" t="s">
        <v>228</v>
      </c>
      <c r="I1225" s="1" t="s">
        <v>231</v>
      </c>
      <c r="J1225" s="40">
        <f>'Rekap SHU dan Jasa Simpanan'!B116</f>
        <v>187</v>
      </c>
      <c r="K1225" s="38"/>
    </row>
    <row r="1226" spans="1:11" x14ac:dyDescent="0.2">
      <c r="A1226" s="39"/>
      <c r="B1226" s="2" t="s">
        <v>229</v>
      </c>
      <c r="C1226" s="1" t="s">
        <v>231</v>
      </c>
      <c r="D1226" s="7" t="str">
        <f>'Rekap SHU dan Jasa Simpanan'!C204</f>
        <v>Dhea Sannia</v>
      </c>
      <c r="E1226" s="38"/>
      <c r="G1226" s="39"/>
      <c r="H1226" s="2" t="s">
        <v>229</v>
      </c>
      <c r="I1226" s="1" t="s">
        <v>231</v>
      </c>
      <c r="J1226" s="2" t="str">
        <f>'Rekap SHU dan Jasa Simpanan'!C116</f>
        <v xml:space="preserve"> Ibu Iis M.Ujang S</v>
      </c>
      <c r="K1226" s="38"/>
    </row>
    <row r="1227" spans="1:11" x14ac:dyDescent="0.2">
      <c r="A1227" s="39"/>
      <c r="B1227" s="2" t="s">
        <v>221</v>
      </c>
      <c r="C1227" s="1" t="s">
        <v>231</v>
      </c>
      <c r="D1227" s="41">
        <f>'Rekap SHU dan Jasa Simpanan'!BD204</f>
        <v>7500</v>
      </c>
      <c r="E1227" s="38"/>
      <c r="G1227" s="39"/>
      <c r="H1227" s="2" t="s">
        <v>221</v>
      </c>
      <c r="I1227" s="1" t="s">
        <v>231</v>
      </c>
      <c r="J1227" s="41">
        <f>'Rekap SHU dan Jasa Simpanan'!BD116</f>
        <v>51620</v>
      </c>
      <c r="K1227" s="38"/>
    </row>
    <row r="1228" spans="1:11" x14ac:dyDescent="0.2">
      <c r="A1228" s="39"/>
      <c r="B1228" s="2" t="s">
        <v>223</v>
      </c>
      <c r="C1228" s="1" t="s">
        <v>231</v>
      </c>
      <c r="D1228" s="41">
        <f>'Rekap SHU dan Jasa Simpanan'!BQ204</f>
        <v>18574.807327310347</v>
      </c>
      <c r="E1228" s="38"/>
      <c r="G1228" s="39"/>
      <c r="H1228" s="2" t="s">
        <v>223</v>
      </c>
      <c r="I1228" s="1" t="s">
        <v>231</v>
      </c>
      <c r="J1228" s="41">
        <f>'Rekap SHU dan Jasa Simpanan'!BQ116</f>
        <v>188309.32231114685</v>
      </c>
      <c r="K1228" s="38"/>
    </row>
    <row r="1229" spans="1:11" x14ac:dyDescent="0.2">
      <c r="A1229" s="39"/>
      <c r="B1229" s="10" t="s">
        <v>224</v>
      </c>
      <c r="C1229" s="1" t="s">
        <v>231</v>
      </c>
      <c r="D1229" s="41">
        <f>'Rekap SHU dan Jasa Simpanan'!BR204</f>
        <v>0</v>
      </c>
      <c r="E1229" s="38"/>
      <c r="G1229" s="39"/>
      <c r="H1229" s="10" t="s">
        <v>224</v>
      </c>
      <c r="I1229" s="1" t="s">
        <v>231</v>
      </c>
      <c r="J1229" s="41">
        <f>'Rekap SHU dan Jasa Simpanan'!BR116</f>
        <v>0</v>
      </c>
      <c r="K1229" s="38"/>
    </row>
    <row r="1230" spans="1:11" x14ac:dyDescent="0.2">
      <c r="A1230" s="42"/>
      <c r="B1230" s="31" t="s">
        <v>230</v>
      </c>
      <c r="C1230" s="32" t="s">
        <v>231</v>
      </c>
      <c r="D1230" s="33">
        <v>50000</v>
      </c>
      <c r="E1230" s="43"/>
      <c r="G1230" s="39"/>
      <c r="H1230" s="31" t="s">
        <v>230</v>
      </c>
      <c r="I1230" s="32" t="s">
        <v>231</v>
      </c>
      <c r="J1230" s="33">
        <v>0</v>
      </c>
      <c r="K1230" s="43"/>
    </row>
    <row r="1231" spans="1:11" x14ac:dyDescent="0.2">
      <c r="A1231" s="39"/>
      <c r="B1231" s="1" t="s">
        <v>5</v>
      </c>
      <c r="C1231" s="2"/>
      <c r="D1231" s="41">
        <f>SUM(D1227:D1230)</f>
        <v>76074.807327310351</v>
      </c>
      <c r="E1231" s="38"/>
      <c r="G1231" s="44"/>
      <c r="H1231" s="1" t="s">
        <v>5</v>
      </c>
      <c r="I1231" s="2"/>
      <c r="J1231" s="41">
        <f>SUM(J1227:J1230)</f>
        <v>239929.32231114685</v>
      </c>
      <c r="K1231" s="38"/>
    </row>
    <row r="1232" spans="1:11" x14ac:dyDescent="0.2">
      <c r="A1232" s="42"/>
      <c r="B1232" s="31"/>
      <c r="C1232" s="31"/>
      <c r="D1232" s="31"/>
      <c r="E1232" s="43"/>
      <c r="G1232" s="42"/>
      <c r="H1232" s="31"/>
      <c r="I1232" s="31"/>
      <c r="J1232" s="31"/>
      <c r="K1232" s="43"/>
    </row>
    <row r="1234" spans="1:11" x14ac:dyDescent="0.2">
      <c r="A1234" s="46" t="s">
        <v>233</v>
      </c>
      <c r="B1234" s="35"/>
      <c r="C1234" s="35"/>
      <c r="D1234" s="35"/>
      <c r="E1234" s="36"/>
      <c r="G1234" s="46" t="s">
        <v>233</v>
      </c>
      <c r="H1234" s="35"/>
      <c r="I1234" s="35"/>
      <c r="J1234" s="35"/>
      <c r="K1234" s="36"/>
    </row>
    <row r="1235" spans="1:11" ht="13.5" x14ac:dyDescent="0.25">
      <c r="A1235" s="146" t="s">
        <v>232</v>
      </c>
      <c r="B1235" s="147"/>
      <c r="C1235" s="147"/>
      <c r="D1235" s="147"/>
      <c r="E1235" s="148"/>
      <c r="G1235" s="146" t="s">
        <v>232</v>
      </c>
      <c r="H1235" s="147"/>
      <c r="I1235" s="147"/>
      <c r="J1235" s="147"/>
      <c r="K1235" s="148"/>
    </row>
    <row r="1236" spans="1:11" x14ac:dyDescent="0.2">
      <c r="A1236" s="37"/>
      <c r="B1236" s="2"/>
      <c r="C1236" s="2"/>
      <c r="D1236" s="2"/>
      <c r="E1236" s="38"/>
      <c r="G1236" s="37"/>
      <c r="H1236" s="2"/>
      <c r="I1236" s="2"/>
      <c r="J1236" s="2"/>
      <c r="K1236" s="38"/>
    </row>
    <row r="1237" spans="1:11" x14ac:dyDescent="0.2">
      <c r="A1237" s="39"/>
      <c r="B1237" s="2" t="s">
        <v>228</v>
      </c>
      <c r="C1237" s="1" t="s">
        <v>231</v>
      </c>
      <c r="D1237" s="40">
        <f>'Rekap SHU dan Jasa Simpanan'!B205</f>
        <v>0</v>
      </c>
      <c r="E1237" s="38"/>
      <c r="G1237" s="39"/>
      <c r="H1237" s="2" t="s">
        <v>228</v>
      </c>
      <c r="I1237" s="1" t="s">
        <v>231</v>
      </c>
      <c r="J1237" s="40" t="s">
        <v>5</v>
      </c>
      <c r="K1237" s="38"/>
    </row>
    <row r="1238" spans="1:11" x14ac:dyDescent="0.2">
      <c r="A1238" s="39"/>
      <c r="B1238" s="2" t="s">
        <v>229</v>
      </c>
      <c r="C1238" s="1" t="s">
        <v>231</v>
      </c>
      <c r="D1238" s="7" t="str">
        <f>'Rekap SHU dan Jasa Simpanan'!C205</f>
        <v>Jumlah</v>
      </c>
      <c r="E1238" s="38"/>
      <c r="G1238" s="39"/>
      <c r="H1238" s="2" t="s">
        <v>229</v>
      </c>
      <c r="I1238" s="1" t="s">
        <v>231</v>
      </c>
      <c r="J1238" s="7" t="s">
        <v>5</v>
      </c>
      <c r="K1238" s="38"/>
    </row>
    <row r="1239" spans="1:11" x14ac:dyDescent="0.2">
      <c r="A1239" s="39"/>
      <c r="B1239" s="2" t="s">
        <v>221</v>
      </c>
      <c r="C1239" s="1" t="s">
        <v>231</v>
      </c>
      <c r="D1239" s="41">
        <f>'Rekap SHU dan Jasa Simpanan'!BD205</f>
        <v>27693851.079999998</v>
      </c>
      <c r="E1239" s="38"/>
      <c r="G1239" s="39"/>
      <c r="H1239" s="2" t="s">
        <v>221</v>
      </c>
      <c r="I1239" s="1" t="s">
        <v>231</v>
      </c>
      <c r="J1239" s="41">
        <f>+D6+J6+D18+J18+D30+J30+D42+J42+D54+J54+D69+J69+D81+J81+D93+J93+D105+J105+D117+J117+D132+J132+D144+J144+D156+J156+D168+J168+D180+J180+D195+J195+D207+J207+D219+J219+D231+J231+D243+J243+D258+J258+D270+J270+D282+J282+D294+J294+D306+J306+D321+J321+D333+J333+D345+J345+D357+J357+D369+J369+D384+J384+D396+J396+D408+J408+D420+J420+D432+J432+D447+J447+D459+J459+D471+J471+D483+J483+D495+J495+D510+J510+D522+J522+D534+J534+D546+J546+D558+J558+D573+J573+D585+J585+D597+J597+D609+J609+D621+J621+D636+J636+D648+J648+D660+J660+D672+J672+D684+J684+D699+J699+D711+J711+D723+J723+D735+J735+D747+J747+D762+J762+D774+J774+D786+J786+D798+J798+D810+J810+D825+J825+D837+J837+D849+J849+D861+J861+D873+J873+D888+J888+D900+J900+D912+J912+D924+J924+D936+J936+D951+J951+D963+J963+D975+J975+D987+J987+D999+J999+D1014+J1014+D1026+J1026+D1038+J1038+D1050+J1050+D1062+J1062+D1077+J1077+D1089+J1089+D1101+J1101+D1113+J1113+D1125+J1125+D1140+J1140+D1152+J1152+D1164+J1164+D1176+J1176+D1188+J1188+D1203+J1203+D1215+J1215+D1227+J1227</f>
        <v>27693851.079999998</v>
      </c>
      <c r="K1239" s="38"/>
    </row>
    <row r="1240" spans="1:11" x14ac:dyDescent="0.2">
      <c r="A1240" s="39"/>
      <c r="B1240" s="2" t="s">
        <v>223</v>
      </c>
      <c r="C1240" s="1" t="s">
        <v>231</v>
      </c>
      <c r="D1240" s="41">
        <f>'Rekap SHU dan Jasa Simpanan'!BQ205</f>
        <v>50274823.000000037</v>
      </c>
      <c r="E1240" s="38"/>
      <c r="G1240" s="39"/>
      <c r="H1240" s="2" t="s">
        <v>223</v>
      </c>
      <c r="I1240" s="1" t="s">
        <v>231</v>
      </c>
      <c r="J1240" s="41">
        <f t="shared" ref="J1240:J1241" si="0">+D7+J7+D19+J19+D31+J31+D43+J43+D55+J55+D70+J70+D82+J82+D94+J94+D106+J106+D118+J118+D133+J133+D145+J145+D157+J157+D169+J169+D181+J181+D196+J196+D208+J208+D220+J220+D232+J232+D244+J244+D259+J259+D271+J271+D283+J283+D295+J295+D307+J307+D322+J322+D334+J334+D346+J346+D358+J358+D370+J370+D385+J385+D397+J397+D409+J409+D421+J421+D433+J433+D448+J448+D460+J460+D472+J472+D484+J484+D496+J496+D511+J511+D523+J523+D535+J535+D547+J547+D559+J559+D574+J574+D586+J586+D598+J598+D610+J610+D622+J622+D637+J637+D649+J649+D661+J661+D673+J673+D685+J685+D700+J700+D712+J712+D724+J724+D736+J736+D748+J748+D763+J763+D775+J775+D787+J787+D799+J799+D811+J811+D826+J826+D838+J838+D850+J850+D862+J862+D874+J874+D889+J889+D901+J901+D913+J913+D925+J925+D937+J937+D952+J952+D964+J964+D976+J976+D988+J988+D1000+J1000+D1015+J1015+D1027+J1027+D1039+J1039+D1051+J1051+D1063+J1063+D1078+J1078+D1090+J1090+D1102+J1102+D1114+J1114+D1126+J1126+D1141+J1141+D1153+J1153+D1165+J1165+D1177+J1177+D1189+J1189+D1204+J1204+D1216+J1216+D1228+J1228</f>
        <v>50274823.000000037</v>
      </c>
      <c r="K1240" s="38"/>
    </row>
    <row r="1241" spans="1:11" x14ac:dyDescent="0.2">
      <c r="A1241" s="39"/>
      <c r="B1241" s="10" t="s">
        <v>224</v>
      </c>
      <c r="C1241" s="1" t="s">
        <v>231</v>
      </c>
      <c r="D1241" s="41">
        <f>'Rekap SHU dan Jasa Simpanan'!BR205</f>
        <v>40219858.000000052</v>
      </c>
      <c r="E1241" s="38"/>
      <c r="G1241" s="39"/>
      <c r="H1241" s="10" t="s">
        <v>224</v>
      </c>
      <c r="I1241" s="1" t="s">
        <v>231</v>
      </c>
      <c r="J1241" s="41">
        <f t="shared" si="0"/>
        <v>40219858.00000006</v>
      </c>
      <c r="K1241" s="38"/>
    </row>
    <row r="1242" spans="1:11" x14ac:dyDescent="0.2">
      <c r="A1242" s="42"/>
      <c r="B1242" s="31" t="s">
        <v>230</v>
      </c>
      <c r="C1242" s="32" t="s">
        <v>231</v>
      </c>
      <c r="D1242" s="33">
        <v>0</v>
      </c>
      <c r="E1242" s="43"/>
      <c r="G1242" s="42"/>
      <c r="H1242" s="31" t="s">
        <v>230</v>
      </c>
      <c r="I1242" s="32" t="s">
        <v>231</v>
      </c>
      <c r="J1242" s="33">
        <f>+D9+J9+D21+J21+D33+J33+D45+J45+D57+J57+D72+J72+D84+J84+D96+J96+D108+J108+D120+J120+D135+J135+D147+J147+D159+J159+D171+J171+D183+J183+D198+J198+D210+J210+D222+J222+D234+J234+D246+J246+D261+J261+D273+J273+D285+J285+D297+J297+D309+J309+D324+J324+D336+J336+D348+J348+D360+J360+D372+J372+D387+J387+D399+J399+D411+J411+D423+J423+D435+J435+D450+J450+D462+J462+D474+J474+D486+J486+D498+J498+D513+J513+D525+J525+D537+J537+D549+J549+D561+J561+D576+J576+D588+J588+D600+J600+D612+J612+D624+J624+D639+J639+D651+J651+D663+J663+D675+J675+D687+J687+D702+J702+D714+J714+D726+J726+D738+J738+D750+J750+D765+J765+D777+J777+D789+J789+D801+J801+D813+J813+D828+J828+D840+J840+D852+J852+D864+J864+D876+J876+D891+J891+D903+J903+D915+J915+D927+J927+D939+J939+D954+J954+D966+J966+D978+J978+D990+J990+D1002+J1002+D1017+J1017+D1029+J1029+D1041+J1041+D1053+J1053+D1065+J1065+D1080+J1080+D1092+J1092+D1104+J1104+D1116+J1116+D1128+J1128+D1143+J1143+D1155+J1155+D1167+J1167+D1179+J1179+D1191+J1191+D1206+J1206+D1218+J1218+D1230+J1230</f>
        <v>2900000</v>
      </c>
      <c r="K1242" s="43"/>
    </row>
    <row r="1243" spans="1:11" x14ac:dyDescent="0.2">
      <c r="A1243" s="39"/>
      <c r="B1243" s="1" t="s">
        <v>5</v>
      </c>
      <c r="C1243" s="2"/>
      <c r="D1243" s="41">
        <f>SUM(D1239:D1242)</f>
        <v>118188532.0800001</v>
      </c>
      <c r="E1243" s="38"/>
      <c r="G1243" s="39"/>
      <c r="H1243" s="1" t="s">
        <v>5</v>
      </c>
      <c r="I1243" s="2"/>
      <c r="J1243" s="41">
        <f>SUM(J1239:J1242)</f>
        <v>121088532.0800001</v>
      </c>
      <c r="K1243" s="38"/>
    </row>
    <row r="1244" spans="1:11" x14ac:dyDescent="0.2">
      <c r="A1244" s="42"/>
      <c r="B1244" s="31"/>
      <c r="C1244" s="31"/>
      <c r="D1244" s="31"/>
      <c r="E1244" s="43"/>
      <c r="G1244" s="42"/>
      <c r="H1244" s="31"/>
      <c r="I1244" s="31"/>
      <c r="J1244" s="31"/>
      <c r="K1244" s="43"/>
    </row>
  </sheetData>
  <mergeCells count="198">
    <mergeCell ref="G26:K26"/>
    <mergeCell ref="G38:K38"/>
    <mergeCell ref="A50:E50"/>
    <mergeCell ref="G50:K50"/>
    <mergeCell ref="A2:E2"/>
    <mergeCell ref="G2:K2"/>
    <mergeCell ref="A14:E14"/>
    <mergeCell ref="G14:K14"/>
    <mergeCell ref="A26:E26"/>
    <mergeCell ref="A38:E38"/>
    <mergeCell ref="A101:E101"/>
    <mergeCell ref="G101:K101"/>
    <mergeCell ref="A113:E113"/>
    <mergeCell ref="G113:K113"/>
    <mergeCell ref="A128:E128"/>
    <mergeCell ref="G128:K128"/>
    <mergeCell ref="A65:E65"/>
    <mergeCell ref="G65:K65"/>
    <mergeCell ref="A77:E77"/>
    <mergeCell ref="G77:K77"/>
    <mergeCell ref="A89:E89"/>
    <mergeCell ref="G89:K89"/>
    <mergeCell ref="A176:E176"/>
    <mergeCell ref="G176:K176"/>
    <mergeCell ref="A191:E191"/>
    <mergeCell ref="G191:K191"/>
    <mergeCell ref="A203:E203"/>
    <mergeCell ref="G203:K203"/>
    <mergeCell ref="A140:E140"/>
    <mergeCell ref="G140:K140"/>
    <mergeCell ref="A152:E152"/>
    <mergeCell ref="G152:K152"/>
    <mergeCell ref="A164:E164"/>
    <mergeCell ref="G164:K164"/>
    <mergeCell ref="A254:E254"/>
    <mergeCell ref="G254:K254"/>
    <mergeCell ref="A266:E266"/>
    <mergeCell ref="G266:K266"/>
    <mergeCell ref="A215:E215"/>
    <mergeCell ref="G215:K215"/>
    <mergeCell ref="A227:E227"/>
    <mergeCell ref="G227:K227"/>
    <mergeCell ref="A239:E239"/>
    <mergeCell ref="G239:K239"/>
    <mergeCell ref="A317:E317"/>
    <mergeCell ref="G317:K317"/>
    <mergeCell ref="A329:E329"/>
    <mergeCell ref="G329:K329"/>
    <mergeCell ref="A341:E341"/>
    <mergeCell ref="G341:K341"/>
    <mergeCell ref="A278:E278"/>
    <mergeCell ref="G278:K278"/>
    <mergeCell ref="A290:E290"/>
    <mergeCell ref="G290:K290"/>
    <mergeCell ref="A392:E392"/>
    <mergeCell ref="G392:K392"/>
    <mergeCell ref="A404:E404"/>
    <mergeCell ref="G404:K404"/>
    <mergeCell ref="A416:E416"/>
    <mergeCell ref="G416:K416"/>
    <mergeCell ref="A353:E353"/>
    <mergeCell ref="G353:K353"/>
    <mergeCell ref="A365:E365"/>
    <mergeCell ref="G365:K365"/>
    <mergeCell ref="A380:E380"/>
    <mergeCell ref="G380:K380"/>
    <mergeCell ref="A467:E467"/>
    <mergeCell ref="G467:K467"/>
    <mergeCell ref="A479:E479"/>
    <mergeCell ref="G479:K479"/>
    <mergeCell ref="A428:E428"/>
    <mergeCell ref="G428:K428"/>
    <mergeCell ref="A758:E758"/>
    <mergeCell ref="G758:K758"/>
    <mergeCell ref="A770:E770"/>
    <mergeCell ref="G770:K770"/>
    <mergeCell ref="A443:E443"/>
    <mergeCell ref="G443:K443"/>
    <mergeCell ref="A455:E455"/>
    <mergeCell ref="G455:K455"/>
    <mergeCell ref="A530:E530"/>
    <mergeCell ref="G530:K530"/>
    <mergeCell ref="A542:E542"/>
    <mergeCell ref="G542:K542"/>
    <mergeCell ref="A554:E554"/>
    <mergeCell ref="G554:K554"/>
    <mergeCell ref="A491:E491"/>
    <mergeCell ref="G491:K491"/>
    <mergeCell ref="A506:E506"/>
    <mergeCell ref="G506:K506"/>
    <mergeCell ref="A518:E518"/>
    <mergeCell ref="G518:K518"/>
    <mergeCell ref="A947:E947"/>
    <mergeCell ref="G947:K947"/>
    <mergeCell ref="A959:E959"/>
    <mergeCell ref="G959:K959"/>
    <mergeCell ref="A569:E569"/>
    <mergeCell ref="G569:K569"/>
    <mergeCell ref="A581:E581"/>
    <mergeCell ref="G581:K581"/>
    <mergeCell ref="A593:E593"/>
    <mergeCell ref="G593:K593"/>
    <mergeCell ref="A821:E821"/>
    <mergeCell ref="G821:K821"/>
    <mergeCell ref="A833:E833"/>
    <mergeCell ref="G833:K833"/>
    <mergeCell ref="A782:E782"/>
    <mergeCell ref="G782:K782"/>
    <mergeCell ref="A794:E794"/>
    <mergeCell ref="G794:K794"/>
    <mergeCell ref="A644:E644"/>
    <mergeCell ref="G644:K644"/>
    <mergeCell ref="A656:E656"/>
    <mergeCell ref="G656:K656"/>
    <mergeCell ref="A668:E668"/>
    <mergeCell ref="G668:K668"/>
    <mergeCell ref="A605:E605"/>
    <mergeCell ref="G605:K605"/>
    <mergeCell ref="A617:E617"/>
    <mergeCell ref="G617:K617"/>
    <mergeCell ref="A632:E632"/>
    <mergeCell ref="G632:K632"/>
    <mergeCell ref="A719:E719"/>
    <mergeCell ref="G719:K719"/>
    <mergeCell ref="A731:E731"/>
    <mergeCell ref="G731:K731"/>
    <mergeCell ref="A743:E743"/>
    <mergeCell ref="G743:K743"/>
    <mergeCell ref="A680:E680"/>
    <mergeCell ref="G680:K680"/>
    <mergeCell ref="A695:E695"/>
    <mergeCell ref="G695:K695"/>
    <mergeCell ref="A707:E707"/>
    <mergeCell ref="G707:K707"/>
    <mergeCell ref="A1034:E1034"/>
    <mergeCell ref="G1034:K1034"/>
    <mergeCell ref="A1109:E1109"/>
    <mergeCell ref="G1109:K1109"/>
    <mergeCell ref="A1121:E1121"/>
    <mergeCell ref="G1121:K1121"/>
    <mergeCell ref="A1073:E1073"/>
    <mergeCell ref="G1073:K1073"/>
    <mergeCell ref="A1085:E1085"/>
    <mergeCell ref="G1085:K1085"/>
    <mergeCell ref="A1097:E1097"/>
    <mergeCell ref="G1097:K1097"/>
    <mergeCell ref="A1046:E1046"/>
    <mergeCell ref="G1046:K1046"/>
    <mergeCell ref="A1058:E1058"/>
    <mergeCell ref="G1058:K1058"/>
    <mergeCell ref="A971:E971"/>
    <mergeCell ref="G971:K971"/>
    <mergeCell ref="A983:E983"/>
    <mergeCell ref="G983:K983"/>
    <mergeCell ref="A995:E995"/>
    <mergeCell ref="G995:K995"/>
    <mergeCell ref="A1010:E1010"/>
    <mergeCell ref="G1010:K1010"/>
    <mergeCell ref="A1022:E1022"/>
    <mergeCell ref="G1022:K1022"/>
    <mergeCell ref="A884:E884"/>
    <mergeCell ref="G884:K884"/>
    <mergeCell ref="A896:E896"/>
    <mergeCell ref="G896:K896"/>
    <mergeCell ref="A908:E908"/>
    <mergeCell ref="G908:K908"/>
    <mergeCell ref="A920:E920"/>
    <mergeCell ref="G920:K920"/>
    <mergeCell ref="A845:E845"/>
    <mergeCell ref="G845:K845"/>
    <mergeCell ref="A857:E857"/>
    <mergeCell ref="G857:K857"/>
    <mergeCell ref="A869:E869"/>
    <mergeCell ref="G869:K869"/>
    <mergeCell ref="G1211:K1211"/>
    <mergeCell ref="A1223:E1223"/>
    <mergeCell ref="G1223:K1223"/>
    <mergeCell ref="A1235:E1235"/>
    <mergeCell ref="G1235:K1235"/>
    <mergeCell ref="A1211:E1211"/>
    <mergeCell ref="G302:K302"/>
    <mergeCell ref="A302:E302"/>
    <mergeCell ref="A1184:E1184"/>
    <mergeCell ref="G1184:K1184"/>
    <mergeCell ref="A1199:E1199"/>
    <mergeCell ref="G1199:K1199"/>
    <mergeCell ref="A1136:E1136"/>
    <mergeCell ref="G1136:K1136"/>
    <mergeCell ref="A1148:E1148"/>
    <mergeCell ref="G1148:K1148"/>
    <mergeCell ref="A1160:E1160"/>
    <mergeCell ref="G1160:K1160"/>
    <mergeCell ref="A1172:E1172"/>
    <mergeCell ref="G1172:K1172"/>
    <mergeCell ref="A932:E932"/>
    <mergeCell ref="G932:K932"/>
    <mergeCell ref="A806:E806"/>
    <mergeCell ref="G806:K806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52" zoomScaleNormal="100" workbookViewId="0">
      <selection activeCell="C60" sqref="C60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28515625" style="47" customWidth="1"/>
    <col min="5" max="5" width="13" style="47" customWidth="1"/>
    <col min="6" max="6" width="13.140625" style="47" customWidth="1"/>
    <col min="7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413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4" t="s">
        <v>236</v>
      </c>
      <c r="F5" s="154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2</v>
      </c>
      <c r="C8" s="52" t="s">
        <v>241</v>
      </c>
      <c r="D8" s="65">
        <f>'Rekap SHU dan Jasa Simpanan'!BT8</f>
        <v>638786.58903716248</v>
      </c>
      <c r="E8" s="52" t="s">
        <v>242</v>
      </c>
      <c r="F8" s="52"/>
    </row>
    <row r="9" spans="1:6" x14ac:dyDescent="0.25">
      <c r="A9" s="53">
        <v>2</v>
      </c>
      <c r="B9" s="53">
        <v>250</v>
      </c>
      <c r="C9" s="54" t="s">
        <v>243</v>
      </c>
      <c r="D9" s="66">
        <f>'Rekap SHU dan Jasa Simpanan'!BT168</f>
        <v>516813.28813294007</v>
      </c>
      <c r="E9" s="54"/>
      <c r="F9" s="54" t="s">
        <v>244</v>
      </c>
    </row>
    <row r="10" spans="1:6" x14ac:dyDescent="0.25">
      <c r="A10" s="53">
        <v>3</v>
      </c>
      <c r="B10" s="53">
        <v>4</v>
      </c>
      <c r="C10" s="54" t="s">
        <v>245</v>
      </c>
      <c r="D10" s="66">
        <f>'Rekap SHU dan Jasa Simpanan'!BT9</f>
        <v>1190772.1411630991</v>
      </c>
      <c r="E10" s="54" t="s">
        <v>246</v>
      </c>
      <c r="F10" s="54"/>
    </row>
    <row r="11" spans="1:6" x14ac:dyDescent="0.25">
      <c r="A11" s="53">
        <v>4</v>
      </c>
      <c r="B11" s="53">
        <v>148</v>
      </c>
      <c r="C11" s="54" t="s">
        <v>247</v>
      </c>
      <c r="D11" s="66">
        <f>'Rekap SHU dan Jasa Simpanan'!BT88</f>
        <v>1388784.0628637755</v>
      </c>
      <c r="E11" s="54"/>
      <c r="F11" s="54" t="s">
        <v>248</v>
      </c>
    </row>
    <row r="12" spans="1:6" x14ac:dyDescent="0.25">
      <c r="A12" s="53">
        <v>5</v>
      </c>
      <c r="B12" s="53">
        <v>5</v>
      </c>
      <c r="C12" s="54" t="s">
        <v>249</v>
      </c>
      <c r="D12" s="66">
        <f>'Rekap SHU dan Jasa Simpanan'!BT10</f>
        <v>947830.58682100486</v>
      </c>
      <c r="E12" s="54" t="s">
        <v>250</v>
      </c>
      <c r="F12" s="54"/>
    </row>
    <row r="13" spans="1:6" x14ac:dyDescent="0.25">
      <c r="A13" s="53">
        <v>6</v>
      </c>
      <c r="B13" s="53">
        <v>141</v>
      </c>
      <c r="C13" s="54" t="s">
        <v>251</v>
      </c>
      <c r="D13" s="66">
        <f>'Rekap SHU dan Jasa Simpanan'!BT84</f>
        <v>580708.14632849291</v>
      </c>
      <c r="E13" s="54"/>
      <c r="F13" s="54" t="s">
        <v>252</v>
      </c>
    </row>
    <row r="14" spans="1:6" x14ac:dyDescent="0.25">
      <c r="A14" s="53">
        <v>7</v>
      </c>
      <c r="B14" s="53">
        <v>7</v>
      </c>
      <c r="C14" s="54" t="s">
        <v>253</v>
      </c>
      <c r="D14" s="66">
        <f>'Rekap SHU dan Jasa Simpanan'!BT11</f>
        <v>1034684.4844581279</v>
      </c>
      <c r="E14" s="54" t="s">
        <v>254</v>
      </c>
      <c r="F14" s="54"/>
    </row>
    <row r="15" spans="1:6" x14ac:dyDescent="0.25">
      <c r="A15" s="53">
        <v>8</v>
      </c>
      <c r="B15" s="53">
        <v>10</v>
      </c>
      <c r="C15" s="54" t="s">
        <v>255</v>
      </c>
      <c r="D15" s="66">
        <f>'Rekap SHU dan Jasa Simpanan'!BT12</f>
        <v>834499.17748689023</v>
      </c>
      <c r="E15" s="54"/>
      <c r="F15" s="54" t="s">
        <v>256</v>
      </c>
    </row>
    <row r="16" spans="1:6" x14ac:dyDescent="0.25">
      <c r="A16" s="53">
        <v>9</v>
      </c>
      <c r="B16" s="53">
        <v>160</v>
      </c>
      <c r="C16" s="54" t="s">
        <v>257</v>
      </c>
      <c r="D16" s="66">
        <f>'Rekap SHU dan Jasa Simpanan'!BT98</f>
        <v>480575.46834507887</v>
      </c>
      <c r="E16" s="54" t="s">
        <v>258</v>
      </c>
      <c r="F16" s="54"/>
    </row>
    <row r="17" spans="1:6" x14ac:dyDescent="0.25">
      <c r="A17" s="53">
        <v>10</v>
      </c>
      <c r="B17" s="53">
        <v>11</v>
      </c>
      <c r="C17" s="54" t="s">
        <v>259</v>
      </c>
      <c r="D17" s="66">
        <f>'Rekap SHU dan Jasa Simpanan'!BT13</f>
        <v>1011676.9932460155</v>
      </c>
      <c r="E17" s="54"/>
      <c r="F17" s="54" t="s">
        <v>260</v>
      </c>
    </row>
    <row r="18" spans="1:6" x14ac:dyDescent="0.25">
      <c r="A18" s="53">
        <v>11</v>
      </c>
      <c r="B18" s="53">
        <v>18</v>
      </c>
      <c r="C18" s="54" t="s">
        <v>261</v>
      </c>
      <c r="D18" s="66">
        <f>'Rekap SHU dan Jasa Simpanan'!BT14</f>
        <v>1247486.3037074744</v>
      </c>
      <c r="E18" s="54" t="s">
        <v>262</v>
      </c>
      <c r="F18" s="54"/>
    </row>
    <row r="19" spans="1:6" x14ac:dyDescent="0.25">
      <c r="A19" s="53">
        <v>12</v>
      </c>
      <c r="B19" s="53">
        <v>145</v>
      </c>
      <c r="C19" s="54" t="s">
        <v>263</v>
      </c>
      <c r="D19" s="66">
        <f>'Rekap SHU dan Jasa Simpanan'!BT86</f>
        <v>689547.67763103708</v>
      </c>
      <c r="E19" s="54"/>
      <c r="F19" s="54" t="s">
        <v>264</v>
      </c>
    </row>
    <row r="20" spans="1:6" x14ac:dyDescent="0.25">
      <c r="A20" s="53">
        <v>13</v>
      </c>
      <c r="B20" s="53">
        <v>19</v>
      </c>
      <c r="C20" s="54" t="s">
        <v>265</v>
      </c>
      <c r="D20" s="66">
        <f>'Rekap SHU dan Jasa Simpanan'!BT15</f>
        <v>343467.88152550883</v>
      </c>
      <c r="E20" s="54" t="s">
        <v>266</v>
      </c>
      <c r="F20" s="54"/>
    </row>
    <row r="21" spans="1:6" x14ac:dyDescent="0.25">
      <c r="A21" s="53">
        <v>14</v>
      </c>
      <c r="B21" s="53">
        <v>234</v>
      </c>
      <c r="C21" s="54" t="s">
        <v>267</v>
      </c>
      <c r="D21" s="66">
        <f>'Rekap SHU dan Jasa Simpanan'!BT155</f>
        <v>171990.68237510463</v>
      </c>
      <c r="E21" s="54"/>
      <c r="F21" s="54" t="s">
        <v>268</v>
      </c>
    </row>
    <row r="22" spans="1:6" x14ac:dyDescent="0.25">
      <c r="A22" s="53">
        <v>15</v>
      </c>
      <c r="B22" s="53">
        <v>59</v>
      </c>
      <c r="C22" s="54" t="s">
        <v>270</v>
      </c>
      <c r="D22" s="66">
        <f>'Rekap SHU dan Jasa Simpanan'!BT47</f>
        <v>451907.05427071429</v>
      </c>
      <c r="E22" s="54" t="s">
        <v>269</v>
      </c>
      <c r="F22" s="54"/>
    </row>
    <row r="23" spans="1:6" x14ac:dyDescent="0.25">
      <c r="A23" s="53">
        <v>16</v>
      </c>
      <c r="B23" s="53">
        <v>21</v>
      </c>
      <c r="C23" s="54" t="s">
        <v>272</v>
      </c>
      <c r="D23" s="66">
        <f>'Rekap SHU dan Jasa Simpanan'!BT16</f>
        <v>1096208.7972253077</v>
      </c>
      <c r="E23" s="54"/>
      <c r="F23" s="54" t="s">
        <v>271</v>
      </c>
    </row>
    <row r="24" spans="1:6" x14ac:dyDescent="0.25">
      <c r="A24" s="53">
        <v>17</v>
      </c>
      <c r="B24" s="53">
        <v>22</v>
      </c>
      <c r="C24" s="54" t="s">
        <v>274</v>
      </c>
      <c r="D24" s="66">
        <f>'Rekap SHU dan Jasa Simpanan'!BT17</f>
        <v>1008888.9494458187</v>
      </c>
      <c r="E24" s="54" t="s">
        <v>273</v>
      </c>
      <c r="F24" s="54"/>
    </row>
    <row r="25" spans="1:6" x14ac:dyDescent="0.25">
      <c r="A25" s="53">
        <v>18</v>
      </c>
      <c r="B25" s="53">
        <v>23</v>
      </c>
      <c r="C25" s="54" t="s">
        <v>276</v>
      </c>
      <c r="D25" s="66">
        <f>'Rekap SHU dan Jasa Simpanan'!BT18</f>
        <v>1607528.8676851024</v>
      </c>
      <c r="E25" s="54"/>
      <c r="F25" s="54" t="s">
        <v>275</v>
      </c>
    </row>
    <row r="26" spans="1:6" x14ac:dyDescent="0.25">
      <c r="A26" s="53">
        <v>19</v>
      </c>
      <c r="B26" s="53">
        <v>34</v>
      </c>
      <c r="C26" s="54" t="s">
        <v>278</v>
      </c>
      <c r="D26" s="66">
        <f>'Rekap SHU dan Jasa Simpanan'!BT27</f>
        <v>909868.21990524849</v>
      </c>
      <c r="E26" s="54" t="s">
        <v>277</v>
      </c>
      <c r="F26" s="54"/>
    </row>
    <row r="27" spans="1:6" x14ac:dyDescent="0.25">
      <c r="A27" s="53">
        <v>20</v>
      </c>
      <c r="B27" s="53">
        <v>24</v>
      </c>
      <c r="C27" s="54" t="s">
        <v>280</v>
      </c>
      <c r="D27" s="66">
        <f>'Rekap SHU dan Jasa Simpanan'!BT19</f>
        <v>859466.84197590454</v>
      </c>
      <c r="E27" s="54"/>
      <c r="F27" s="54" t="s">
        <v>279</v>
      </c>
    </row>
    <row r="28" spans="1:6" x14ac:dyDescent="0.25">
      <c r="A28" s="53">
        <v>21</v>
      </c>
      <c r="B28" s="53">
        <v>25</v>
      </c>
      <c r="C28" s="54" t="s">
        <v>282</v>
      </c>
      <c r="D28" s="66">
        <f>'Rekap SHU dan Jasa Simpanan'!BT20</f>
        <v>977668.39024520421</v>
      </c>
      <c r="E28" s="54" t="s">
        <v>281</v>
      </c>
      <c r="F28" s="54"/>
    </row>
    <row r="29" spans="1:6" x14ac:dyDescent="0.25">
      <c r="A29" s="53">
        <v>22</v>
      </c>
      <c r="B29" s="53">
        <v>26</v>
      </c>
      <c r="C29" s="54" t="s">
        <v>284</v>
      </c>
      <c r="D29" s="66">
        <f>'Rekap SHU dan Jasa Simpanan'!BT21</f>
        <v>630268.28174541972</v>
      </c>
      <c r="E29" s="54"/>
      <c r="F29" s="54" t="s">
        <v>283</v>
      </c>
    </row>
    <row r="30" spans="1:6" x14ac:dyDescent="0.25">
      <c r="A30" s="53">
        <v>23</v>
      </c>
      <c r="B30" s="53">
        <v>27</v>
      </c>
      <c r="C30" s="54" t="s">
        <v>286</v>
      </c>
      <c r="D30" s="66">
        <f>'Rekap SHU dan Jasa Simpanan'!BT22</f>
        <v>429060.60284969059</v>
      </c>
      <c r="E30" s="54" t="s">
        <v>285</v>
      </c>
      <c r="F30" s="54"/>
    </row>
    <row r="31" spans="1:6" x14ac:dyDescent="0.25">
      <c r="A31" s="53">
        <v>24</v>
      </c>
      <c r="B31" s="53">
        <v>190</v>
      </c>
      <c r="C31" s="54" t="s">
        <v>288</v>
      </c>
      <c r="D31" s="66">
        <f>'Rekap SHU dan Jasa Simpanan'!BT119</f>
        <v>408401.28775786416</v>
      </c>
      <c r="E31" s="54"/>
      <c r="F31" s="54" t="s">
        <v>287</v>
      </c>
    </row>
    <row r="32" spans="1:6" x14ac:dyDescent="0.25">
      <c r="A32" s="53">
        <v>25</v>
      </c>
      <c r="B32" s="53">
        <v>28</v>
      </c>
      <c r="C32" s="54" t="s">
        <v>290</v>
      </c>
      <c r="D32" s="66">
        <f>'Rekap SHU dan Jasa Simpanan'!BT23</f>
        <v>1613505.2639691799</v>
      </c>
      <c r="E32" s="54" t="s">
        <v>289</v>
      </c>
      <c r="F32" s="54"/>
    </row>
    <row r="33" spans="1:6" x14ac:dyDescent="0.25">
      <c r="A33" s="53">
        <v>26</v>
      </c>
      <c r="B33" s="53">
        <v>50</v>
      </c>
      <c r="C33" s="54" t="s">
        <v>292</v>
      </c>
      <c r="D33" s="66">
        <f>'Rekap SHU dan Jasa Simpanan'!BT39</f>
        <v>1042104.9097591876</v>
      </c>
      <c r="E33" s="54"/>
      <c r="F33" s="54" t="s">
        <v>291</v>
      </c>
    </row>
    <row r="34" spans="1:6" x14ac:dyDescent="0.25">
      <c r="A34" s="53">
        <v>27</v>
      </c>
      <c r="B34" s="53">
        <v>29</v>
      </c>
      <c r="C34" s="54" t="s">
        <v>294</v>
      </c>
      <c r="D34" s="66">
        <f>'Rekap SHU dan Jasa Simpanan'!BT24</f>
        <v>991123.9030809768</v>
      </c>
      <c r="E34" s="54" t="s">
        <v>293</v>
      </c>
      <c r="F34" s="54"/>
    </row>
    <row r="35" spans="1:6" x14ac:dyDescent="0.25">
      <c r="A35" s="53">
        <v>28</v>
      </c>
      <c r="B35" s="53">
        <v>137</v>
      </c>
      <c r="C35" s="54" t="s">
        <v>296</v>
      </c>
      <c r="D35" s="66">
        <f>'Rekap SHU dan Jasa Simpanan'!BT82</f>
        <v>663457.32270383229</v>
      </c>
      <c r="E35" s="54"/>
      <c r="F35" s="54" t="s">
        <v>295</v>
      </c>
    </row>
    <row r="36" spans="1:6" x14ac:dyDescent="0.25">
      <c r="A36" s="53">
        <v>29</v>
      </c>
      <c r="B36" s="53">
        <v>31</v>
      </c>
      <c r="C36" s="54" t="s">
        <v>298</v>
      </c>
      <c r="D36" s="66">
        <f>'Rekap SHU dan Jasa Simpanan'!BT25</f>
        <v>913945.93622492859</v>
      </c>
      <c r="E36" s="54" t="s">
        <v>297</v>
      </c>
      <c r="F36" s="54"/>
    </row>
    <row r="37" spans="1:6" x14ac:dyDescent="0.25">
      <c r="A37" s="53">
        <v>30</v>
      </c>
      <c r="B37" s="53">
        <v>33</v>
      </c>
      <c r="C37" s="54" t="s">
        <v>300</v>
      </c>
      <c r="D37" s="66">
        <f>'Rekap SHU dan Jasa Simpanan'!BT26</f>
        <v>684305.30243726727</v>
      </c>
      <c r="E37" s="54"/>
      <c r="F37" s="54" t="s">
        <v>299</v>
      </c>
    </row>
    <row r="38" spans="1:6" x14ac:dyDescent="0.25">
      <c r="A38" s="53">
        <v>31</v>
      </c>
      <c r="B38" s="53">
        <v>183</v>
      </c>
      <c r="C38" s="54" t="s">
        <v>302</v>
      </c>
      <c r="D38" s="66">
        <f>'Rekap SHU dan Jasa Simpanan'!BT113</f>
        <v>134592.51145254073</v>
      </c>
      <c r="E38" s="54" t="s">
        <v>301</v>
      </c>
      <c r="F38" s="54"/>
    </row>
    <row r="39" spans="1:6" x14ac:dyDescent="0.25">
      <c r="A39" s="53">
        <v>32</v>
      </c>
      <c r="B39" s="53">
        <v>35</v>
      </c>
      <c r="C39" s="54" t="s">
        <v>304</v>
      </c>
      <c r="D39" s="66">
        <f>'Rekap SHU dan Jasa Simpanan'!BT28</f>
        <v>800848.70133693982</v>
      </c>
      <c r="E39" s="54"/>
      <c r="F39" s="54" t="s">
        <v>303</v>
      </c>
    </row>
    <row r="40" spans="1:6" x14ac:dyDescent="0.25">
      <c r="A40" s="53">
        <v>33</v>
      </c>
      <c r="B40" s="53">
        <v>36</v>
      </c>
      <c r="C40" s="54" t="s">
        <v>306</v>
      </c>
      <c r="D40" s="66">
        <f>'Rekap SHU dan Jasa Simpanan'!BT29</f>
        <v>6374999.501509835</v>
      </c>
      <c r="E40" s="54" t="s">
        <v>305</v>
      </c>
      <c r="F40" s="54"/>
    </row>
    <row r="41" spans="1:6" x14ac:dyDescent="0.25">
      <c r="A41" s="53">
        <v>34</v>
      </c>
      <c r="B41" s="53">
        <v>163</v>
      </c>
      <c r="C41" s="54" t="s">
        <v>308</v>
      </c>
      <c r="D41" s="66">
        <f>'Rekap SHU dan Jasa Simpanan'!BT101</f>
        <v>524499.1871569464</v>
      </c>
      <c r="E41" s="54"/>
      <c r="F41" s="54" t="s">
        <v>307</v>
      </c>
    </row>
    <row r="42" spans="1:6" x14ac:dyDescent="0.25">
      <c r="A42" s="53">
        <v>35</v>
      </c>
      <c r="B42" s="53">
        <v>37</v>
      </c>
      <c r="C42" s="54" t="s">
        <v>310</v>
      </c>
      <c r="D42" s="66">
        <f>'Rekap SHU dan Jasa Simpanan'!BT30</f>
        <v>639373.17750014213</v>
      </c>
      <c r="E42" s="54" t="s">
        <v>309</v>
      </c>
      <c r="F42" s="54"/>
    </row>
    <row r="43" spans="1:6" x14ac:dyDescent="0.25">
      <c r="A43" s="53">
        <v>36</v>
      </c>
      <c r="B43" s="53">
        <v>207</v>
      </c>
      <c r="C43" s="54" t="s">
        <v>312</v>
      </c>
      <c r="D43" s="66">
        <f>'Rekap SHU dan Jasa Simpanan'!BT134</f>
        <v>251356.91743030085</v>
      </c>
      <c r="E43" s="54"/>
      <c r="F43" s="54" t="s">
        <v>311</v>
      </c>
    </row>
    <row r="44" spans="1:6" x14ac:dyDescent="0.25">
      <c r="A44" s="53">
        <v>37</v>
      </c>
      <c r="B44" s="53">
        <v>38</v>
      </c>
      <c r="C44" s="54" t="s">
        <v>314</v>
      </c>
      <c r="D44" s="66">
        <f>'Rekap SHU dan Jasa Simpanan'!BT31</f>
        <v>727900.11066403578</v>
      </c>
      <c r="E44" s="54" t="s">
        <v>313</v>
      </c>
      <c r="F44" s="54"/>
    </row>
    <row r="45" spans="1:6" x14ac:dyDescent="0.25">
      <c r="A45" s="53">
        <v>38</v>
      </c>
      <c r="B45" s="53">
        <v>195</v>
      </c>
      <c r="C45" s="54" t="s">
        <v>316</v>
      </c>
      <c r="D45" s="66">
        <f>'Rekap SHU dan Jasa Simpanan'!BT122</f>
        <v>497357.60125883605</v>
      </c>
      <c r="E45" s="54"/>
      <c r="F45" s="54" t="s">
        <v>315</v>
      </c>
    </row>
    <row r="46" spans="1:6" x14ac:dyDescent="0.25">
      <c r="A46" s="53">
        <v>39</v>
      </c>
      <c r="B46" s="53">
        <v>39</v>
      </c>
      <c r="C46" s="54" t="s">
        <v>318</v>
      </c>
      <c r="D46" s="66">
        <f>'Rekap SHU dan Jasa Simpanan'!BT32</f>
        <v>842996.0045374129</v>
      </c>
      <c r="E46" s="54" t="s">
        <v>317</v>
      </c>
      <c r="F46" s="54"/>
    </row>
    <row r="47" spans="1:6" x14ac:dyDescent="0.25">
      <c r="A47" s="53">
        <v>40</v>
      </c>
      <c r="B47" s="53">
        <v>172</v>
      </c>
      <c r="C47" s="54" t="s">
        <v>320</v>
      </c>
      <c r="D47" s="66">
        <f>'Rekap SHU dan Jasa Simpanan'!BT108</f>
        <v>403576.28312889556</v>
      </c>
      <c r="E47" s="54"/>
      <c r="F47" s="54" t="s">
        <v>319</v>
      </c>
    </row>
    <row r="48" spans="1:6" x14ac:dyDescent="0.25">
      <c r="A48" s="53">
        <v>41</v>
      </c>
      <c r="B48" s="53">
        <v>40</v>
      </c>
      <c r="C48" s="54" t="s">
        <v>322</v>
      </c>
      <c r="D48" s="66">
        <f>'Rekap SHU dan Jasa Simpanan'!BT33</f>
        <v>1037277.5542157288</v>
      </c>
      <c r="E48" s="54" t="s">
        <v>321</v>
      </c>
      <c r="F48" s="54"/>
    </row>
    <row r="49" spans="1:6" x14ac:dyDescent="0.25">
      <c r="A49" s="53">
        <v>42</v>
      </c>
      <c r="B49" s="53">
        <v>41</v>
      </c>
      <c r="C49" s="54" t="s">
        <v>324</v>
      </c>
      <c r="D49" s="66">
        <f>'Rekap SHU dan Jasa Simpanan'!BT34</f>
        <v>977402.0808106747</v>
      </c>
      <c r="E49" s="54"/>
      <c r="F49" s="54" t="s">
        <v>323</v>
      </c>
    </row>
    <row r="50" spans="1:6" x14ac:dyDescent="0.25">
      <c r="A50" s="53">
        <v>43</v>
      </c>
      <c r="B50" s="53">
        <v>181</v>
      </c>
      <c r="C50" s="54" t="s">
        <v>326</v>
      </c>
      <c r="D50" s="66">
        <f>'Rekap SHU dan Jasa Simpanan'!BT112</f>
        <v>347255.14242647204</v>
      </c>
      <c r="E50" s="54" t="s">
        <v>325</v>
      </c>
      <c r="F50" s="54"/>
    </row>
    <row r="51" spans="1:6" x14ac:dyDescent="0.25">
      <c r="A51" s="53">
        <v>44</v>
      </c>
      <c r="B51" s="53">
        <v>45</v>
      </c>
      <c r="C51" s="54" t="s">
        <v>328</v>
      </c>
      <c r="D51" s="66">
        <f>'Rekap SHU dan Jasa Simpanan'!BT35</f>
        <v>1024551.6246813182</v>
      </c>
      <c r="E51" s="54"/>
      <c r="F51" s="54" t="s">
        <v>327</v>
      </c>
    </row>
    <row r="52" spans="1:6" x14ac:dyDescent="0.25">
      <c r="A52" s="53">
        <v>45</v>
      </c>
      <c r="B52" s="53">
        <v>171</v>
      </c>
      <c r="C52" s="54" t="s">
        <v>330</v>
      </c>
      <c r="D52" s="66">
        <f>'Rekap SHU dan Jasa Simpanan'!BT107</f>
        <v>475887.23909882316</v>
      </c>
      <c r="E52" s="54" t="s">
        <v>329</v>
      </c>
      <c r="F52" s="54"/>
    </row>
    <row r="53" spans="1:6" ht="14.25" customHeight="1" x14ac:dyDescent="0.25">
      <c r="A53" s="53">
        <v>46</v>
      </c>
      <c r="B53" s="53">
        <v>46</v>
      </c>
      <c r="C53" s="54" t="s">
        <v>332</v>
      </c>
      <c r="D53" s="66">
        <f>'Rekap SHU dan Jasa Simpanan'!BT36</f>
        <v>671824.27897796442</v>
      </c>
      <c r="E53" s="54"/>
      <c r="F53" s="54" t="s">
        <v>331</v>
      </c>
    </row>
    <row r="54" spans="1:6" x14ac:dyDescent="0.25">
      <c r="A54" s="53">
        <v>47</v>
      </c>
      <c r="B54" s="53">
        <v>188</v>
      </c>
      <c r="C54" s="54" t="s">
        <v>334</v>
      </c>
      <c r="D54" s="66">
        <f>'Rekap SHU dan Jasa Simpanan'!BT117</f>
        <v>464323.18996194773</v>
      </c>
      <c r="E54" s="54" t="s">
        <v>333</v>
      </c>
      <c r="F54" s="54"/>
    </row>
    <row r="55" spans="1:6" x14ac:dyDescent="0.25">
      <c r="A55" s="53">
        <v>48</v>
      </c>
      <c r="B55" s="53">
        <v>47</v>
      </c>
      <c r="C55" s="54" t="s">
        <v>336</v>
      </c>
      <c r="D55" s="66">
        <f>'Rekap SHU dan Jasa Simpanan'!BT37</f>
        <v>1075863.4731420823</v>
      </c>
      <c r="E55" s="54"/>
      <c r="F55" s="54" t="s">
        <v>335</v>
      </c>
    </row>
    <row r="56" spans="1:6" x14ac:dyDescent="0.25">
      <c r="A56" s="53">
        <v>49</v>
      </c>
      <c r="B56" s="53">
        <v>48</v>
      </c>
      <c r="C56" s="54" t="s">
        <v>338</v>
      </c>
      <c r="D56" s="66">
        <f>'Rekap SHU dan Jasa Simpanan'!BT38</f>
        <v>910617.24036456435</v>
      </c>
      <c r="E56" s="54" t="s">
        <v>337</v>
      </c>
      <c r="F56" s="54"/>
    </row>
    <row r="57" spans="1:6" x14ac:dyDescent="0.25">
      <c r="A57" s="53">
        <v>50</v>
      </c>
      <c r="B57" s="53">
        <v>51</v>
      </c>
      <c r="C57" s="54" t="s">
        <v>340</v>
      </c>
      <c r="D57" s="66">
        <f>'Rekap SHU dan Jasa Simpanan'!BT40</f>
        <v>937513.74387920951</v>
      </c>
      <c r="E57" s="54"/>
      <c r="F57" s="54" t="s">
        <v>339</v>
      </c>
    </row>
    <row r="58" spans="1:6" x14ac:dyDescent="0.25">
      <c r="A58" s="55">
        <v>51</v>
      </c>
      <c r="B58" s="55">
        <v>221</v>
      </c>
      <c r="C58" s="56" t="s">
        <v>342</v>
      </c>
      <c r="D58" s="84">
        <f>'Rekap SHU dan Jasa Simpanan'!BT143</f>
        <v>406140.45929597056</v>
      </c>
      <c r="E58" s="56" t="s">
        <v>341</v>
      </c>
      <c r="F58" s="56"/>
    </row>
    <row r="59" spans="1:6" x14ac:dyDescent="0.25">
      <c r="A59" s="53">
        <v>52</v>
      </c>
      <c r="B59" s="53">
        <v>52</v>
      </c>
      <c r="C59" s="54" t="s">
        <v>344</v>
      </c>
      <c r="D59" s="66">
        <f>'Rekap SHU dan Jasa Simpanan'!BT41</f>
        <v>2053690.3958584606</v>
      </c>
      <c r="E59" s="54"/>
      <c r="F59" s="54" t="s">
        <v>343</v>
      </c>
    </row>
    <row r="60" spans="1:6" x14ac:dyDescent="0.25">
      <c r="A60" s="53">
        <v>53</v>
      </c>
      <c r="B60" s="53">
        <v>53</v>
      </c>
      <c r="C60" s="54" t="s">
        <v>346</v>
      </c>
      <c r="D60" s="66">
        <f>'Rekap SHU dan Jasa Simpanan'!BT42</f>
        <v>936165.16693064349</v>
      </c>
      <c r="E60" s="54" t="s">
        <v>345</v>
      </c>
      <c r="F60" s="54"/>
    </row>
    <row r="61" spans="1:6" x14ac:dyDescent="0.25">
      <c r="A61" s="53">
        <v>54</v>
      </c>
      <c r="B61" s="53">
        <v>54</v>
      </c>
      <c r="C61" s="54" t="s">
        <v>348</v>
      </c>
      <c r="D61" s="66">
        <f>'Rekap SHU dan Jasa Simpanan'!BT43</f>
        <v>997756.64806032809</v>
      </c>
      <c r="E61" s="54"/>
      <c r="F61" s="54" t="s">
        <v>347</v>
      </c>
    </row>
    <row r="62" spans="1:6" x14ac:dyDescent="0.25">
      <c r="A62" s="53">
        <v>55</v>
      </c>
      <c r="B62" s="53">
        <v>220</v>
      </c>
      <c r="C62" s="54" t="s">
        <v>350</v>
      </c>
      <c r="D62" s="66">
        <f>+'Rekap SHU dan Jasa Simpanan'!BT142</f>
        <v>478642.11498555978</v>
      </c>
      <c r="E62" s="54" t="s">
        <v>349</v>
      </c>
      <c r="F62" s="54"/>
    </row>
    <row r="63" spans="1:6" x14ac:dyDescent="0.25">
      <c r="A63" s="53">
        <v>56</v>
      </c>
      <c r="B63" s="53">
        <v>55</v>
      </c>
      <c r="C63" s="54" t="s">
        <v>352</v>
      </c>
      <c r="D63" s="66">
        <f>'Rekap SHU dan Jasa Simpanan'!BT44</f>
        <v>1162089.5732077162</v>
      </c>
      <c r="E63" s="54"/>
      <c r="F63" s="54" t="s">
        <v>351</v>
      </c>
    </row>
    <row r="64" spans="1:6" x14ac:dyDescent="0.25">
      <c r="A64" s="53">
        <v>57</v>
      </c>
      <c r="B64" s="53">
        <v>56</v>
      </c>
      <c r="C64" s="54" t="s">
        <v>354</v>
      </c>
      <c r="D64" s="66">
        <f>'Rekap SHU dan Jasa Simpanan'!BT45</f>
        <v>1933236.7002227074</v>
      </c>
      <c r="E64" s="54" t="s">
        <v>353</v>
      </c>
      <c r="F64" s="54"/>
    </row>
    <row r="65" spans="1:6" x14ac:dyDescent="0.25">
      <c r="A65" s="53">
        <v>58</v>
      </c>
      <c r="B65" s="53">
        <v>67</v>
      </c>
      <c r="C65" s="54" t="s">
        <v>356</v>
      </c>
      <c r="D65" s="66">
        <f>'Rekap SHU dan Jasa Simpanan'!BT55</f>
        <v>432511.28491518786</v>
      </c>
      <c r="E65" s="54"/>
      <c r="F65" s="54" t="s">
        <v>355</v>
      </c>
    </row>
    <row r="66" spans="1:6" x14ac:dyDescent="0.25">
      <c r="A66" s="53">
        <v>59</v>
      </c>
      <c r="B66" s="53">
        <v>58</v>
      </c>
      <c r="C66" s="54" t="s">
        <v>358</v>
      </c>
      <c r="D66" s="66">
        <f>'Rekap SHU dan Jasa Simpanan'!BT46</f>
        <v>880522.37396870658</v>
      </c>
      <c r="E66" s="54" t="s">
        <v>357</v>
      </c>
      <c r="F66" s="54"/>
    </row>
    <row r="67" spans="1:6" x14ac:dyDescent="0.25">
      <c r="A67" s="53">
        <v>60</v>
      </c>
      <c r="B67" s="53">
        <v>224</v>
      </c>
      <c r="C67" s="54" t="s">
        <v>360</v>
      </c>
      <c r="D67" s="66">
        <f>'Rekap SHU dan Jasa Simpanan'!BT145</f>
        <v>463672.47493130353</v>
      </c>
      <c r="E67" s="54"/>
      <c r="F67" s="54" t="s">
        <v>359</v>
      </c>
    </row>
    <row r="68" spans="1:6" x14ac:dyDescent="0.25">
      <c r="A68" s="53">
        <v>61</v>
      </c>
      <c r="B68" s="53">
        <v>60</v>
      </c>
      <c r="C68" s="54" t="s">
        <v>362</v>
      </c>
      <c r="D68" s="66">
        <f>'Rekap SHU dan Jasa Simpanan'!BT48</f>
        <v>755480.39060561906</v>
      </c>
      <c r="E68" s="54" t="s">
        <v>361</v>
      </c>
      <c r="F68" s="54"/>
    </row>
    <row r="69" spans="1:6" x14ac:dyDescent="0.25">
      <c r="A69" s="53">
        <v>62</v>
      </c>
      <c r="B69" s="53">
        <v>146</v>
      </c>
      <c r="C69" s="54" t="s">
        <v>364</v>
      </c>
      <c r="D69" s="66">
        <f>'Rekap SHU dan Jasa Simpanan'!BT87</f>
        <v>356935.84017450403</v>
      </c>
      <c r="E69" s="54"/>
      <c r="F69" s="54" t="s">
        <v>363</v>
      </c>
    </row>
    <row r="70" spans="1:6" x14ac:dyDescent="0.25">
      <c r="A70" s="53">
        <v>63</v>
      </c>
      <c r="B70" s="53">
        <v>61</v>
      </c>
      <c r="C70" s="54" t="s">
        <v>366</v>
      </c>
      <c r="D70" s="66">
        <f>'Rekap SHU dan Jasa Simpanan'!BT49</f>
        <v>848927.18213002267</v>
      </c>
      <c r="E70" s="54" t="s">
        <v>365</v>
      </c>
      <c r="F70" s="54"/>
    </row>
    <row r="71" spans="1:6" x14ac:dyDescent="0.25">
      <c r="A71" s="53">
        <v>64</v>
      </c>
      <c r="B71" s="53">
        <v>225</v>
      </c>
      <c r="C71" s="54" t="s">
        <v>368</v>
      </c>
      <c r="D71" s="66">
        <f>'Rekap SHU dan Jasa Simpanan'!BT146</f>
        <v>334381.91551416414</v>
      </c>
      <c r="E71" s="54"/>
      <c r="F71" s="54" t="s">
        <v>367</v>
      </c>
    </row>
    <row r="72" spans="1:6" x14ac:dyDescent="0.25">
      <c r="A72" s="53">
        <v>65</v>
      </c>
      <c r="B72" s="53">
        <v>62</v>
      </c>
      <c r="C72" s="54" t="s">
        <v>370</v>
      </c>
      <c r="D72" s="66">
        <f>'Rekap SHU dan Jasa Simpanan'!BT50</f>
        <v>622836.65643450513</v>
      </c>
      <c r="E72" s="54" t="s">
        <v>369</v>
      </c>
      <c r="F72" s="54"/>
    </row>
    <row r="73" spans="1:6" x14ac:dyDescent="0.25">
      <c r="A73" s="53">
        <v>66</v>
      </c>
      <c r="B73" s="53">
        <v>228</v>
      </c>
      <c r="C73" s="54" t="s">
        <v>372</v>
      </c>
      <c r="D73" s="66">
        <f>'Rekap SHU dan Jasa Simpanan'!BT149</f>
        <v>639484.36450217583</v>
      </c>
      <c r="E73" s="54"/>
      <c r="F73" s="54" t="s">
        <v>371</v>
      </c>
    </row>
    <row r="74" spans="1:6" x14ac:dyDescent="0.25">
      <c r="A74" s="53">
        <v>67</v>
      </c>
      <c r="B74" s="53">
        <v>63</v>
      </c>
      <c r="C74" s="54" t="s">
        <v>374</v>
      </c>
      <c r="D74" s="66">
        <f>'Rekap SHU dan Jasa Simpanan'!BT51</f>
        <v>889460.89667450369</v>
      </c>
      <c r="E74" s="54" t="s">
        <v>373</v>
      </c>
      <c r="F74" s="54"/>
    </row>
    <row r="75" spans="1:6" x14ac:dyDescent="0.25">
      <c r="A75" s="53">
        <v>68</v>
      </c>
      <c r="B75" s="53">
        <v>187</v>
      </c>
      <c r="C75" s="54" t="s">
        <v>376</v>
      </c>
      <c r="D75" s="66">
        <f>'Rekap SHU dan Jasa Simpanan'!BT116</f>
        <v>239929.32231114685</v>
      </c>
      <c r="E75" s="54"/>
      <c r="F75" s="54" t="s">
        <v>375</v>
      </c>
    </row>
    <row r="76" spans="1:6" x14ac:dyDescent="0.25">
      <c r="A76" s="53">
        <v>69</v>
      </c>
      <c r="B76" s="53">
        <v>64</v>
      </c>
      <c r="C76" s="54" t="s">
        <v>378</v>
      </c>
      <c r="D76" s="66">
        <f>'Rekap SHU dan Jasa Simpanan'!BT52</f>
        <v>925627.52842929703</v>
      </c>
      <c r="E76" s="54" t="s">
        <v>377</v>
      </c>
      <c r="F76" s="54"/>
    </row>
    <row r="77" spans="1:6" x14ac:dyDescent="0.25">
      <c r="A77" s="53">
        <v>70</v>
      </c>
      <c r="B77" s="53">
        <v>196</v>
      </c>
      <c r="C77" s="54" t="s">
        <v>380</v>
      </c>
      <c r="D77" s="66">
        <f>'Rekap SHU dan Jasa Simpanan'!BT123</f>
        <v>559357.224411726</v>
      </c>
      <c r="E77" s="54"/>
      <c r="F77" s="54" t="s">
        <v>379</v>
      </c>
    </row>
    <row r="78" spans="1:6" x14ac:dyDescent="0.25">
      <c r="A78" s="53">
        <v>71</v>
      </c>
      <c r="B78" s="53">
        <v>65</v>
      </c>
      <c r="C78" s="54" t="s">
        <v>382</v>
      </c>
      <c r="D78" s="66">
        <f>'Rekap SHU dan Jasa Simpanan'!BT53</f>
        <v>3822072.3765796158</v>
      </c>
      <c r="E78" s="54" t="s">
        <v>381</v>
      </c>
      <c r="F78" s="54"/>
    </row>
    <row r="79" spans="1:6" x14ac:dyDescent="0.25">
      <c r="A79" s="53">
        <v>72</v>
      </c>
      <c r="B79" s="53">
        <v>162</v>
      </c>
      <c r="C79" s="54" t="s">
        <v>384</v>
      </c>
      <c r="D79" s="66">
        <f>'Rekap SHU dan Jasa Simpanan'!BT100</f>
        <v>1461740.4000451015</v>
      </c>
      <c r="E79" s="54"/>
      <c r="F79" s="54" t="s">
        <v>383</v>
      </c>
    </row>
    <row r="80" spans="1:6" x14ac:dyDescent="0.25">
      <c r="A80" s="53">
        <v>73</v>
      </c>
      <c r="B80" s="53">
        <v>66</v>
      </c>
      <c r="C80" s="54" t="s">
        <v>386</v>
      </c>
      <c r="D80" s="66">
        <f>'Rekap SHU dan Jasa Simpanan'!BT54</f>
        <v>1952075.0899733435</v>
      </c>
      <c r="E80" s="54" t="s">
        <v>385</v>
      </c>
      <c r="F80" s="54"/>
    </row>
    <row r="81" spans="1:6" x14ac:dyDescent="0.25">
      <c r="A81" s="53">
        <v>74</v>
      </c>
      <c r="B81" s="53">
        <v>189</v>
      </c>
      <c r="C81" s="54" t="s">
        <v>388</v>
      </c>
      <c r="D81" s="66">
        <f>'Rekap SHU dan Jasa Simpanan'!BT118</f>
        <v>1987525.9061323518</v>
      </c>
      <c r="E81" s="54"/>
      <c r="F81" s="54" t="s">
        <v>387</v>
      </c>
    </row>
    <row r="82" spans="1:6" x14ac:dyDescent="0.25">
      <c r="A82" s="53">
        <v>75</v>
      </c>
      <c r="B82" s="53">
        <v>120</v>
      </c>
      <c r="C82" s="54" t="s">
        <v>390</v>
      </c>
      <c r="D82" s="66">
        <f>'Rekap SHU dan Jasa Simpanan'!BT74</f>
        <v>751559.63446164574</v>
      </c>
      <c r="E82" s="54" t="s">
        <v>389</v>
      </c>
      <c r="F82" s="54"/>
    </row>
    <row r="83" spans="1:6" x14ac:dyDescent="0.25">
      <c r="A83" s="53">
        <v>76</v>
      </c>
      <c r="B83" s="53">
        <v>192</v>
      </c>
      <c r="C83" s="54" t="s">
        <v>392</v>
      </c>
      <c r="D83" s="66">
        <f>'Rekap SHU dan Jasa Simpanan'!BT120</f>
        <v>881350.19708719384</v>
      </c>
      <c r="E83" s="54"/>
      <c r="F83" s="54" t="s">
        <v>391</v>
      </c>
    </row>
    <row r="84" spans="1:6" x14ac:dyDescent="0.25">
      <c r="A84" s="53">
        <v>77</v>
      </c>
      <c r="B84" s="53">
        <v>215</v>
      </c>
      <c r="C84" s="54" t="s">
        <v>394</v>
      </c>
      <c r="D84" s="66">
        <f>'Rekap SHU dan Jasa Simpanan'!BT130</f>
        <v>639579.08059037989</v>
      </c>
      <c r="E84" s="54" t="s">
        <v>393</v>
      </c>
      <c r="F84" s="54"/>
    </row>
    <row r="85" spans="1:6" x14ac:dyDescent="0.25">
      <c r="A85" s="53">
        <v>78</v>
      </c>
      <c r="B85" s="53">
        <v>261</v>
      </c>
      <c r="C85" s="54" t="s">
        <v>396</v>
      </c>
      <c r="D85" s="66">
        <f>'Rekap SHU dan Jasa Simpanan'!BT177</f>
        <v>308080.26995739754</v>
      </c>
      <c r="E85" s="54"/>
      <c r="F85" s="54" t="s">
        <v>395</v>
      </c>
    </row>
    <row r="86" spans="1:6" x14ac:dyDescent="0.25">
      <c r="A86" s="53">
        <v>79</v>
      </c>
      <c r="B86" s="53">
        <v>240</v>
      </c>
      <c r="C86" s="54" t="s">
        <v>398</v>
      </c>
      <c r="D86" s="66">
        <f>'Rekap SHU dan Jasa Simpanan'!BT160</f>
        <v>996590.38411134272</v>
      </c>
      <c r="E86" s="54" t="s">
        <v>397</v>
      </c>
      <c r="F86" s="54"/>
    </row>
    <row r="87" spans="1:6" x14ac:dyDescent="0.25">
      <c r="A87" s="53">
        <v>80</v>
      </c>
      <c r="B87" s="53">
        <v>257</v>
      </c>
      <c r="C87" s="54" t="s">
        <v>400</v>
      </c>
      <c r="D87" s="66">
        <f>'Rekap SHU dan Jasa Simpanan'!BT174</f>
        <v>145611.14227015368</v>
      </c>
      <c r="E87" s="54"/>
      <c r="F87" s="54" t="s">
        <v>399</v>
      </c>
    </row>
    <row r="88" spans="1:6" x14ac:dyDescent="0.25">
      <c r="A88" s="53">
        <v>81</v>
      </c>
      <c r="B88" s="53">
        <v>285</v>
      </c>
      <c r="C88" s="71" t="s">
        <v>519</v>
      </c>
      <c r="D88" s="66">
        <f>'Rekap SHU dan Jasa Simpanan'!BT200</f>
        <v>60133.146468119732</v>
      </c>
      <c r="E88" s="54" t="s">
        <v>401</v>
      </c>
      <c r="F88" s="54"/>
    </row>
    <row r="89" spans="1:6" x14ac:dyDescent="0.25">
      <c r="A89" s="53">
        <v>82</v>
      </c>
      <c r="B89" s="53">
        <v>258</v>
      </c>
      <c r="C89" s="54" t="s">
        <v>402</v>
      </c>
      <c r="D89" s="66">
        <f>'Rekap SHU dan Jasa Simpanan'!BT175</f>
        <v>1116109.4826592514</v>
      </c>
      <c r="E89" s="54"/>
      <c r="F89" s="54" t="s">
        <v>403</v>
      </c>
    </row>
    <row r="90" spans="1:6" x14ac:dyDescent="0.25">
      <c r="A90" s="53">
        <v>83</v>
      </c>
      <c r="B90" s="53">
        <v>260</v>
      </c>
      <c r="C90" s="54" t="s">
        <v>404</v>
      </c>
      <c r="D90" s="66">
        <f>'Rekap SHU dan Jasa Simpanan'!BT176</f>
        <v>878948.98075410374</v>
      </c>
      <c r="E90" s="54" t="s">
        <v>405</v>
      </c>
      <c r="F90" s="54"/>
    </row>
    <row r="91" spans="1:6" x14ac:dyDescent="0.25">
      <c r="A91" s="53">
        <v>84</v>
      </c>
      <c r="B91" s="53">
        <v>279</v>
      </c>
      <c r="C91" s="54" t="s">
        <v>406</v>
      </c>
      <c r="D91" s="66">
        <f>'Rekap SHU dan Jasa Simpanan'!BT194</f>
        <v>301216.66312768433</v>
      </c>
      <c r="E91" s="54"/>
      <c r="F91" s="54" t="s">
        <v>407</v>
      </c>
    </row>
    <row r="92" spans="1:6" x14ac:dyDescent="0.25">
      <c r="A92" s="53">
        <v>85</v>
      </c>
      <c r="B92" s="53">
        <v>263</v>
      </c>
      <c r="C92" s="54" t="s">
        <v>408</v>
      </c>
      <c r="D92" s="66">
        <f>'Rekap SHU dan Jasa Simpanan'!BT179</f>
        <v>321950.73604059726</v>
      </c>
      <c r="E92" s="54" t="s">
        <v>409</v>
      </c>
      <c r="F92" s="54"/>
    </row>
    <row r="93" spans="1:6" x14ac:dyDescent="0.25">
      <c r="A93" s="53">
        <v>86</v>
      </c>
      <c r="B93" s="53">
        <v>280</v>
      </c>
      <c r="C93" s="54" t="s">
        <v>195</v>
      </c>
      <c r="D93" s="66">
        <f>'Rekap SHU dan Jasa Simpanan'!BT195</f>
        <v>263330.80954144307</v>
      </c>
      <c r="E93" s="54"/>
      <c r="F93" s="54" t="s">
        <v>410</v>
      </c>
    </row>
    <row r="94" spans="1:6" x14ac:dyDescent="0.25">
      <c r="A94" s="53">
        <v>87</v>
      </c>
      <c r="B94" s="61">
        <v>288</v>
      </c>
      <c r="C94" s="62" t="s">
        <v>198</v>
      </c>
      <c r="D94" s="67">
        <f>'Rekap SHU dan Jasa Simpanan'!BT203</f>
        <v>139490.18062503432</v>
      </c>
      <c r="E94" s="54" t="s">
        <v>411</v>
      </c>
      <c r="F94" s="54"/>
    </row>
    <row r="95" spans="1:6" x14ac:dyDescent="0.25">
      <c r="A95" s="55">
        <v>88</v>
      </c>
      <c r="B95" s="63">
        <v>289</v>
      </c>
      <c r="C95" s="64" t="s">
        <v>199</v>
      </c>
      <c r="D95" s="68">
        <f>'Rekap SHU dan Jasa Simpanan'!BT204</f>
        <v>26074.807327310347</v>
      </c>
      <c r="E95" s="56"/>
      <c r="F95" s="72" t="s">
        <v>520</v>
      </c>
    </row>
    <row r="96" spans="1:6" ht="21" customHeight="1" x14ac:dyDescent="0.25">
      <c r="A96" s="149" t="s">
        <v>412</v>
      </c>
      <c r="B96" s="149"/>
      <c r="C96" s="149"/>
      <c r="D96" s="69">
        <f>SUM(D8:D95)</f>
        <v>76455636.779254362</v>
      </c>
      <c r="E96" s="152"/>
      <c r="F96" s="152"/>
    </row>
    <row r="97" spans="3:6" x14ac:dyDescent="0.25">
      <c r="C97" s="57"/>
      <c r="D97" s="57"/>
      <c r="E97" s="57"/>
      <c r="F97" s="59"/>
    </row>
    <row r="98" spans="3:6" x14ac:dyDescent="0.25">
      <c r="C98" s="57"/>
      <c r="D98" s="57"/>
      <c r="E98" s="57"/>
      <c r="F98" s="58"/>
    </row>
    <row r="99" spans="3:6" x14ac:dyDescent="0.25">
      <c r="C99" s="57"/>
      <c r="D99" s="57"/>
      <c r="E99" s="60"/>
      <c r="F99" s="58"/>
    </row>
    <row r="100" spans="3:6" x14ac:dyDescent="0.25">
      <c r="C100" s="57"/>
      <c r="D100" s="57"/>
      <c r="E100" s="57"/>
      <c r="F100" s="58"/>
    </row>
  </sheetData>
  <mergeCells count="10">
    <mergeCell ref="A96:C96"/>
    <mergeCell ref="D6:D7"/>
    <mergeCell ref="E96:F96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39" zoomScaleNormal="100" workbookViewId="0">
      <selection activeCell="D49" sqref="D49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" style="47" customWidth="1"/>
    <col min="5" max="5" width="13" style="47" customWidth="1"/>
    <col min="6" max="6" width="13.140625" style="47" customWidth="1"/>
    <col min="7" max="7" width="9.140625" style="47"/>
    <col min="8" max="8" width="15" style="47" bestFit="1" customWidth="1"/>
    <col min="9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413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7" t="s">
        <v>415</v>
      </c>
      <c r="F5" s="157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75</v>
      </c>
      <c r="C8" s="52" t="s">
        <v>416</v>
      </c>
      <c r="D8" s="65">
        <f>'Rekap SHU dan Jasa Simpanan'!BT58</f>
        <v>319009.97956969915</v>
      </c>
      <c r="E8" s="52" t="s">
        <v>242</v>
      </c>
      <c r="F8" s="52"/>
    </row>
    <row r="9" spans="1:6" x14ac:dyDescent="0.25">
      <c r="A9" s="53">
        <v>2</v>
      </c>
      <c r="B9" s="53">
        <v>76</v>
      </c>
      <c r="C9" s="54" t="s">
        <v>417</v>
      </c>
      <c r="D9" s="66">
        <f>'Rekap SHU dan Jasa Simpanan'!BT59</f>
        <v>447839.71676910634</v>
      </c>
      <c r="E9" s="54"/>
      <c r="F9" s="54" t="s">
        <v>244</v>
      </c>
    </row>
    <row r="10" spans="1:6" x14ac:dyDescent="0.25">
      <c r="A10" s="53">
        <v>3</v>
      </c>
      <c r="B10" s="53">
        <v>95</v>
      </c>
      <c r="C10" s="54" t="s">
        <v>418</v>
      </c>
      <c r="D10" s="66">
        <f>'Rekap SHU dan Jasa Simpanan'!BT65</f>
        <v>495090.19003811677</v>
      </c>
      <c r="E10" s="54" t="s">
        <v>246</v>
      </c>
      <c r="F10" s="54"/>
    </row>
    <row r="11" spans="1:6" x14ac:dyDescent="0.25">
      <c r="A11" s="53">
        <v>4</v>
      </c>
      <c r="B11" s="53">
        <v>98</v>
      </c>
      <c r="C11" s="54" t="s">
        <v>419</v>
      </c>
      <c r="D11" s="66">
        <f>'Rekap SHU dan Jasa Simpanan'!BT66</f>
        <v>1146831.2280014679</v>
      </c>
      <c r="E11" s="54"/>
      <c r="F11" s="54" t="s">
        <v>248</v>
      </c>
    </row>
    <row r="12" spans="1:6" x14ac:dyDescent="0.25">
      <c r="A12" s="53">
        <v>5</v>
      </c>
      <c r="B12" s="53">
        <v>102</v>
      </c>
      <c r="C12" s="54" t="s">
        <v>420</v>
      </c>
      <c r="D12" s="66">
        <f>'Rekap SHU dan Jasa Simpanan'!BT67</f>
        <v>480381.91085421911</v>
      </c>
      <c r="E12" s="54" t="s">
        <v>250</v>
      </c>
      <c r="F12" s="54"/>
    </row>
    <row r="13" spans="1:6" x14ac:dyDescent="0.25">
      <c r="A13" s="73">
        <v>6</v>
      </c>
      <c r="B13" s="73">
        <v>106</v>
      </c>
      <c r="C13" s="74" t="s">
        <v>421</v>
      </c>
      <c r="D13" s="66">
        <f>'Rekap SHU dan Jasa Simpanan'!BT68</f>
        <v>189292.64758662711</v>
      </c>
      <c r="E13" s="74"/>
      <c r="F13" s="74" t="s">
        <v>252</v>
      </c>
    </row>
    <row r="14" spans="1:6" x14ac:dyDescent="0.25">
      <c r="A14" s="73">
        <v>7</v>
      </c>
      <c r="B14" s="73">
        <v>117</v>
      </c>
      <c r="C14" s="74" t="s">
        <v>422</v>
      </c>
      <c r="D14" s="80">
        <f>'Rekap SHU dan Jasa Simpanan'!BT71</f>
        <v>397450.74517697172</v>
      </c>
      <c r="E14" s="74" t="s">
        <v>254</v>
      </c>
      <c r="F14" s="74"/>
    </row>
    <row r="15" spans="1:6" x14ac:dyDescent="0.25">
      <c r="A15" s="73">
        <v>8</v>
      </c>
      <c r="B15" s="73">
        <v>118</v>
      </c>
      <c r="C15" s="74" t="s">
        <v>423</v>
      </c>
      <c r="D15" s="80">
        <f>'Rekap SHU dan Jasa Simpanan'!BT72</f>
        <v>433244.93445134821</v>
      </c>
      <c r="E15" s="54"/>
      <c r="F15" s="54" t="s">
        <v>256</v>
      </c>
    </row>
    <row r="16" spans="1:6" x14ac:dyDescent="0.25">
      <c r="A16" s="73">
        <v>9</v>
      </c>
      <c r="B16" s="73">
        <v>119</v>
      </c>
      <c r="C16" s="74" t="s">
        <v>424</v>
      </c>
      <c r="D16" s="80">
        <f>'Rekap SHU dan Jasa Simpanan'!BT73</f>
        <v>353253.69453664817</v>
      </c>
      <c r="E16" s="54" t="s">
        <v>258</v>
      </c>
      <c r="F16" s="54"/>
    </row>
    <row r="17" spans="1:6" x14ac:dyDescent="0.25">
      <c r="A17" s="73">
        <v>10</v>
      </c>
      <c r="B17" s="73">
        <v>123</v>
      </c>
      <c r="C17" s="74" t="s">
        <v>425</v>
      </c>
      <c r="D17" s="80">
        <f>'Rekap SHU dan Jasa Simpanan'!BT76</f>
        <v>394737.07474993676</v>
      </c>
      <c r="E17" s="54"/>
      <c r="F17" s="54" t="s">
        <v>260</v>
      </c>
    </row>
    <row r="18" spans="1:6" x14ac:dyDescent="0.25">
      <c r="A18" s="73">
        <v>11</v>
      </c>
      <c r="B18" s="73">
        <v>124</v>
      </c>
      <c r="C18" s="74" t="s">
        <v>426</v>
      </c>
      <c r="D18" s="80">
        <f>'Rekap SHU dan Jasa Simpanan'!BT77</f>
        <v>393194.02330053179</v>
      </c>
      <c r="E18" s="54" t="s">
        <v>262</v>
      </c>
      <c r="F18" s="54"/>
    </row>
    <row r="19" spans="1:6" x14ac:dyDescent="0.25">
      <c r="A19" s="73">
        <v>12</v>
      </c>
      <c r="B19" s="73">
        <v>129</v>
      </c>
      <c r="C19" s="74" t="s">
        <v>427</v>
      </c>
      <c r="D19" s="80">
        <f>'Rekap SHU dan Jasa Simpanan'!BT78</f>
        <v>391741.28149331274</v>
      </c>
      <c r="E19" s="74"/>
      <c r="F19" s="74" t="s">
        <v>264</v>
      </c>
    </row>
    <row r="20" spans="1:6" x14ac:dyDescent="0.25">
      <c r="A20" s="73">
        <v>13</v>
      </c>
      <c r="B20" s="73">
        <v>130</v>
      </c>
      <c r="C20" s="74" t="s">
        <v>428</v>
      </c>
      <c r="D20" s="80">
        <f>'Rekap SHU dan Jasa Simpanan'!BT79</f>
        <v>575580.94169295416</v>
      </c>
      <c r="E20" s="74" t="s">
        <v>266</v>
      </c>
      <c r="F20" s="74"/>
    </row>
    <row r="21" spans="1:6" x14ac:dyDescent="0.25">
      <c r="A21" s="73">
        <v>14</v>
      </c>
      <c r="B21" s="73">
        <v>143</v>
      </c>
      <c r="C21" s="74" t="s">
        <v>429</v>
      </c>
      <c r="D21" s="80">
        <f>'Rekap SHU dan Jasa Simpanan'!BT85</f>
        <v>351958.86353296973</v>
      </c>
      <c r="E21" s="54"/>
      <c r="F21" s="54" t="s">
        <v>268</v>
      </c>
    </row>
    <row r="22" spans="1:6" x14ac:dyDescent="0.25">
      <c r="A22" s="73">
        <v>15</v>
      </c>
      <c r="B22" s="73">
        <v>150</v>
      </c>
      <c r="C22" s="74" t="s">
        <v>430</v>
      </c>
      <c r="D22" s="80">
        <f>'Rekap SHU dan Jasa Simpanan'!BT90</f>
        <v>1337002.6501669807</v>
      </c>
      <c r="E22" s="54" t="s">
        <v>269</v>
      </c>
      <c r="F22" s="54"/>
    </row>
    <row r="23" spans="1:6" x14ac:dyDescent="0.25">
      <c r="A23" s="73">
        <v>16</v>
      </c>
      <c r="B23" s="73">
        <v>151</v>
      </c>
      <c r="C23" s="74" t="s">
        <v>431</v>
      </c>
      <c r="D23" s="80">
        <f>'Rekap SHU dan Jasa Simpanan'!BT91</f>
        <v>923696.3120010175</v>
      </c>
      <c r="E23" s="54"/>
      <c r="F23" s="54" t="s">
        <v>271</v>
      </c>
    </row>
    <row r="24" spans="1:6" x14ac:dyDescent="0.25">
      <c r="A24" s="73">
        <v>17</v>
      </c>
      <c r="B24" s="73">
        <v>152</v>
      </c>
      <c r="C24" s="74" t="s">
        <v>432</v>
      </c>
      <c r="D24" s="80">
        <f>'Rekap SHU dan Jasa Simpanan'!BT92</f>
        <v>339102.66504177224</v>
      </c>
      <c r="E24" s="54" t="s">
        <v>273</v>
      </c>
      <c r="F24" s="54"/>
    </row>
    <row r="25" spans="1:6" x14ac:dyDescent="0.25">
      <c r="A25" s="73">
        <v>18</v>
      </c>
      <c r="B25" s="73">
        <v>153</v>
      </c>
      <c r="C25" s="74" t="s">
        <v>433</v>
      </c>
      <c r="D25" s="80">
        <f>'Rekap SHU dan Jasa Simpanan'!BT93</f>
        <v>377938.72101213597</v>
      </c>
      <c r="E25" s="74"/>
      <c r="F25" s="74" t="s">
        <v>275</v>
      </c>
    </row>
    <row r="26" spans="1:6" x14ac:dyDescent="0.25">
      <c r="A26" s="73">
        <v>19</v>
      </c>
      <c r="B26" s="73">
        <v>155</v>
      </c>
      <c r="C26" s="74" t="s">
        <v>434</v>
      </c>
      <c r="D26" s="80">
        <f>'Rekap SHU dan Jasa Simpanan'!BT94</f>
        <v>188824.79466136137</v>
      </c>
      <c r="E26" s="74" t="s">
        <v>277</v>
      </c>
      <c r="F26" s="74"/>
    </row>
    <row r="27" spans="1:6" x14ac:dyDescent="0.25">
      <c r="A27" s="73">
        <v>20</v>
      </c>
      <c r="B27" s="73">
        <v>159</v>
      </c>
      <c r="C27" s="74" t="s">
        <v>435</v>
      </c>
      <c r="D27" s="80">
        <f>'Rekap SHU dan Jasa Simpanan'!BT97</f>
        <v>149605.72916442351</v>
      </c>
      <c r="E27" s="54"/>
      <c r="F27" s="54" t="s">
        <v>279</v>
      </c>
    </row>
    <row r="28" spans="1:6" x14ac:dyDescent="0.25">
      <c r="A28" s="73">
        <v>21</v>
      </c>
      <c r="B28" s="73">
        <v>161</v>
      </c>
      <c r="C28" s="74" t="s">
        <v>436</v>
      </c>
      <c r="D28" s="80">
        <f>'Rekap SHU dan Jasa Simpanan'!BT99</f>
        <v>386409.36115363881</v>
      </c>
      <c r="E28" s="54" t="s">
        <v>281</v>
      </c>
      <c r="F28" s="54"/>
    </row>
    <row r="29" spans="1:6" x14ac:dyDescent="0.25">
      <c r="A29" s="73">
        <v>22</v>
      </c>
      <c r="B29" s="73">
        <v>164</v>
      </c>
      <c r="C29" s="74" t="s">
        <v>437</v>
      </c>
      <c r="D29" s="80">
        <f>'Rekap SHU dan Jasa Simpanan'!BT102</f>
        <v>500016.52744321839</v>
      </c>
      <c r="E29" s="54"/>
      <c r="F29" s="54" t="s">
        <v>283</v>
      </c>
    </row>
    <row r="30" spans="1:6" x14ac:dyDescent="0.25">
      <c r="A30" s="73">
        <v>23</v>
      </c>
      <c r="B30" s="73">
        <v>166</v>
      </c>
      <c r="C30" s="74" t="s">
        <v>438</v>
      </c>
      <c r="D30" s="80">
        <f>'Rekap SHU dan Jasa Simpanan'!BT103</f>
        <v>308121.65093580098</v>
      </c>
      <c r="E30" s="54" t="s">
        <v>285</v>
      </c>
      <c r="F30" s="54"/>
    </row>
    <row r="31" spans="1:6" x14ac:dyDescent="0.25">
      <c r="A31" s="73">
        <v>24</v>
      </c>
      <c r="B31" s="73">
        <v>167</v>
      </c>
      <c r="C31" s="74" t="s">
        <v>439</v>
      </c>
      <c r="D31" s="80">
        <f>'Rekap SHU dan Jasa Simpanan'!BT104</f>
        <v>304092.31974852725</v>
      </c>
      <c r="E31" s="74"/>
      <c r="F31" s="74" t="s">
        <v>287</v>
      </c>
    </row>
    <row r="32" spans="1:6" x14ac:dyDescent="0.25">
      <c r="A32" s="73">
        <v>25</v>
      </c>
      <c r="B32" s="73">
        <v>169</v>
      </c>
      <c r="C32" s="74" t="s">
        <v>440</v>
      </c>
      <c r="D32" s="80">
        <f>'Rekap SHU dan Jasa Simpanan'!BT105</f>
        <v>376508.3637060629</v>
      </c>
      <c r="E32" s="74" t="s">
        <v>289</v>
      </c>
      <c r="F32" s="74"/>
    </row>
    <row r="33" spans="1:6" x14ac:dyDescent="0.25">
      <c r="A33" s="73">
        <v>26</v>
      </c>
      <c r="B33" s="73">
        <v>175</v>
      </c>
      <c r="C33" s="74" t="s">
        <v>441</v>
      </c>
      <c r="D33" s="80">
        <f>'Rekap SHU dan Jasa Simpanan'!BT109</f>
        <v>337149.56706879596</v>
      </c>
      <c r="E33" s="54"/>
      <c r="F33" s="54" t="s">
        <v>291</v>
      </c>
    </row>
    <row r="34" spans="1:6" x14ac:dyDescent="0.25">
      <c r="A34" s="73">
        <v>27</v>
      </c>
      <c r="B34" s="73">
        <v>176</v>
      </c>
      <c r="C34" s="74" t="s">
        <v>442</v>
      </c>
      <c r="D34" s="80">
        <f>'Rekap SHU dan Jasa Simpanan'!BT110</f>
        <v>323658.14995333896</v>
      </c>
      <c r="E34" s="54" t="s">
        <v>293</v>
      </c>
      <c r="F34" s="54"/>
    </row>
    <row r="35" spans="1:6" x14ac:dyDescent="0.25">
      <c r="A35" s="73">
        <v>28</v>
      </c>
      <c r="B35" s="73">
        <v>178</v>
      </c>
      <c r="C35" s="74" t="s">
        <v>443</v>
      </c>
      <c r="D35" s="80">
        <f>'Rekap SHU dan Jasa Simpanan'!BT111</f>
        <v>243718.12533301022</v>
      </c>
      <c r="E35" s="54"/>
      <c r="F35" s="54" t="s">
        <v>295</v>
      </c>
    </row>
    <row r="36" spans="1:6" x14ac:dyDescent="0.25">
      <c r="A36" s="73">
        <v>29</v>
      </c>
      <c r="B36" s="73">
        <v>194</v>
      </c>
      <c r="C36" s="74" t="s">
        <v>444</v>
      </c>
      <c r="D36" s="80">
        <f>'Rekap SHU dan Jasa Simpanan'!BT121</f>
        <v>302658.87653179065</v>
      </c>
      <c r="E36" s="54" t="s">
        <v>297</v>
      </c>
      <c r="F36" s="54"/>
    </row>
    <row r="37" spans="1:6" x14ac:dyDescent="0.25">
      <c r="A37" s="73">
        <v>30</v>
      </c>
      <c r="B37" s="73">
        <v>197</v>
      </c>
      <c r="C37" s="74" t="s">
        <v>445</v>
      </c>
      <c r="D37" s="80">
        <f>'Rekap SHU dan Jasa Simpanan'!BT124</f>
        <v>765612.1698025947</v>
      </c>
      <c r="E37" s="74"/>
      <c r="F37" s="74" t="s">
        <v>299</v>
      </c>
    </row>
    <row r="38" spans="1:6" x14ac:dyDescent="0.25">
      <c r="A38" s="73">
        <v>31</v>
      </c>
      <c r="B38" s="73">
        <v>199</v>
      </c>
      <c r="C38" s="74" t="s">
        <v>446</v>
      </c>
      <c r="D38" s="80">
        <f>'Rekap SHU dan Jasa Simpanan'!BT125</f>
        <v>344894.81065163523</v>
      </c>
      <c r="E38" s="74" t="s">
        <v>301</v>
      </c>
      <c r="F38" s="74"/>
    </row>
    <row r="39" spans="1:6" x14ac:dyDescent="0.25">
      <c r="A39" s="73">
        <v>32</v>
      </c>
      <c r="B39" s="73">
        <v>200</v>
      </c>
      <c r="C39" s="74" t="s">
        <v>447</v>
      </c>
      <c r="D39" s="80">
        <f>'Rekap SHU dan Jasa Simpanan'!BT126</f>
        <v>354577.76185899158</v>
      </c>
      <c r="E39" s="54"/>
      <c r="F39" s="54" t="s">
        <v>303</v>
      </c>
    </row>
    <row r="40" spans="1:6" x14ac:dyDescent="0.25">
      <c r="A40" s="73">
        <v>33</v>
      </c>
      <c r="B40" s="73">
        <v>201</v>
      </c>
      <c r="C40" s="74" t="s">
        <v>448</v>
      </c>
      <c r="D40" s="80">
        <f>'Rekap SHU dan Jasa Simpanan'!BT127</f>
        <v>333948.87223720184</v>
      </c>
      <c r="E40" s="54" t="s">
        <v>305</v>
      </c>
      <c r="F40" s="54"/>
    </row>
    <row r="41" spans="1:6" x14ac:dyDescent="0.25">
      <c r="A41" s="73">
        <v>34</v>
      </c>
      <c r="B41" s="73">
        <v>202</v>
      </c>
      <c r="C41" s="74" t="s">
        <v>449</v>
      </c>
      <c r="D41" s="80">
        <f>'Rekap SHU dan Jasa Simpanan'!BT128</f>
        <v>441930.49294625898</v>
      </c>
      <c r="E41" s="54"/>
      <c r="F41" s="54" t="s">
        <v>307</v>
      </c>
    </row>
    <row r="42" spans="1:6" x14ac:dyDescent="0.25">
      <c r="A42" s="73">
        <v>35</v>
      </c>
      <c r="B42" s="73">
        <v>203</v>
      </c>
      <c r="C42" s="74" t="s">
        <v>450</v>
      </c>
      <c r="D42" s="80">
        <f>'Rekap SHU dan Jasa Simpanan'!BT129</f>
        <v>266166.52174695255</v>
      </c>
      <c r="E42" s="54" t="s">
        <v>309</v>
      </c>
      <c r="F42" s="54"/>
    </row>
    <row r="43" spans="1:6" x14ac:dyDescent="0.25">
      <c r="A43" s="73">
        <v>36</v>
      </c>
      <c r="B43" s="73">
        <v>204</v>
      </c>
      <c r="C43" s="74" t="s">
        <v>451</v>
      </c>
      <c r="D43" s="80">
        <f>'Rekap SHU dan Jasa Simpanan'!BT131</f>
        <v>308847.51334467187</v>
      </c>
      <c r="E43" s="74"/>
      <c r="F43" s="74" t="s">
        <v>311</v>
      </c>
    </row>
    <row r="44" spans="1:6" x14ac:dyDescent="0.25">
      <c r="A44" s="73">
        <v>37</v>
      </c>
      <c r="B44" s="73">
        <v>205</v>
      </c>
      <c r="C44" s="74" t="s">
        <v>452</v>
      </c>
      <c r="D44" s="80">
        <f>'Rekap SHU dan Jasa Simpanan'!BT132</f>
        <v>316596.53739561792</v>
      </c>
      <c r="E44" s="74" t="s">
        <v>313</v>
      </c>
      <c r="F44" s="74"/>
    </row>
    <row r="45" spans="1:6" x14ac:dyDescent="0.25">
      <c r="A45" s="73">
        <v>38</v>
      </c>
      <c r="B45" s="73">
        <v>206</v>
      </c>
      <c r="C45" s="74" t="s">
        <v>453</v>
      </c>
      <c r="D45" s="80">
        <f>'Rekap SHU dan Jasa Simpanan'!BT133</f>
        <v>331719.63592378917</v>
      </c>
      <c r="E45" s="54"/>
      <c r="F45" s="54" t="s">
        <v>315</v>
      </c>
    </row>
    <row r="46" spans="1:6" x14ac:dyDescent="0.25">
      <c r="A46" s="73">
        <v>39</v>
      </c>
      <c r="B46" s="73">
        <v>208</v>
      </c>
      <c r="C46" s="74" t="s">
        <v>454</v>
      </c>
      <c r="D46" s="80">
        <f>'Rekap SHU dan Jasa Simpanan'!BT135</f>
        <v>305027.35429388657</v>
      </c>
      <c r="E46" s="54" t="s">
        <v>317</v>
      </c>
      <c r="F46" s="54"/>
    </row>
    <row r="47" spans="1:6" x14ac:dyDescent="0.25">
      <c r="A47" s="73">
        <v>40</v>
      </c>
      <c r="B47" s="73">
        <v>210</v>
      </c>
      <c r="C47" s="74" t="s">
        <v>455</v>
      </c>
      <c r="D47" s="80">
        <f>'Rekap SHU dan Jasa Simpanan'!BT136</f>
        <v>345317.28303480032</v>
      </c>
      <c r="E47" s="54"/>
      <c r="F47" s="54" t="s">
        <v>319</v>
      </c>
    </row>
    <row r="48" spans="1:6" x14ac:dyDescent="0.25">
      <c r="A48" s="73">
        <v>41</v>
      </c>
      <c r="B48" s="73">
        <v>216</v>
      </c>
      <c r="C48" s="74" t="s">
        <v>456</v>
      </c>
      <c r="D48" s="80">
        <f>'Rekap SHU dan Jasa Simpanan'!BT139</f>
        <v>292356.64251386258</v>
      </c>
      <c r="E48" s="54" t="s">
        <v>321</v>
      </c>
      <c r="F48" s="54"/>
    </row>
    <row r="49" spans="1:6" x14ac:dyDescent="0.25">
      <c r="A49" s="73">
        <v>42</v>
      </c>
      <c r="B49" s="73">
        <v>217</v>
      </c>
      <c r="C49" s="74" t="s">
        <v>457</v>
      </c>
      <c r="D49" s="80">
        <f>'Rekap SHU dan Jasa Simpanan'!BT140</f>
        <v>372277.59251548536</v>
      </c>
      <c r="E49" s="74"/>
      <c r="F49" s="74" t="s">
        <v>323</v>
      </c>
    </row>
    <row r="50" spans="1:6" x14ac:dyDescent="0.25">
      <c r="A50" s="73">
        <v>43</v>
      </c>
      <c r="B50" s="73">
        <v>218</v>
      </c>
      <c r="C50" s="74" t="s">
        <v>458</v>
      </c>
      <c r="D50" s="80">
        <f>'Rekap SHU dan Jasa Simpanan'!BT141</f>
        <v>222151.26853468185</v>
      </c>
      <c r="E50" s="74" t="s">
        <v>325</v>
      </c>
      <c r="F50" s="74"/>
    </row>
    <row r="51" spans="1:6" x14ac:dyDescent="0.25">
      <c r="A51" s="73">
        <v>44</v>
      </c>
      <c r="B51" s="73">
        <v>222</v>
      </c>
      <c r="C51" s="74" t="s">
        <v>459</v>
      </c>
      <c r="D51" s="80">
        <f>'Rekap SHU dan Jasa Simpanan'!BT144</f>
        <v>245391.48033101327</v>
      </c>
      <c r="E51" s="54"/>
      <c r="F51" s="54" t="s">
        <v>327</v>
      </c>
    </row>
    <row r="52" spans="1:6" x14ac:dyDescent="0.25">
      <c r="A52" s="73">
        <v>45</v>
      </c>
      <c r="B52" s="73">
        <v>226</v>
      </c>
      <c r="C52" s="74" t="s">
        <v>517</v>
      </c>
      <c r="D52" s="80">
        <f>'Rekap SHU dan Jasa Simpanan'!BT147</f>
        <v>325943.39353339007</v>
      </c>
      <c r="E52" s="54" t="s">
        <v>329</v>
      </c>
      <c r="F52" s="54"/>
    </row>
    <row r="53" spans="1:6" x14ac:dyDescent="0.25">
      <c r="A53" s="73">
        <v>46</v>
      </c>
      <c r="B53" s="73">
        <v>227</v>
      </c>
      <c r="C53" s="74" t="s">
        <v>460</v>
      </c>
      <c r="D53" s="80">
        <f>'Rekap SHU dan Jasa Simpanan'!BT148</f>
        <v>300311.36613060825</v>
      </c>
      <c r="E53" s="54"/>
      <c r="F53" s="54" t="s">
        <v>331</v>
      </c>
    </row>
    <row r="54" spans="1:6" x14ac:dyDescent="0.25">
      <c r="A54" s="73">
        <v>47</v>
      </c>
      <c r="B54" s="73">
        <v>229</v>
      </c>
      <c r="C54" s="74" t="s">
        <v>461</v>
      </c>
      <c r="D54" s="80">
        <f>'Rekap SHU dan Jasa Simpanan'!BT150</f>
        <v>677323.2067692494</v>
      </c>
      <c r="E54" s="54" t="s">
        <v>333</v>
      </c>
      <c r="F54" s="54"/>
    </row>
    <row r="55" spans="1:6" x14ac:dyDescent="0.25">
      <c r="A55" s="73">
        <v>48</v>
      </c>
      <c r="B55" s="73">
        <v>230</v>
      </c>
      <c r="C55" s="74" t="s">
        <v>462</v>
      </c>
      <c r="D55" s="80">
        <f>'Rekap SHU dan Jasa Simpanan'!BT151</f>
        <v>337656.53923976386</v>
      </c>
      <c r="E55" s="74"/>
      <c r="F55" s="74" t="s">
        <v>335</v>
      </c>
    </row>
    <row r="56" spans="1:6" x14ac:dyDescent="0.25">
      <c r="A56" s="73">
        <v>49</v>
      </c>
      <c r="B56" s="73">
        <v>231</v>
      </c>
      <c r="C56" s="74" t="s">
        <v>463</v>
      </c>
      <c r="D56" s="80">
        <f>'Rekap SHU dan Jasa Simpanan'!BT152</f>
        <v>311700.05920735555</v>
      </c>
      <c r="E56" s="74" t="s">
        <v>337</v>
      </c>
      <c r="F56" s="74"/>
    </row>
    <row r="57" spans="1:6" x14ac:dyDescent="0.25">
      <c r="A57" s="73">
        <v>50</v>
      </c>
      <c r="B57" s="73">
        <v>232</v>
      </c>
      <c r="C57" s="74" t="s">
        <v>464</v>
      </c>
      <c r="D57" s="80">
        <f>'Rekap SHU dan Jasa Simpanan'!BT153</f>
        <v>314611.141057336</v>
      </c>
      <c r="E57" s="54"/>
      <c r="F57" s="54" t="s">
        <v>339</v>
      </c>
    </row>
    <row r="58" spans="1:6" x14ac:dyDescent="0.25">
      <c r="A58" s="75">
        <v>51</v>
      </c>
      <c r="B58" s="75">
        <v>233</v>
      </c>
      <c r="C58" s="76" t="s">
        <v>465</v>
      </c>
      <c r="D58" s="82">
        <f>'Rekap SHU dan Jasa Simpanan'!BT154</f>
        <v>180935.91781748651</v>
      </c>
      <c r="E58" s="56" t="s">
        <v>341</v>
      </c>
      <c r="F58" s="56"/>
    </row>
    <row r="59" spans="1:6" x14ac:dyDescent="0.25">
      <c r="A59" s="73">
        <v>52</v>
      </c>
      <c r="B59" s="73">
        <v>235</v>
      </c>
      <c r="C59" s="74" t="s">
        <v>466</v>
      </c>
      <c r="D59" s="80">
        <f>'Rekap SHU dan Jasa Simpanan'!BT156</f>
        <v>334252.04391644261</v>
      </c>
      <c r="E59" s="54"/>
      <c r="F59" s="54" t="s">
        <v>343</v>
      </c>
    </row>
    <row r="60" spans="1:6" x14ac:dyDescent="0.25">
      <c r="A60" s="73">
        <v>53</v>
      </c>
      <c r="B60" s="73">
        <v>236</v>
      </c>
      <c r="C60" s="74" t="s">
        <v>467</v>
      </c>
      <c r="D60" s="80">
        <f>'Rekap SHU dan Jasa Simpanan'!BT157</f>
        <v>330031.02367852384</v>
      </c>
      <c r="E60" s="54" t="s">
        <v>345</v>
      </c>
      <c r="F60" s="54"/>
    </row>
    <row r="61" spans="1:6" ht="15" customHeight="1" x14ac:dyDescent="0.25">
      <c r="A61" s="73">
        <v>54</v>
      </c>
      <c r="B61" s="73">
        <v>239</v>
      </c>
      <c r="C61" s="74" t="s">
        <v>468</v>
      </c>
      <c r="D61" s="80">
        <f>'Rekap SHU dan Jasa Simpanan'!BT159</f>
        <v>311481.43412640656</v>
      </c>
      <c r="E61" s="74"/>
      <c r="F61" s="74" t="s">
        <v>347</v>
      </c>
    </row>
    <row r="62" spans="1:6" ht="15" customHeight="1" x14ac:dyDescent="0.25">
      <c r="A62" s="73">
        <v>55</v>
      </c>
      <c r="B62" s="77">
        <v>244</v>
      </c>
      <c r="C62" s="78" t="s">
        <v>469</v>
      </c>
      <c r="D62" s="81">
        <f>'Rekap SHU dan Jasa Simpanan'!BT162</f>
        <v>278373.99079650687</v>
      </c>
      <c r="E62" s="74" t="s">
        <v>349</v>
      </c>
      <c r="F62" s="74"/>
    </row>
    <row r="63" spans="1:6" x14ac:dyDescent="0.25">
      <c r="A63" s="73">
        <v>56</v>
      </c>
      <c r="B63" s="73">
        <v>245</v>
      </c>
      <c r="C63" s="74" t="s">
        <v>470</v>
      </c>
      <c r="D63" s="81">
        <f>'Rekap SHU dan Jasa Simpanan'!BT163</f>
        <v>261768.74388939887</v>
      </c>
      <c r="E63" s="54"/>
      <c r="F63" s="54" t="s">
        <v>351</v>
      </c>
    </row>
    <row r="64" spans="1:6" x14ac:dyDescent="0.25">
      <c r="A64" s="73">
        <v>57</v>
      </c>
      <c r="B64" s="73">
        <v>246</v>
      </c>
      <c r="C64" s="74" t="s">
        <v>471</v>
      </c>
      <c r="D64" s="81">
        <f>'Rekap SHU dan Jasa Simpanan'!BT164</f>
        <v>289325.91963543405</v>
      </c>
      <c r="E64" s="54" t="s">
        <v>353</v>
      </c>
      <c r="F64" s="54"/>
    </row>
    <row r="65" spans="1:6" x14ac:dyDescent="0.25">
      <c r="A65" s="73">
        <v>58</v>
      </c>
      <c r="B65" s="73">
        <v>247</v>
      </c>
      <c r="C65" s="74" t="s">
        <v>472</v>
      </c>
      <c r="D65" s="81">
        <f>'Rekap SHU dan Jasa Simpanan'!BT165</f>
        <v>308676.41457738495</v>
      </c>
      <c r="E65" s="54"/>
      <c r="F65" s="54" t="s">
        <v>355</v>
      </c>
    </row>
    <row r="66" spans="1:6" x14ac:dyDescent="0.25">
      <c r="A66" s="73">
        <v>59</v>
      </c>
      <c r="B66" s="73">
        <v>248</v>
      </c>
      <c r="C66" s="74" t="s">
        <v>473</v>
      </c>
      <c r="D66" s="81">
        <f>'Rekap SHU dan Jasa Simpanan'!BT166</f>
        <v>261135.36231836095</v>
      </c>
      <c r="E66" s="54" t="s">
        <v>357</v>
      </c>
      <c r="F66" s="54"/>
    </row>
    <row r="67" spans="1:6" x14ac:dyDescent="0.25">
      <c r="A67" s="73">
        <v>60</v>
      </c>
      <c r="B67" s="73">
        <v>249</v>
      </c>
      <c r="C67" s="74" t="s">
        <v>290</v>
      </c>
      <c r="D67" s="81">
        <f>'Rekap SHU dan Jasa Simpanan'!BT167</f>
        <v>281640.05525712768</v>
      </c>
      <c r="E67" s="74"/>
      <c r="F67" s="74" t="s">
        <v>359</v>
      </c>
    </row>
    <row r="68" spans="1:6" x14ac:dyDescent="0.25">
      <c r="A68" s="73">
        <v>61</v>
      </c>
      <c r="B68" s="73">
        <v>251</v>
      </c>
      <c r="C68" s="74" t="s">
        <v>474</v>
      </c>
      <c r="D68" s="80">
        <f>'Rekap SHU dan Jasa Simpanan'!BT169</f>
        <v>250356.62938057535</v>
      </c>
      <c r="E68" s="74" t="s">
        <v>361</v>
      </c>
      <c r="F68" s="74"/>
    </row>
    <row r="69" spans="1:6" x14ac:dyDescent="0.25">
      <c r="A69" s="73">
        <v>62</v>
      </c>
      <c r="B69" s="73">
        <v>253</v>
      </c>
      <c r="C69" s="74" t="s">
        <v>475</v>
      </c>
      <c r="D69" s="80">
        <f>'Rekap SHU dan Jasa Simpanan'!BT170</f>
        <v>966997.76713893143</v>
      </c>
      <c r="E69" s="54"/>
      <c r="F69" s="54" t="s">
        <v>363</v>
      </c>
    </row>
    <row r="70" spans="1:6" x14ac:dyDescent="0.25">
      <c r="A70" s="73">
        <v>63</v>
      </c>
      <c r="B70" s="73">
        <v>254</v>
      </c>
      <c r="C70" s="74" t="s">
        <v>476</v>
      </c>
      <c r="D70" s="80">
        <f>'Rekap SHU dan Jasa Simpanan'!BT171</f>
        <v>318209.99038105481</v>
      </c>
      <c r="E70" s="54" t="s">
        <v>365</v>
      </c>
      <c r="F70" s="54"/>
    </row>
    <row r="71" spans="1:6" x14ac:dyDescent="0.25">
      <c r="A71" s="73">
        <v>64</v>
      </c>
      <c r="B71" s="73">
        <v>264</v>
      </c>
      <c r="C71" s="74" t="s">
        <v>477</v>
      </c>
      <c r="D71" s="80">
        <f>'Rekap SHU dan Jasa Simpanan'!BT180</f>
        <v>311594.48801339901</v>
      </c>
      <c r="E71" s="54"/>
      <c r="F71" s="54" t="s">
        <v>367</v>
      </c>
    </row>
    <row r="72" spans="1:6" x14ac:dyDescent="0.25">
      <c r="A72" s="73">
        <v>65</v>
      </c>
      <c r="B72" s="73">
        <v>265</v>
      </c>
      <c r="C72" s="74" t="s">
        <v>478</v>
      </c>
      <c r="D72" s="80">
        <f>'Rekap SHU dan Jasa Simpanan'!BT181</f>
        <v>183111.97125501916</v>
      </c>
      <c r="E72" s="54" t="s">
        <v>369</v>
      </c>
      <c r="F72" s="54"/>
    </row>
    <row r="73" spans="1:6" x14ac:dyDescent="0.25">
      <c r="A73" s="73">
        <v>66</v>
      </c>
      <c r="B73" s="73">
        <v>266</v>
      </c>
      <c r="C73" s="74" t="s">
        <v>479</v>
      </c>
      <c r="D73" s="80">
        <f>'Rekap SHU dan Jasa Simpanan'!BT182</f>
        <v>148664.06461823196</v>
      </c>
      <c r="E73" s="74"/>
      <c r="F73" s="74" t="s">
        <v>371</v>
      </c>
    </row>
    <row r="74" spans="1:6" x14ac:dyDescent="0.25">
      <c r="A74" s="73">
        <v>67</v>
      </c>
      <c r="B74" s="73">
        <v>267</v>
      </c>
      <c r="C74" s="74" t="s">
        <v>480</v>
      </c>
      <c r="D74" s="80">
        <f>'Rekap SHU dan Jasa Simpanan'!BT183</f>
        <v>133433.45234725281</v>
      </c>
      <c r="E74" s="74" t="s">
        <v>373</v>
      </c>
      <c r="F74" s="74"/>
    </row>
    <row r="75" spans="1:6" x14ac:dyDescent="0.25">
      <c r="A75" s="73">
        <v>68</v>
      </c>
      <c r="B75" s="73">
        <v>268</v>
      </c>
      <c r="C75" s="74" t="s">
        <v>481</v>
      </c>
      <c r="D75" s="80">
        <f>'Rekap SHU dan Jasa Simpanan'!BT184</f>
        <v>375966.59002417419</v>
      </c>
      <c r="E75" s="54"/>
      <c r="F75" s="54" t="s">
        <v>375</v>
      </c>
    </row>
    <row r="76" spans="1:6" x14ac:dyDescent="0.25">
      <c r="A76" s="73">
        <v>69</v>
      </c>
      <c r="B76" s="73">
        <v>270</v>
      </c>
      <c r="C76" s="74" t="s">
        <v>482</v>
      </c>
      <c r="D76" s="80">
        <f>'Rekap SHU dan Jasa Simpanan'!BT185</f>
        <v>285755.54210452508</v>
      </c>
      <c r="E76" s="54" t="s">
        <v>377</v>
      </c>
      <c r="F76" s="54"/>
    </row>
    <row r="77" spans="1:6" x14ac:dyDescent="0.25">
      <c r="A77" s="73">
        <v>70</v>
      </c>
      <c r="B77" s="73">
        <v>274</v>
      </c>
      <c r="C77" s="74" t="s">
        <v>483</v>
      </c>
      <c r="D77" s="80">
        <f>'Rekap SHU dan Jasa Simpanan'!BT189</f>
        <v>305157.05279880797</v>
      </c>
      <c r="E77" s="54"/>
      <c r="F77" s="54" t="s">
        <v>379</v>
      </c>
    </row>
    <row r="78" spans="1:6" x14ac:dyDescent="0.25">
      <c r="A78" s="73">
        <v>71</v>
      </c>
      <c r="B78" s="73">
        <v>275</v>
      </c>
      <c r="C78" s="74" t="s">
        <v>484</v>
      </c>
      <c r="D78" s="80">
        <f>'Rekap SHU dan Jasa Simpanan'!BT190</f>
        <v>491935.02116544126</v>
      </c>
      <c r="E78" s="54" t="s">
        <v>381</v>
      </c>
      <c r="F78" s="54"/>
    </row>
    <row r="79" spans="1:6" x14ac:dyDescent="0.25">
      <c r="A79" s="73">
        <v>72</v>
      </c>
      <c r="B79" s="73">
        <v>276</v>
      </c>
      <c r="C79" s="74" t="s">
        <v>485</v>
      </c>
      <c r="D79" s="80">
        <f>'Rekap SHU dan Jasa Simpanan'!BT191</f>
        <v>294555.4009987684</v>
      </c>
      <c r="E79" s="74"/>
      <c r="F79" s="74" t="s">
        <v>383</v>
      </c>
    </row>
    <row r="80" spans="1:6" x14ac:dyDescent="0.25">
      <c r="A80" s="73">
        <v>73</v>
      </c>
      <c r="B80" s="73">
        <v>277</v>
      </c>
      <c r="C80" s="74" t="s">
        <v>486</v>
      </c>
      <c r="D80" s="80">
        <f>'Rekap SHU dan Jasa Simpanan'!BT192</f>
        <v>302435.13724499912</v>
      </c>
      <c r="E80" s="74" t="s">
        <v>385</v>
      </c>
      <c r="F80" s="74"/>
    </row>
    <row r="81" spans="1:6" x14ac:dyDescent="0.25">
      <c r="A81" s="73">
        <v>74</v>
      </c>
      <c r="B81" s="73">
        <v>278</v>
      </c>
      <c r="C81" s="74" t="s">
        <v>487</v>
      </c>
      <c r="D81" s="80">
        <f>'Rekap SHU dan Jasa Simpanan'!BT193</f>
        <v>281338.61847088311</v>
      </c>
      <c r="E81" s="54"/>
      <c r="F81" s="54" t="s">
        <v>387</v>
      </c>
    </row>
    <row r="82" spans="1:6" x14ac:dyDescent="0.25">
      <c r="A82" s="73">
        <v>75</v>
      </c>
      <c r="B82" s="61">
        <v>282</v>
      </c>
      <c r="C82" s="62" t="s">
        <v>201</v>
      </c>
      <c r="D82" s="80">
        <f>'Rekap SHU dan Jasa Simpanan'!BT197</f>
        <v>156280.54821622098</v>
      </c>
      <c r="E82" s="54" t="s">
        <v>389</v>
      </c>
      <c r="F82" s="54"/>
    </row>
    <row r="83" spans="1:6" x14ac:dyDescent="0.25">
      <c r="A83" s="73">
        <v>76</v>
      </c>
      <c r="B83" s="61">
        <v>283</v>
      </c>
      <c r="C83" s="62" t="s">
        <v>202</v>
      </c>
      <c r="D83" s="80">
        <f>'Rekap SHU dan Jasa Simpanan'!BT198</f>
        <v>199858.78579286422</v>
      </c>
      <c r="E83" s="54"/>
      <c r="F83" s="54" t="s">
        <v>391</v>
      </c>
    </row>
    <row r="84" spans="1:6" x14ac:dyDescent="0.25">
      <c r="A84" s="73">
        <v>77</v>
      </c>
      <c r="B84" s="61">
        <v>284</v>
      </c>
      <c r="C84" s="62" t="s">
        <v>203</v>
      </c>
      <c r="D84" s="80">
        <f>'Rekap SHU dan Jasa Simpanan'!BT199</f>
        <v>288380.40456863004</v>
      </c>
      <c r="E84" s="54" t="s">
        <v>393</v>
      </c>
      <c r="F84" s="54"/>
    </row>
    <row r="85" spans="1:6" x14ac:dyDescent="0.25">
      <c r="A85" s="73">
        <v>78</v>
      </c>
      <c r="B85" s="61">
        <v>286</v>
      </c>
      <c r="C85" s="62" t="s">
        <v>205</v>
      </c>
      <c r="D85" s="80">
        <f>'Rekap SHU dan Jasa Simpanan'!BT201</f>
        <v>99455.522471808494</v>
      </c>
      <c r="E85" s="74"/>
      <c r="F85" s="74" t="s">
        <v>395</v>
      </c>
    </row>
    <row r="86" spans="1:6" x14ac:dyDescent="0.25">
      <c r="A86" s="75">
        <v>79</v>
      </c>
      <c r="B86" s="63">
        <v>287</v>
      </c>
      <c r="C86" s="64" t="s">
        <v>206</v>
      </c>
      <c r="D86" s="80">
        <f>'Rekap SHU dan Jasa Simpanan'!BT202</f>
        <v>215697.77587504065</v>
      </c>
      <c r="E86" s="76" t="s">
        <v>397</v>
      </c>
      <c r="F86" s="76"/>
    </row>
    <row r="87" spans="1:6" x14ac:dyDescent="0.25">
      <c r="A87" s="155" t="s">
        <v>412</v>
      </c>
      <c r="B87" s="155"/>
      <c r="C87" s="155"/>
      <c r="D87" s="79">
        <f>SUM(D8:D86)</f>
        <v>28729278.357624628</v>
      </c>
      <c r="E87" s="156"/>
      <c r="F87" s="156"/>
    </row>
  </sheetData>
  <mergeCells count="10">
    <mergeCell ref="A87:C87"/>
    <mergeCell ref="E87:F87"/>
    <mergeCell ref="D6:D7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9" zoomScaleNormal="100" workbookViewId="0">
      <selection activeCell="E37" sqref="E37:F37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6.28515625" style="47" customWidth="1"/>
    <col min="5" max="5" width="15.85546875" style="47" customWidth="1"/>
    <col min="6" max="6" width="14.140625" style="47" customWidth="1"/>
    <col min="7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413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4" t="s">
        <v>488</v>
      </c>
      <c r="F5" s="154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70</v>
      </c>
      <c r="C8" s="52" t="s">
        <v>489</v>
      </c>
      <c r="D8" s="65">
        <f>'Rekap SHU dan Jasa Simpanan'!BT56</f>
        <v>424566.82264006534</v>
      </c>
      <c r="E8" s="52" t="s">
        <v>242</v>
      </c>
      <c r="F8" s="52"/>
    </row>
    <row r="9" spans="1:6" x14ac:dyDescent="0.25">
      <c r="A9" s="53">
        <v>2</v>
      </c>
      <c r="B9" s="53">
        <v>73</v>
      </c>
      <c r="C9" s="54" t="s">
        <v>490</v>
      </c>
      <c r="D9" s="66">
        <f>'Rekap SHU dan Jasa Simpanan'!BT57</f>
        <v>240380.75929359655</v>
      </c>
      <c r="E9" s="54"/>
      <c r="F9" s="54" t="s">
        <v>244</v>
      </c>
    </row>
    <row r="10" spans="1:6" x14ac:dyDescent="0.25">
      <c r="A10" s="53">
        <v>3</v>
      </c>
      <c r="B10" s="53">
        <v>79</v>
      </c>
      <c r="C10" s="54" t="s">
        <v>491</v>
      </c>
      <c r="D10" s="66">
        <f>'Rekap SHU dan Jasa Simpanan'!BT60</f>
        <v>348581.59550213662</v>
      </c>
      <c r="E10" s="54" t="s">
        <v>246</v>
      </c>
      <c r="F10" s="54"/>
    </row>
    <row r="11" spans="1:6" x14ac:dyDescent="0.25">
      <c r="A11" s="53">
        <v>4</v>
      </c>
      <c r="B11" s="53">
        <v>80</v>
      </c>
      <c r="C11" s="54" t="s">
        <v>492</v>
      </c>
      <c r="D11" s="66">
        <f>'Rekap SHU dan Jasa Simpanan'!BT61</f>
        <v>355608.35271789494</v>
      </c>
      <c r="E11" s="54"/>
      <c r="F11" s="54" t="s">
        <v>248</v>
      </c>
    </row>
    <row r="12" spans="1:6" x14ac:dyDescent="0.25">
      <c r="A12" s="53">
        <v>5</v>
      </c>
      <c r="B12" s="53">
        <v>82</v>
      </c>
      <c r="C12" s="54" t="s">
        <v>493</v>
      </c>
      <c r="D12" s="66">
        <f>'Rekap SHU dan Jasa Simpanan'!BT62</f>
        <v>652418.12934205332</v>
      </c>
      <c r="E12" s="54" t="s">
        <v>250</v>
      </c>
      <c r="F12" s="54"/>
    </row>
    <row r="13" spans="1:6" x14ac:dyDescent="0.25">
      <c r="A13" s="53">
        <v>6</v>
      </c>
      <c r="B13" s="53">
        <v>83</v>
      </c>
      <c r="C13" s="54" t="s">
        <v>494</v>
      </c>
      <c r="D13" s="66">
        <f>'Rekap SHU dan Jasa Simpanan'!BT63</f>
        <v>406365.73616752657</v>
      </c>
      <c r="E13" s="74"/>
      <c r="F13" s="74" t="s">
        <v>252</v>
      </c>
    </row>
    <row r="14" spans="1:6" x14ac:dyDescent="0.25">
      <c r="A14" s="53">
        <v>7</v>
      </c>
      <c r="B14" s="53">
        <v>88</v>
      </c>
      <c r="C14" s="54" t="s">
        <v>495</v>
      </c>
      <c r="D14" s="66">
        <f>'Rekap SHU dan Jasa Simpanan'!BT64</f>
        <v>174551.72014316454</v>
      </c>
      <c r="E14" s="74" t="s">
        <v>254</v>
      </c>
      <c r="F14" s="74"/>
    </row>
    <row r="15" spans="1:6" x14ac:dyDescent="0.25">
      <c r="A15" s="53">
        <v>8</v>
      </c>
      <c r="B15" s="53">
        <v>107</v>
      </c>
      <c r="C15" s="54" t="s">
        <v>496</v>
      </c>
      <c r="D15" s="80">
        <f>'Rekap SHU dan Jasa Simpanan'!BT69</f>
        <v>610969.94445937057</v>
      </c>
      <c r="E15" s="54"/>
      <c r="F15" s="54" t="s">
        <v>256</v>
      </c>
    </row>
    <row r="16" spans="1:6" x14ac:dyDescent="0.25">
      <c r="A16" s="53">
        <v>9</v>
      </c>
      <c r="B16" s="53">
        <v>116</v>
      </c>
      <c r="C16" s="54" t="s">
        <v>497</v>
      </c>
      <c r="D16" s="80">
        <f>'Rekap SHU dan Jasa Simpanan'!BT70</f>
        <v>320756.85697349114</v>
      </c>
      <c r="E16" s="54" t="s">
        <v>258</v>
      </c>
      <c r="F16" s="54"/>
    </row>
    <row r="17" spans="1:6" x14ac:dyDescent="0.25">
      <c r="A17" s="53">
        <v>10</v>
      </c>
      <c r="B17" s="53">
        <v>122</v>
      </c>
      <c r="C17" s="54" t="s">
        <v>498</v>
      </c>
      <c r="D17" s="80">
        <f>'Rekap SHU dan Jasa Simpanan'!BT75</f>
        <v>196706.67407393997</v>
      </c>
      <c r="E17" s="54"/>
      <c r="F17" s="54" t="s">
        <v>260</v>
      </c>
    </row>
    <row r="18" spans="1:6" x14ac:dyDescent="0.25">
      <c r="A18" s="53">
        <v>11</v>
      </c>
      <c r="B18" s="53">
        <v>149</v>
      </c>
      <c r="C18" s="54" t="s">
        <v>499</v>
      </c>
      <c r="D18" s="80">
        <f>'Rekap SHU dan Jasa Simpanan'!BT89</f>
        <v>313404.44801533537</v>
      </c>
      <c r="E18" s="54" t="s">
        <v>262</v>
      </c>
      <c r="F18" s="54"/>
    </row>
    <row r="19" spans="1:6" x14ac:dyDescent="0.25">
      <c r="A19" s="53">
        <v>12</v>
      </c>
      <c r="B19" s="53">
        <v>131</v>
      </c>
      <c r="C19" s="54" t="s">
        <v>500</v>
      </c>
      <c r="D19" s="80">
        <f>'Rekap SHU dan Jasa Simpanan'!BT80</f>
        <v>271573.49694608356</v>
      </c>
      <c r="E19" s="74"/>
      <c r="F19" s="74" t="s">
        <v>264</v>
      </c>
    </row>
    <row r="20" spans="1:6" x14ac:dyDescent="0.25">
      <c r="A20" s="53">
        <v>13</v>
      </c>
      <c r="B20" s="53">
        <v>132</v>
      </c>
      <c r="C20" s="54" t="s">
        <v>501</v>
      </c>
      <c r="D20" s="80">
        <f>'Rekap SHU dan Jasa Simpanan'!BT81</f>
        <v>253698.63805257372</v>
      </c>
      <c r="E20" s="74" t="s">
        <v>266</v>
      </c>
      <c r="F20" s="74"/>
    </row>
    <row r="21" spans="1:6" x14ac:dyDescent="0.25">
      <c r="A21" s="53">
        <v>14</v>
      </c>
      <c r="B21" s="53">
        <v>138</v>
      </c>
      <c r="C21" s="54" t="s">
        <v>502</v>
      </c>
      <c r="D21" s="80">
        <f>'Rekap SHU dan Jasa Simpanan'!BT83</f>
        <v>143701.40681384009</v>
      </c>
      <c r="E21" s="54"/>
      <c r="F21" s="54" t="s">
        <v>268</v>
      </c>
    </row>
    <row r="22" spans="1:6" x14ac:dyDescent="0.25">
      <c r="A22" s="53">
        <v>15</v>
      </c>
      <c r="B22" s="53">
        <v>156</v>
      </c>
      <c r="C22" s="54" t="s">
        <v>503</v>
      </c>
      <c r="D22" s="80">
        <f>'Rekap SHU dan Jasa Simpanan'!BT95</f>
        <v>375044.73726903967</v>
      </c>
      <c r="E22" s="54" t="s">
        <v>269</v>
      </c>
      <c r="F22" s="54"/>
    </row>
    <row r="23" spans="1:6" x14ac:dyDescent="0.25">
      <c r="A23" s="53">
        <v>16</v>
      </c>
      <c r="B23" s="53">
        <v>158</v>
      </c>
      <c r="C23" s="54" t="s">
        <v>504</v>
      </c>
      <c r="D23" s="80">
        <f>'Rekap SHU dan Jasa Simpanan'!BT96</f>
        <v>173282.78167612187</v>
      </c>
      <c r="E23" s="54"/>
      <c r="F23" s="54" t="s">
        <v>271</v>
      </c>
    </row>
    <row r="24" spans="1:6" x14ac:dyDescent="0.25">
      <c r="A24" s="53">
        <v>17</v>
      </c>
      <c r="B24" s="53">
        <v>184</v>
      </c>
      <c r="C24" s="54" t="s">
        <v>505</v>
      </c>
      <c r="D24" s="80">
        <f>'Rekap SHU dan Jasa Simpanan'!BT114</f>
        <v>448070.85898088402</v>
      </c>
      <c r="E24" s="54" t="s">
        <v>273</v>
      </c>
      <c r="F24" s="54"/>
    </row>
    <row r="25" spans="1:6" x14ac:dyDescent="0.25">
      <c r="A25" s="53">
        <v>18</v>
      </c>
      <c r="B25" s="53">
        <v>186</v>
      </c>
      <c r="C25" s="54" t="s">
        <v>506</v>
      </c>
      <c r="D25" s="80">
        <f>'Rekap SHU dan Jasa Simpanan'!BT115</f>
        <v>2581449.5598570043</v>
      </c>
      <c r="E25" s="74"/>
      <c r="F25" s="74" t="s">
        <v>275</v>
      </c>
    </row>
    <row r="26" spans="1:6" x14ac:dyDescent="0.25">
      <c r="A26" s="53">
        <v>19</v>
      </c>
      <c r="B26" s="53">
        <v>211</v>
      </c>
      <c r="C26" s="54" t="s">
        <v>507</v>
      </c>
      <c r="D26" s="80">
        <f>'Rekap SHU dan Jasa Simpanan'!BT137</f>
        <v>387821.53667139111</v>
      </c>
      <c r="E26" s="74" t="s">
        <v>277</v>
      </c>
      <c r="F26" s="74"/>
    </row>
    <row r="27" spans="1:6" x14ac:dyDescent="0.25">
      <c r="A27" s="53">
        <v>20</v>
      </c>
      <c r="B27" s="53">
        <v>212</v>
      </c>
      <c r="C27" s="54" t="s">
        <v>508</v>
      </c>
      <c r="D27" s="80">
        <f>'Rekap SHU dan Jasa Simpanan'!BT138</f>
        <v>385306.11952762899</v>
      </c>
      <c r="E27" s="54"/>
      <c r="F27" s="54" t="s">
        <v>279</v>
      </c>
    </row>
    <row r="28" spans="1:6" x14ac:dyDescent="0.25">
      <c r="A28" s="53">
        <v>21</v>
      </c>
      <c r="B28" s="53">
        <v>238</v>
      </c>
      <c r="C28" s="54" t="s">
        <v>509</v>
      </c>
      <c r="D28" s="80">
        <f>'Rekap SHU dan Jasa Simpanan'!BT158</f>
        <v>833826.73192476784</v>
      </c>
      <c r="E28" s="54" t="s">
        <v>281</v>
      </c>
      <c r="F28" s="54"/>
    </row>
    <row r="29" spans="1:6" x14ac:dyDescent="0.25">
      <c r="A29" s="53">
        <v>22</v>
      </c>
      <c r="B29" s="53">
        <v>241</v>
      </c>
      <c r="C29" s="54" t="s">
        <v>510</v>
      </c>
      <c r="D29" s="80">
        <f>'Rekap SHU dan Jasa Simpanan'!BT161</f>
        <v>381908.38200719707</v>
      </c>
      <c r="E29" s="54"/>
      <c r="F29" s="54" t="s">
        <v>283</v>
      </c>
    </row>
    <row r="30" spans="1:6" x14ac:dyDescent="0.25">
      <c r="A30" s="53">
        <v>23</v>
      </c>
      <c r="B30" s="53">
        <v>255</v>
      </c>
      <c r="C30" s="54" t="s">
        <v>511</v>
      </c>
      <c r="D30" s="80">
        <f>'Rekap SHU dan Jasa Simpanan'!BT172</f>
        <v>165579.55554616707</v>
      </c>
      <c r="E30" s="54" t="s">
        <v>285</v>
      </c>
      <c r="F30" s="54"/>
    </row>
    <row r="31" spans="1:6" x14ac:dyDescent="0.25">
      <c r="A31" s="53">
        <v>24</v>
      </c>
      <c r="B31" s="53">
        <v>256</v>
      </c>
      <c r="C31" s="54" t="s">
        <v>512</v>
      </c>
      <c r="D31" s="80">
        <f>'Rekap SHU dan Jasa Simpanan'!BT173</f>
        <v>453172.63907417533</v>
      </c>
      <c r="E31" s="74"/>
      <c r="F31" s="74" t="s">
        <v>287</v>
      </c>
    </row>
    <row r="32" spans="1:6" x14ac:dyDescent="0.25">
      <c r="A32" s="53">
        <v>25</v>
      </c>
      <c r="B32" s="53">
        <v>262</v>
      </c>
      <c r="C32" s="54" t="s">
        <v>513</v>
      </c>
      <c r="D32" s="80">
        <f>'Rekap SHU dan Jasa Simpanan'!BT178</f>
        <v>1095091.9659756147</v>
      </c>
      <c r="E32" s="74" t="s">
        <v>289</v>
      </c>
      <c r="F32" s="74"/>
    </row>
    <row r="33" spans="1:6" x14ac:dyDescent="0.25">
      <c r="A33" s="53">
        <v>26</v>
      </c>
      <c r="B33" s="53">
        <v>271</v>
      </c>
      <c r="C33" s="54" t="s">
        <v>514</v>
      </c>
      <c r="D33" s="80">
        <f>'Rekap SHU dan Jasa Simpanan'!BT186</f>
        <v>259224.53981429635</v>
      </c>
      <c r="E33" s="54"/>
      <c r="F33" s="54" t="s">
        <v>291</v>
      </c>
    </row>
    <row r="34" spans="1:6" x14ac:dyDescent="0.25">
      <c r="A34" s="53">
        <v>27</v>
      </c>
      <c r="B34" s="53">
        <v>272</v>
      </c>
      <c r="C34" s="54" t="s">
        <v>515</v>
      </c>
      <c r="D34" s="80">
        <f>'Rekap SHU dan Jasa Simpanan'!BT187</f>
        <v>218710.10397777945</v>
      </c>
      <c r="E34" s="54" t="s">
        <v>293</v>
      </c>
      <c r="F34" s="54"/>
    </row>
    <row r="35" spans="1:6" x14ac:dyDescent="0.25">
      <c r="A35" s="53">
        <v>28</v>
      </c>
      <c r="B35" s="53">
        <v>273</v>
      </c>
      <c r="C35" s="54" t="s">
        <v>516</v>
      </c>
      <c r="D35" s="80">
        <f>'Rekap SHU dan Jasa Simpanan'!BT188</f>
        <v>239837.60242625704</v>
      </c>
      <c r="E35" s="54"/>
      <c r="F35" s="54" t="s">
        <v>295</v>
      </c>
    </row>
    <row r="36" spans="1:6" x14ac:dyDescent="0.25">
      <c r="A36" s="70">
        <v>29</v>
      </c>
      <c r="B36" s="55">
        <v>281</v>
      </c>
      <c r="C36" s="56" t="s">
        <v>518</v>
      </c>
      <c r="D36" s="80">
        <f>'Rekap SHU dan Jasa Simpanan'!BT196</f>
        <v>292005.24725162005</v>
      </c>
      <c r="E36" s="71" t="s">
        <v>297</v>
      </c>
      <c r="F36" s="56"/>
    </row>
    <row r="37" spans="1:6" x14ac:dyDescent="0.25">
      <c r="A37" s="155" t="s">
        <v>412</v>
      </c>
      <c r="B37" s="155"/>
      <c r="C37" s="155"/>
      <c r="D37" s="79">
        <f>SUM(D8:D36)</f>
        <v>13003616.943121016</v>
      </c>
      <c r="E37" s="156"/>
      <c r="F37" s="156"/>
    </row>
    <row r="40" spans="1:6" x14ac:dyDescent="0.25">
      <c r="E40" s="83"/>
    </row>
  </sheetData>
  <mergeCells count="10">
    <mergeCell ref="A37:C37"/>
    <mergeCell ref="E37:F37"/>
    <mergeCell ref="D6:D7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E15" sqref="E1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28515625" style="47" customWidth="1"/>
    <col min="5" max="5" width="13" style="47" customWidth="1"/>
    <col min="6" max="6" width="13.140625" style="47" customWidth="1"/>
    <col min="7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521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4" t="s">
        <v>236</v>
      </c>
      <c r="F5" s="154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2</v>
      </c>
      <c r="C8" s="52" t="s">
        <v>241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250</v>
      </c>
      <c r="C9" s="54" t="s">
        <v>243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4</v>
      </c>
      <c r="C10" s="54" t="s">
        <v>245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148</v>
      </c>
      <c r="C11" s="54" t="s">
        <v>247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5</v>
      </c>
      <c r="C12" s="54" t="s">
        <v>249</v>
      </c>
      <c r="D12" s="66">
        <v>100000</v>
      </c>
      <c r="E12" s="54" t="s">
        <v>250</v>
      </c>
      <c r="F12" s="54"/>
    </row>
    <row r="13" spans="1:6" x14ac:dyDescent="0.25">
      <c r="A13" s="53">
        <v>6</v>
      </c>
      <c r="B13" s="53">
        <v>141</v>
      </c>
      <c r="C13" s="54" t="s">
        <v>251</v>
      </c>
      <c r="D13" s="66">
        <v>100000</v>
      </c>
      <c r="E13" s="54"/>
      <c r="F13" s="54" t="s">
        <v>252</v>
      </c>
    </row>
    <row r="14" spans="1:6" x14ac:dyDescent="0.25">
      <c r="A14" s="53">
        <v>7</v>
      </c>
      <c r="B14" s="53">
        <v>7</v>
      </c>
      <c r="C14" s="54" t="s">
        <v>253</v>
      </c>
      <c r="D14" s="66">
        <v>100000</v>
      </c>
      <c r="E14" s="54" t="s">
        <v>254</v>
      </c>
      <c r="F14" s="54"/>
    </row>
    <row r="15" spans="1:6" x14ac:dyDescent="0.25">
      <c r="A15" s="53">
        <v>8</v>
      </c>
      <c r="B15" s="53">
        <v>10</v>
      </c>
      <c r="C15" s="54" t="s">
        <v>255</v>
      </c>
      <c r="D15" s="66">
        <v>100000</v>
      </c>
      <c r="E15" s="54"/>
      <c r="F15" s="54" t="s">
        <v>256</v>
      </c>
    </row>
    <row r="16" spans="1:6" x14ac:dyDescent="0.25">
      <c r="A16" s="53">
        <v>9</v>
      </c>
      <c r="B16" s="53">
        <v>160</v>
      </c>
      <c r="C16" s="54" t="s">
        <v>257</v>
      </c>
      <c r="D16" s="66">
        <v>100000</v>
      </c>
      <c r="E16" s="54" t="s">
        <v>258</v>
      </c>
      <c r="F16" s="54"/>
    </row>
    <row r="17" spans="1:6" x14ac:dyDescent="0.25">
      <c r="A17" s="53">
        <v>10</v>
      </c>
      <c r="B17" s="53">
        <v>11</v>
      </c>
      <c r="C17" s="54" t="s">
        <v>259</v>
      </c>
      <c r="D17" s="66">
        <v>100000</v>
      </c>
      <c r="E17" s="54"/>
      <c r="F17" s="54" t="s">
        <v>260</v>
      </c>
    </row>
    <row r="18" spans="1:6" x14ac:dyDescent="0.25">
      <c r="A18" s="53">
        <v>11</v>
      </c>
      <c r="B18" s="53">
        <v>18</v>
      </c>
      <c r="C18" s="54" t="s">
        <v>261</v>
      </c>
      <c r="D18" s="66">
        <v>100000</v>
      </c>
      <c r="E18" s="54" t="s">
        <v>262</v>
      </c>
      <c r="F18" s="54"/>
    </row>
    <row r="19" spans="1:6" x14ac:dyDescent="0.25">
      <c r="A19" s="53">
        <v>12</v>
      </c>
      <c r="B19" s="53">
        <v>145</v>
      </c>
      <c r="C19" s="54" t="s">
        <v>263</v>
      </c>
      <c r="D19" s="66">
        <v>100000</v>
      </c>
      <c r="E19" s="54"/>
      <c r="F19" s="54" t="s">
        <v>264</v>
      </c>
    </row>
    <row r="20" spans="1:6" x14ac:dyDescent="0.25">
      <c r="A20" s="53">
        <v>13</v>
      </c>
      <c r="B20" s="53">
        <v>19</v>
      </c>
      <c r="C20" s="54" t="s">
        <v>265</v>
      </c>
      <c r="D20" s="66">
        <v>100000</v>
      </c>
      <c r="E20" s="54" t="s">
        <v>266</v>
      </c>
      <c r="F20" s="54"/>
    </row>
    <row r="21" spans="1:6" x14ac:dyDescent="0.25">
      <c r="A21" s="53">
        <v>14</v>
      </c>
      <c r="B21" s="53">
        <v>234</v>
      </c>
      <c r="C21" s="54" t="s">
        <v>267</v>
      </c>
      <c r="D21" s="66">
        <v>100000</v>
      </c>
      <c r="E21" s="54"/>
      <c r="F21" s="54" t="s">
        <v>268</v>
      </c>
    </row>
    <row r="22" spans="1:6" x14ac:dyDescent="0.25">
      <c r="A22" s="53">
        <v>15</v>
      </c>
      <c r="B22" s="53">
        <v>59</v>
      </c>
      <c r="C22" s="54" t="s">
        <v>270</v>
      </c>
      <c r="D22" s="66">
        <v>100000</v>
      </c>
      <c r="E22" s="54" t="s">
        <v>269</v>
      </c>
      <c r="F22" s="54"/>
    </row>
    <row r="23" spans="1:6" x14ac:dyDescent="0.25">
      <c r="A23" s="53">
        <v>16</v>
      </c>
      <c r="B23" s="53">
        <v>21</v>
      </c>
      <c r="C23" s="54" t="s">
        <v>272</v>
      </c>
      <c r="D23" s="66">
        <v>100000</v>
      </c>
      <c r="E23" s="54"/>
      <c r="F23" s="54" t="s">
        <v>271</v>
      </c>
    </row>
    <row r="24" spans="1:6" x14ac:dyDescent="0.25">
      <c r="A24" s="53">
        <v>17</v>
      </c>
      <c r="B24" s="53">
        <v>22</v>
      </c>
      <c r="C24" s="54" t="s">
        <v>274</v>
      </c>
      <c r="D24" s="66">
        <v>100000</v>
      </c>
      <c r="E24" s="54" t="s">
        <v>273</v>
      </c>
      <c r="F24" s="54"/>
    </row>
    <row r="25" spans="1:6" x14ac:dyDescent="0.25">
      <c r="A25" s="53">
        <v>18</v>
      </c>
      <c r="B25" s="53">
        <v>23</v>
      </c>
      <c r="C25" s="54" t="s">
        <v>276</v>
      </c>
      <c r="D25" s="66">
        <v>100000</v>
      </c>
      <c r="E25" s="54"/>
      <c r="F25" s="54" t="s">
        <v>275</v>
      </c>
    </row>
    <row r="26" spans="1:6" x14ac:dyDescent="0.25">
      <c r="A26" s="53">
        <v>19</v>
      </c>
      <c r="B26" s="53">
        <v>34</v>
      </c>
      <c r="C26" s="54" t="s">
        <v>278</v>
      </c>
      <c r="D26" s="66">
        <v>100000</v>
      </c>
      <c r="E26" s="54" t="s">
        <v>277</v>
      </c>
      <c r="F26" s="54"/>
    </row>
    <row r="27" spans="1:6" x14ac:dyDescent="0.25">
      <c r="A27" s="53">
        <v>20</v>
      </c>
      <c r="B27" s="53">
        <v>24</v>
      </c>
      <c r="C27" s="54" t="s">
        <v>280</v>
      </c>
      <c r="D27" s="66">
        <v>100000</v>
      </c>
      <c r="E27" s="54"/>
      <c r="F27" s="54" t="s">
        <v>279</v>
      </c>
    </row>
    <row r="28" spans="1:6" x14ac:dyDescent="0.25">
      <c r="A28" s="53">
        <v>21</v>
      </c>
      <c r="B28" s="53">
        <v>25</v>
      </c>
      <c r="C28" s="54" t="s">
        <v>282</v>
      </c>
      <c r="D28" s="66">
        <v>100000</v>
      </c>
      <c r="E28" s="54" t="s">
        <v>281</v>
      </c>
      <c r="F28" s="54"/>
    </row>
    <row r="29" spans="1:6" x14ac:dyDescent="0.25">
      <c r="A29" s="53">
        <v>22</v>
      </c>
      <c r="B29" s="53">
        <v>26</v>
      </c>
      <c r="C29" s="54" t="s">
        <v>284</v>
      </c>
      <c r="D29" s="66">
        <v>100000</v>
      </c>
      <c r="E29" s="54"/>
      <c r="F29" s="54" t="s">
        <v>283</v>
      </c>
    </row>
    <row r="30" spans="1:6" x14ac:dyDescent="0.25">
      <c r="A30" s="53">
        <v>23</v>
      </c>
      <c r="B30" s="53">
        <v>27</v>
      </c>
      <c r="C30" s="54" t="s">
        <v>286</v>
      </c>
      <c r="D30" s="66">
        <v>100000</v>
      </c>
      <c r="E30" s="54" t="s">
        <v>285</v>
      </c>
      <c r="F30" s="54"/>
    </row>
    <row r="31" spans="1:6" x14ac:dyDescent="0.25">
      <c r="A31" s="53">
        <v>24</v>
      </c>
      <c r="B31" s="53">
        <v>190</v>
      </c>
      <c r="C31" s="54" t="s">
        <v>288</v>
      </c>
      <c r="D31" s="66">
        <v>100000</v>
      </c>
      <c r="E31" s="54"/>
      <c r="F31" s="54" t="s">
        <v>287</v>
      </c>
    </row>
    <row r="32" spans="1:6" x14ac:dyDescent="0.25">
      <c r="A32" s="53">
        <v>25</v>
      </c>
      <c r="B32" s="53">
        <v>28</v>
      </c>
      <c r="C32" s="54" t="s">
        <v>290</v>
      </c>
      <c r="D32" s="66">
        <v>100000</v>
      </c>
      <c r="E32" s="54" t="s">
        <v>289</v>
      </c>
      <c r="F32" s="54"/>
    </row>
    <row r="33" spans="1:6" x14ac:dyDescent="0.25">
      <c r="A33" s="53">
        <v>26</v>
      </c>
      <c r="B33" s="53">
        <v>50</v>
      </c>
      <c r="C33" s="54" t="s">
        <v>292</v>
      </c>
      <c r="D33" s="66">
        <v>100000</v>
      </c>
      <c r="E33" s="54"/>
      <c r="F33" s="54" t="s">
        <v>291</v>
      </c>
    </row>
    <row r="34" spans="1:6" x14ac:dyDescent="0.25">
      <c r="A34" s="53">
        <v>27</v>
      </c>
      <c r="B34" s="53">
        <v>29</v>
      </c>
      <c r="C34" s="54" t="s">
        <v>294</v>
      </c>
      <c r="D34" s="66">
        <v>100000</v>
      </c>
      <c r="E34" s="54" t="s">
        <v>293</v>
      </c>
      <c r="F34" s="54"/>
    </row>
    <row r="35" spans="1:6" x14ac:dyDescent="0.25">
      <c r="A35" s="53">
        <v>28</v>
      </c>
      <c r="B35" s="53">
        <v>137</v>
      </c>
      <c r="C35" s="54" t="s">
        <v>296</v>
      </c>
      <c r="D35" s="66">
        <v>100000</v>
      </c>
      <c r="E35" s="54"/>
      <c r="F35" s="54" t="s">
        <v>295</v>
      </c>
    </row>
    <row r="36" spans="1:6" x14ac:dyDescent="0.25">
      <c r="A36" s="53">
        <v>29</v>
      </c>
      <c r="B36" s="53">
        <v>31</v>
      </c>
      <c r="C36" s="54" t="s">
        <v>298</v>
      </c>
      <c r="D36" s="66">
        <v>100000</v>
      </c>
      <c r="E36" s="54" t="s">
        <v>297</v>
      </c>
      <c r="F36" s="54"/>
    </row>
    <row r="37" spans="1:6" x14ac:dyDescent="0.25">
      <c r="A37" s="53">
        <v>30</v>
      </c>
      <c r="B37" s="53">
        <v>33</v>
      </c>
      <c r="C37" s="54" t="s">
        <v>300</v>
      </c>
      <c r="D37" s="66">
        <v>100000</v>
      </c>
      <c r="E37" s="54"/>
      <c r="F37" s="54" t="s">
        <v>299</v>
      </c>
    </row>
    <row r="38" spans="1:6" x14ac:dyDescent="0.25">
      <c r="A38" s="53">
        <v>31</v>
      </c>
      <c r="B38" s="53">
        <v>183</v>
      </c>
      <c r="C38" s="54" t="s">
        <v>302</v>
      </c>
      <c r="D38" s="66">
        <v>100000</v>
      </c>
      <c r="E38" s="54" t="s">
        <v>301</v>
      </c>
      <c r="F38" s="54"/>
    </row>
    <row r="39" spans="1:6" x14ac:dyDescent="0.25">
      <c r="A39" s="53">
        <v>32</v>
      </c>
      <c r="B39" s="53">
        <v>35</v>
      </c>
      <c r="C39" s="54" t="s">
        <v>304</v>
      </c>
      <c r="D39" s="66">
        <v>100000</v>
      </c>
      <c r="E39" s="54"/>
      <c r="F39" s="54" t="s">
        <v>303</v>
      </c>
    </row>
    <row r="40" spans="1:6" x14ac:dyDescent="0.25">
      <c r="A40" s="53">
        <v>33</v>
      </c>
      <c r="B40" s="53">
        <v>36</v>
      </c>
      <c r="C40" s="54" t="s">
        <v>306</v>
      </c>
      <c r="D40" s="66">
        <v>100000</v>
      </c>
      <c r="E40" s="54" t="s">
        <v>305</v>
      </c>
      <c r="F40" s="54"/>
    </row>
    <row r="41" spans="1:6" x14ac:dyDescent="0.25">
      <c r="A41" s="53">
        <v>34</v>
      </c>
      <c r="B41" s="53">
        <v>163</v>
      </c>
      <c r="C41" s="54" t="s">
        <v>308</v>
      </c>
      <c r="D41" s="66">
        <v>100000</v>
      </c>
      <c r="E41" s="54"/>
      <c r="F41" s="54" t="s">
        <v>307</v>
      </c>
    </row>
    <row r="42" spans="1:6" x14ac:dyDescent="0.25">
      <c r="A42" s="53">
        <v>35</v>
      </c>
      <c r="B42" s="53">
        <v>37</v>
      </c>
      <c r="C42" s="54" t="s">
        <v>310</v>
      </c>
      <c r="D42" s="66">
        <v>100000</v>
      </c>
      <c r="E42" s="54" t="s">
        <v>309</v>
      </c>
      <c r="F42" s="54"/>
    </row>
    <row r="43" spans="1:6" x14ac:dyDescent="0.25">
      <c r="A43" s="53">
        <v>36</v>
      </c>
      <c r="B43" s="53">
        <v>207</v>
      </c>
      <c r="C43" s="54" t="s">
        <v>312</v>
      </c>
      <c r="D43" s="66">
        <v>100000</v>
      </c>
      <c r="E43" s="54"/>
      <c r="F43" s="54" t="s">
        <v>311</v>
      </c>
    </row>
    <row r="44" spans="1:6" x14ac:dyDescent="0.25">
      <c r="A44" s="53">
        <v>37</v>
      </c>
      <c r="B44" s="53">
        <v>38</v>
      </c>
      <c r="C44" s="54" t="s">
        <v>314</v>
      </c>
      <c r="D44" s="66">
        <v>100000</v>
      </c>
      <c r="E44" s="54" t="s">
        <v>313</v>
      </c>
      <c r="F44" s="54"/>
    </row>
    <row r="45" spans="1:6" x14ac:dyDescent="0.25">
      <c r="A45" s="53">
        <v>38</v>
      </c>
      <c r="B45" s="53">
        <v>195</v>
      </c>
      <c r="C45" s="54" t="s">
        <v>316</v>
      </c>
      <c r="D45" s="66">
        <v>100000</v>
      </c>
      <c r="E45" s="54"/>
      <c r="F45" s="54" t="s">
        <v>315</v>
      </c>
    </row>
    <row r="46" spans="1:6" x14ac:dyDescent="0.25">
      <c r="A46" s="53">
        <v>39</v>
      </c>
      <c r="B46" s="53">
        <v>39</v>
      </c>
      <c r="C46" s="54" t="s">
        <v>318</v>
      </c>
      <c r="D46" s="66">
        <v>100000</v>
      </c>
      <c r="E46" s="54" t="s">
        <v>317</v>
      </c>
      <c r="F46" s="54"/>
    </row>
    <row r="47" spans="1:6" x14ac:dyDescent="0.25">
      <c r="A47" s="53">
        <v>40</v>
      </c>
      <c r="B47" s="53">
        <v>172</v>
      </c>
      <c r="C47" s="54" t="s">
        <v>320</v>
      </c>
      <c r="D47" s="66">
        <v>100000</v>
      </c>
      <c r="E47" s="54"/>
      <c r="F47" s="54" t="s">
        <v>319</v>
      </c>
    </row>
    <row r="48" spans="1:6" x14ac:dyDescent="0.25">
      <c r="A48" s="53">
        <v>41</v>
      </c>
      <c r="B48" s="53">
        <v>40</v>
      </c>
      <c r="C48" s="54" t="s">
        <v>322</v>
      </c>
      <c r="D48" s="66">
        <v>100000</v>
      </c>
      <c r="E48" s="54" t="s">
        <v>321</v>
      </c>
      <c r="F48" s="54"/>
    </row>
    <row r="49" spans="1:6" x14ac:dyDescent="0.25">
      <c r="A49" s="53">
        <v>42</v>
      </c>
      <c r="B49" s="53">
        <v>41</v>
      </c>
      <c r="C49" s="54" t="s">
        <v>324</v>
      </c>
      <c r="D49" s="66">
        <v>100000</v>
      </c>
      <c r="E49" s="54"/>
      <c r="F49" s="54" t="s">
        <v>323</v>
      </c>
    </row>
    <row r="50" spans="1:6" x14ac:dyDescent="0.25">
      <c r="A50" s="53">
        <v>43</v>
      </c>
      <c r="B50" s="53">
        <v>181</v>
      </c>
      <c r="C50" s="54" t="s">
        <v>326</v>
      </c>
      <c r="D50" s="66">
        <v>100000</v>
      </c>
      <c r="E50" s="54" t="s">
        <v>325</v>
      </c>
      <c r="F50" s="54"/>
    </row>
    <row r="51" spans="1:6" x14ac:dyDescent="0.25">
      <c r="A51" s="53">
        <v>44</v>
      </c>
      <c r="B51" s="53">
        <v>45</v>
      </c>
      <c r="C51" s="54" t="s">
        <v>328</v>
      </c>
      <c r="D51" s="66">
        <v>100000</v>
      </c>
      <c r="E51" s="54"/>
      <c r="F51" s="54" t="s">
        <v>327</v>
      </c>
    </row>
    <row r="52" spans="1:6" x14ac:dyDescent="0.25">
      <c r="A52" s="53">
        <v>45</v>
      </c>
      <c r="B52" s="53">
        <v>171</v>
      </c>
      <c r="C52" s="54" t="s">
        <v>330</v>
      </c>
      <c r="D52" s="66">
        <v>100000</v>
      </c>
      <c r="E52" s="54" t="s">
        <v>329</v>
      </c>
      <c r="F52" s="54"/>
    </row>
    <row r="53" spans="1:6" ht="14.25" customHeight="1" x14ac:dyDescent="0.25">
      <c r="A53" s="53">
        <v>46</v>
      </c>
      <c r="B53" s="53">
        <v>46</v>
      </c>
      <c r="C53" s="54" t="s">
        <v>332</v>
      </c>
      <c r="D53" s="66">
        <v>100000</v>
      </c>
      <c r="E53" s="54"/>
      <c r="F53" s="54" t="s">
        <v>331</v>
      </c>
    </row>
    <row r="54" spans="1:6" x14ac:dyDescent="0.25">
      <c r="A54" s="53">
        <v>47</v>
      </c>
      <c r="B54" s="53">
        <v>188</v>
      </c>
      <c r="C54" s="54" t="s">
        <v>334</v>
      </c>
      <c r="D54" s="66">
        <v>100000</v>
      </c>
      <c r="E54" s="54" t="s">
        <v>333</v>
      </c>
      <c r="F54" s="54"/>
    </row>
    <row r="55" spans="1:6" x14ac:dyDescent="0.25">
      <c r="A55" s="53">
        <v>48</v>
      </c>
      <c r="B55" s="53">
        <v>47</v>
      </c>
      <c r="C55" s="54" t="s">
        <v>336</v>
      </c>
      <c r="D55" s="66">
        <v>100000</v>
      </c>
      <c r="E55" s="54"/>
      <c r="F55" s="54" t="s">
        <v>335</v>
      </c>
    </row>
    <row r="56" spans="1:6" x14ac:dyDescent="0.25">
      <c r="A56" s="53">
        <v>49</v>
      </c>
      <c r="B56" s="53">
        <v>48</v>
      </c>
      <c r="C56" s="54" t="s">
        <v>338</v>
      </c>
      <c r="D56" s="66">
        <v>100000</v>
      </c>
      <c r="E56" s="54" t="s">
        <v>337</v>
      </c>
      <c r="F56" s="54"/>
    </row>
    <row r="57" spans="1:6" x14ac:dyDescent="0.25">
      <c r="A57" s="53">
        <v>50</v>
      </c>
      <c r="B57" s="53">
        <v>51</v>
      </c>
      <c r="C57" s="54" t="s">
        <v>340</v>
      </c>
      <c r="D57" s="66">
        <v>100000</v>
      </c>
      <c r="E57" s="54"/>
      <c r="F57" s="54" t="s">
        <v>339</v>
      </c>
    </row>
    <row r="58" spans="1:6" x14ac:dyDescent="0.25">
      <c r="A58" s="55">
        <v>51</v>
      </c>
      <c r="B58" s="55">
        <v>221</v>
      </c>
      <c r="C58" s="56" t="s">
        <v>342</v>
      </c>
      <c r="D58" s="84">
        <v>100000</v>
      </c>
      <c r="E58" s="56" t="s">
        <v>341</v>
      </c>
      <c r="F58" s="56"/>
    </row>
    <row r="59" spans="1:6" x14ac:dyDescent="0.25">
      <c r="A59" s="53">
        <v>52</v>
      </c>
      <c r="B59" s="53">
        <v>52</v>
      </c>
      <c r="C59" s="54" t="s">
        <v>344</v>
      </c>
      <c r="D59" s="66">
        <v>100000</v>
      </c>
      <c r="E59" s="54"/>
      <c r="F59" s="54" t="s">
        <v>343</v>
      </c>
    </row>
    <row r="60" spans="1:6" x14ac:dyDescent="0.25">
      <c r="A60" s="53">
        <v>53</v>
      </c>
      <c r="B60" s="53">
        <v>53</v>
      </c>
      <c r="C60" s="54" t="s">
        <v>346</v>
      </c>
      <c r="D60" s="66">
        <v>100000</v>
      </c>
      <c r="E60" s="54" t="s">
        <v>345</v>
      </c>
      <c r="F60" s="54"/>
    </row>
    <row r="61" spans="1:6" x14ac:dyDescent="0.25">
      <c r="A61" s="53">
        <v>54</v>
      </c>
      <c r="B61" s="53">
        <v>54</v>
      </c>
      <c r="C61" s="54" t="s">
        <v>348</v>
      </c>
      <c r="D61" s="66">
        <v>100000</v>
      </c>
      <c r="E61" s="54"/>
      <c r="F61" s="54" t="s">
        <v>347</v>
      </c>
    </row>
    <row r="62" spans="1:6" x14ac:dyDescent="0.25">
      <c r="A62" s="53">
        <v>55</v>
      </c>
      <c r="B62" s="53">
        <v>220</v>
      </c>
      <c r="C62" s="54" t="s">
        <v>350</v>
      </c>
      <c r="D62" s="66">
        <v>100000</v>
      </c>
      <c r="E62" s="54" t="s">
        <v>349</v>
      </c>
      <c r="F62" s="54"/>
    </row>
    <row r="63" spans="1:6" x14ac:dyDescent="0.25">
      <c r="A63" s="53">
        <v>56</v>
      </c>
      <c r="B63" s="53">
        <v>55</v>
      </c>
      <c r="C63" s="54" t="s">
        <v>352</v>
      </c>
      <c r="D63" s="66">
        <v>100000</v>
      </c>
      <c r="E63" s="54"/>
      <c r="F63" s="54" t="s">
        <v>351</v>
      </c>
    </row>
    <row r="64" spans="1:6" x14ac:dyDescent="0.25">
      <c r="A64" s="53">
        <v>57</v>
      </c>
      <c r="B64" s="53">
        <v>56</v>
      </c>
      <c r="C64" s="54" t="s">
        <v>354</v>
      </c>
      <c r="D64" s="66">
        <v>100000</v>
      </c>
      <c r="E64" s="54" t="s">
        <v>353</v>
      </c>
      <c r="F64" s="54"/>
    </row>
    <row r="65" spans="1:6" x14ac:dyDescent="0.25">
      <c r="A65" s="53">
        <v>58</v>
      </c>
      <c r="B65" s="53">
        <v>67</v>
      </c>
      <c r="C65" s="54" t="s">
        <v>356</v>
      </c>
      <c r="D65" s="66">
        <v>100000</v>
      </c>
      <c r="E65" s="54"/>
      <c r="F65" s="54" t="s">
        <v>355</v>
      </c>
    </row>
    <row r="66" spans="1:6" x14ac:dyDescent="0.25">
      <c r="A66" s="53">
        <v>59</v>
      </c>
      <c r="B66" s="53">
        <v>58</v>
      </c>
      <c r="C66" s="54" t="s">
        <v>358</v>
      </c>
      <c r="D66" s="66">
        <v>100000</v>
      </c>
      <c r="E66" s="54" t="s">
        <v>357</v>
      </c>
      <c r="F66" s="54"/>
    </row>
    <row r="67" spans="1:6" x14ac:dyDescent="0.25">
      <c r="A67" s="53">
        <v>60</v>
      </c>
      <c r="B67" s="53">
        <v>224</v>
      </c>
      <c r="C67" s="54" t="s">
        <v>360</v>
      </c>
      <c r="D67" s="66">
        <v>100000</v>
      </c>
      <c r="E67" s="54"/>
      <c r="F67" s="54" t="s">
        <v>359</v>
      </c>
    </row>
    <row r="68" spans="1:6" x14ac:dyDescent="0.25">
      <c r="A68" s="53">
        <v>61</v>
      </c>
      <c r="B68" s="53">
        <v>60</v>
      </c>
      <c r="C68" s="54" t="s">
        <v>362</v>
      </c>
      <c r="D68" s="66">
        <v>100000</v>
      </c>
      <c r="E68" s="54" t="s">
        <v>361</v>
      </c>
      <c r="F68" s="54"/>
    </row>
    <row r="69" spans="1:6" x14ac:dyDescent="0.25">
      <c r="A69" s="53">
        <v>62</v>
      </c>
      <c r="B69" s="53">
        <v>146</v>
      </c>
      <c r="C69" s="54" t="s">
        <v>364</v>
      </c>
      <c r="D69" s="66">
        <v>100000</v>
      </c>
      <c r="E69" s="54"/>
      <c r="F69" s="54" t="s">
        <v>363</v>
      </c>
    </row>
    <row r="70" spans="1:6" x14ac:dyDescent="0.25">
      <c r="A70" s="53">
        <v>63</v>
      </c>
      <c r="B70" s="53">
        <v>61</v>
      </c>
      <c r="C70" s="54" t="s">
        <v>366</v>
      </c>
      <c r="D70" s="66">
        <v>100000</v>
      </c>
      <c r="E70" s="54" t="s">
        <v>365</v>
      </c>
      <c r="F70" s="54"/>
    </row>
    <row r="71" spans="1:6" x14ac:dyDescent="0.25">
      <c r="A71" s="53">
        <v>64</v>
      </c>
      <c r="B71" s="53">
        <v>225</v>
      </c>
      <c r="C71" s="54" t="s">
        <v>368</v>
      </c>
      <c r="D71" s="66">
        <v>100000</v>
      </c>
      <c r="E71" s="54"/>
      <c r="F71" s="54" t="s">
        <v>367</v>
      </c>
    </row>
    <row r="72" spans="1:6" x14ac:dyDescent="0.25">
      <c r="A72" s="53">
        <v>65</v>
      </c>
      <c r="B72" s="53">
        <v>62</v>
      </c>
      <c r="C72" s="54" t="s">
        <v>370</v>
      </c>
      <c r="D72" s="66">
        <v>100000</v>
      </c>
      <c r="E72" s="54" t="s">
        <v>369</v>
      </c>
      <c r="F72" s="54"/>
    </row>
    <row r="73" spans="1:6" x14ac:dyDescent="0.25">
      <c r="A73" s="53">
        <v>66</v>
      </c>
      <c r="B73" s="53">
        <v>228</v>
      </c>
      <c r="C73" s="54" t="s">
        <v>372</v>
      </c>
      <c r="D73" s="66">
        <v>100000</v>
      </c>
      <c r="E73" s="54"/>
      <c r="F73" s="54" t="s">
        <v>371</v>
      </c>
    </row>
    <row r="74" spans="1:6" x14ac:dyDescent="0.25">
      <c r="A74" s="53">
        <v>67</v>
      </c>
      <c r="B74" s="53">
        <v>63</v>
      </c>
      <c r="C74" s="54" t="s">
        <v>374</v>
      </c>
      <c r="D74" s="66">
        <v>100000</v>
      </c>
      <c r="E74" s="54" t="s">
        <v>373</v>
      </c>
      <c r="F74" s="54"/>
    </row>
    <row r="75" spans="1:6" x14ac:dyDescent="0.25">
      <c r="A75" s="53">
        <v>68</v>
      </c>
      <c r="B75" s="53">
        <v>187</v>
      </c>
      <c r="C75" s="54" t="s">
        <v>376</v>
      </c>
      <c r="D75" s="66">
        <v>100000</v>
      </c>
      <c r="E75" s="54"/>
      <c r="F75" s="54" t="s">
        <v>375</v>
      </c>
    </row>
    <row r="76" spans="1:6" x14ac:dyDescent="0.25">
      <c r="A76" s="53">
        <v>69</v>
      </c>
      <c r="B76" s="53">
        <v>64</v>
      </c>
      <c r="C76" s="54" t="s">
        <v>378</v>
      </c>
      <c r="D76" s="66">
        <v>100000</v>
      </c>
      <c r="E76" s="54" t="s">
        <v>377</v>
      </c>
      <c r="F76" s="54"/>
    </row>
    <row r="77" spans="1:6" x14ac:dyDescent="0.25">
      <c r="A77" s="53">
        <v>70</v>
      </c>
      <c r="B77" s="53">
        <v>196</v>
      </c>
      <c r="C77" s="54" t="s">
        <v>380</v>
      </c>
      <c r="D77" s="66">
        <v>100000</v>
      </c>
      <c r="E77" s="54"/>
      <c r="F77" s="54" t="s">
        <v>379</v>
      </c>
    </row>
    <row r="78" spans="1:6" x14ac:dyDescent="0.25">
      <c r="A78" s="53">
        <v>71</v>
      </c>
      <c r="B78" s="53">
        <v>65</v>
      </c>
      <c r="C78" s="54" t="s">
        <v>382</v>
      </c>
      <c r="D78" s="66">
        <v>100000</v>
      </c>
      <c r="E78" s="54" t="s">
        <v>381</v>
      </c>
      <c r="F78" s="54"/>
    </row>
    <row r="79" spans="1:6" x14ac:dyDescent="0.25">
      <c r="A79" s="53">
        <v>72</v>
      </c>
      <c r="B79" s="53">
        <v>162</v>
      </c>
      <c r="C79" s="54" t="s">
        <v>384</v>
      </c>
      <c r="D79" s="66">
        <v>100000</v>
      </c>
      <c r="E79" s="54"/>
      <c r="F79" s="54" t="s">
        <v>383</v>
      </c>
    </row>
    <row r="80" spans="1:6" x14ac:dyDescent="0.25">
      <c r="A80" s="53">
        <v>73</v>
      </c>
      <c r="B80" s="53">
        <v>66</v>
      </c>
      <c r="C80" s="54" t="s">
        <v>386</v>
      </c>
      <c r="D80" s="66">
        <v>100000</v>
      </c>
      <c r="E80" s="54" t="s">
        <v>385</v>
      </c>
      <c r="F80" s="54"/>
    </row>
    <row r="81" spans="1:6" x14ac:dyDescent="0.25">
      <c r="A81" s="53">
        <v>74</v>
      </c>
      <c r="B81" s="53">
        <v>189</v>
      </c>
      <c r="C81" s="54" t="s">
        <v>388</v>
      </c>
      <c r="D81" s="66">
        <v>100000</v>
      </c>
      <c r="E81" s="54"/>
      <c r="F81" s="54" t="s">
        <v>387</v>
      </c>
    </row>
    <row r="82" spans="1:6" x14ac:dyDescent="0.25">
      <c r="A82" s="53">
        <v>75</v>
      </c>
      <c r="B82" s="53">
        <v>120</v>
      </c>
      <c r="C82" s="54" t="s">
        <v>390</v>
      </c>
      <c r="D82" s="66">
        <v>100000</v>
      </c>
      <c r="E82" s="54" t="s">
        <v>389</v>
      </c>
      <c r="F82" s="54"/>
    </row>
    <row r="83" spans="1:6" x14ac:dyDescent="0.25">
      <c r="A83" s="53">
        <v>76</v>
      </c>
      <c r="B83" s="53">
        <v>192</v>
      </c>
      <c r="C83" s="54" t="s">
        <v>392</v>
      </c>
      <c r="D83" s="66">
        <v>100000</v>
      </c>
      <c r="E83" s="54"/>
      <c r="F83" s="54" t="s">
        <v>391</v>
      </c>
    </row>
    <row r="84" spans="1:6" x14ac:dyDescent="0.25">
      <c r="A84" s="53">
        <v>77</v>
      </c>
      <c r="B84" s="53">
        <v>215</v>
      </c>
      <c r="C84" s="54" t="s">
        <v>394</v>
      </c>
      <c r="D84" s="66">
        <v>100000</v>
      </c>
      <c r="E84" s="54" t="s">
        <v>393</v>
      </c>
      <c r="F84" s="54"/>
    </row>
    <row r="85" spans="1:6" x14ac:dyDescent="0.25">
      <c r="A85" s="53">
        <v>78</v>
      </c>
      <c r="B85" s="53">
        <v>261</v>
      </c>
      <c r="C85" s="54" t="s">
        <v>396</v>
      </c>
      <c r="D85" s="66">
        <v>100000</v>
      </c>
      <c r="E85" s="54"/>
      <c r="F85" s="54" t="s">
        <v>395</v>
      </c>
    </row>
    <row r="86" spans="1:6" x14ac:dyDescent="0.25">
      <c r="A86" s="53">
        <v>79</v>
      </c>
      <c r="B86" s="53">
        <v>240</v>
      </c>
      <c r="C86" s="54" t="s">
        <v>398</v>
      </c>
      <c r="D86" s="66">
        <v>100000</v>
      </c>
      <c r="E86" s="54" t="s">
        <v>397</v>
      </c>
      <c r="F86" s="54"/>
    </row>
    <row r="87" spans="1:6" x14ac:dyDescent="0.25">
      <c r="A87" s="53">
        <v>80</v>
      </c>
      <c r="B87" s="53">
        <v>257</v>
      </c>
      <c r="C87" s="54" t="s">
        <v>400</v>
      </c>
      <c r="D87" s="66">
        <v>100000</v>
      </c>
      <c r="E87" s="54"/>
      <c r="F87" s="54" t="s">
        <v>399</v>
      </c>
    </row>
    <row r="88" spans="1:6" x14ac:dyDescent="0.25">
      <c r="A88" s="53">
        <v>81</v>
      </c>
      <c r="B88" s="53">
        <v>285</v>
      </c>
      <c r="C88" s="71" t="s">
        <v>519</v>
      </c>
      <c r="D88" s="66">
        <v>100000</v>
      </c>
      <c r="E88" s="54" t="s">
        <v>401</v>
      </c>
      <c r="F88" s="54"/>
    </row>
    <row r="89" spans="1:6" x14ac:dyDescent="0.25">
      <c r="A89" s="53">
        <v>82</v>
      </c>
      <c r="B89" s="53">
        <v>258</v>
      </c>
      <c r="C89" s="54" t="s">
        <v>402</v>
      </c>
      <c r="D89" s="66">
        <v>100000</v>
      </c>
      <c r="E89" s="54"/>
      <c r="F89" s="54" t="s">
        <v>403</v>
      </c>
    </row>
    <row r="90" spans="1:6" x14ac:dyDescent="0.25">
      <c r="A90" s="53">
        <v>83</v>
      </c>
      <c r="B90" s="53">
        <v>260</v>
      </c>
      <c r="C90" s="54" t="s">
        <v>404</v>
      </c>
      <c r="D90" s="66">
        <v>100000</v>
      </c>
      <c r="E90" s="54" t="s">
        <v>405</v>
      </c>
      <c r="F90" s="54"/>
    </row>
    <row r="91" spans="1:6" x14ac:dyDescent="0.25">
      <c r="A91" s="53">
        <v>84</v>
      </c>
      <c r="B91" s="53">
        <v>279</v>
      </c>
      <c r="C91" s="54" t="s">
        <v>406</v>
      </c>
      <c r="D91" s="66">
        <v>100000</v>
      </c>
      <c r="E91" s="54"/>
      <c r="F91" s="54" t="s">
        <v>407</v>
      </c>
    </row>
    <row r="92" spans="1:6" x14ac:dyDescent="0.25">
      <c r="A92" s="53">
        <v>85</v>
      </c>
      <c r="B92" s="53">
        <v>263</v>
      </c>
      <c r="C92" s="54" t="s">
        <v>408</v>
      </c>
      <c r="D92" s="66">
        <v>100000</v>
      </c>
      <c r="E92" s="54" t="s">
        <v>409</v>
      </c>
      <c r="F92" s="54"/>
    </row>
    <row r="93" spans="1:6" x14ac:dyDescent="0.25">
      <c r="A93" s="53">
        <v>86</v>
      </c>
      <c r="B93" s="53">
        <v>280</v>
      </c>
      <c r="C93" s="54" t="s">
        <v>195</v>
      </c>
      <c r="D93" s="66">
        <v>100000</v>
      </c>
      <c r="E93" s="54"/>
      <c r="F93" s="54" t="s">
        <v>410</v>
      </c>
    </row>
    <row r="94" spans="1:6" x14ac:dyDescent="0.25">
      <c r="A94" s="53">
        <v>87</v>
      </c>
      <c r="B94" s="61">
        <v>288</v>
      </c>
      <c r="C94" s="62" t="s">
        <v>198</v>
      </c>
      <c r="D94" s="66">
        <v>100000</v>
      </c>
      <c r="E94" s="54" t="s">
        <v>411</v>
      </c>
      <c r="F94" s="54"/>
    </row>
    <row r="95" spans="1:6" x14ac:dyDescent="0.25">
      <c r="A95" s="55">
        <v>88</v>
      </c>
      <c r="B95" s="63">
        <v>289</v>
      </c>
      <c r="C95" s="64" t="s">
        <v>199</v>
      </c>
      <c r="D95" s="68">
        <v>100000</v>
      </c>
      <c r="E95" s="56"/>
      <c r="F95" s="72" t="s">
        <v>520</v>
      </c>
    </row>
    <row r="96" spans="1:6" ht="21" customHeight="1" x14ac:dyDescent="0.25">
      <c r="A96" s="149" t="s">
        <v>412</v>
      </c>
      <c r="B96" s="149"/>
      <c r="C96" s="149"/>
      <c r="D96" s="69">
        <f>SUM(D8:D95)</f>
        <v>8800000</v>
      </c>
      <c r="E96" s="152"/>
      <c r="F96" s="152"/>
    </row>
    <row r="97" spans="3:6" x14ac:dyDescent="0.25">
      <c r="C97" s="57"/>
      <c r="D97" s="57"/>
      <c r="E97" s="57"/>
      <c r="F97" s="59"/>
    </row>
    <row r="98" spans="3:6" x14ac:dyDescent="0.25">
      <c r="C98" s="57"/>
      <c r="D98" s="57"/>
      <c r="E98" s="57"/>
      <c r="F98" s="58"/>
    </row>
    <row r="99" spans="3:6" x14ac:dyDescent="0.25">
      <c r="C99" s="57"/>
      <c r="D99" s="57"/>
      <c r="E99" s="60"/>
      <c r="F99" s="58"/>
    </row>
    <row r="100" spans="3:6" x14ac:dyDescent="0.25">
      <c r="C100" s="57"/>
      <c r="D100" s="57"/>
      <c r="E100" s="57"/>
      <c r="F100" s="58"/>
    </row>
  </sheetData>
  <mergeCells count="10">
    <mergeCell ref="A96:C96"/>
    <mergeCell ref="E96:F96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Normal="100" workbookViewId="0">
      <selection activeCell="F14" sqref="F14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" style="47" customWidth="1"/>
    <col min="5" max="5" width="13" style="47" customWidth="1"/>
    <col min="6" max="6" width="13.140625" style="47" customWidth="1"/>
    <col min="7" max="7" width="9.140625" style="47"/>
    <col min="8" max="8" width="15" style="47" bestFit="1" customWidth="1"/>
    <col min="9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521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7" t="s">
        <v>415</v>
      </c>
      <c r="F5" s="157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75</v>
      </c>
      <c r="C8" s="52" t="s">
        <v>416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76</v>
      </c>
      <c r="C9" s="54" t="s">
        <v>417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95</v>
      </c>
      <c r="C10" s="54" t="s">
        <v>418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98</v>
      </c>
      <c r="C11" s="54" t="s">
        <v>419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102</v>
      </c>
      <c r="C12" s="54" t="s">
        <v>420</v>
      </c>
      <c r="D12" s="66">
        <v>100000</v>
      </c>
      <c r="E12" s="54" t="s">
        <v>250</v>
      </c>
      <c r="F12" s="54"/>
    </row>
    <row r="13" spans="1:6" x14ac:dyDescent="0.25">
      <c r="A13" s="73">
        <v>6</v>
      </c>
      <c r="B13" s="73">
        <v>106</v>
      </c>
      <c r="C13" s="74" t="s">
        <v>421</v>
      </c>
      <c r="D13" s="66">
        <v>100000</v>
      </c>
      <c r="E13" s="74"/>
      <c r="F13" s="74" t="s">
        <v>252</v>
      </c>
    </row>
    <row r="14" spans="1:6" x14ac:dyDescent="0.25">
      <c r="A14" s="73">
        <v>7</v>
      </c>
      <c r="B14" s="73">
        <v>117</v>
      </c>
      <c r="C14" s="74" t="s">
        <v>422</v>
      </c>
      <c r="D14" s="66">
        <v>100000</v>
      </c>
      <c r="E14" s="74" t="s">
        <v>254</v>
      </c>
      <c r="F14" s="74"/>
    </row>
    <row r="15" spans="1:6" x14ac:dyDescent="0.25">
      <c r="A15" s="73">
        <v>8</v>
      </c>
      <c r="B15" s="73">
        <v>118</v>
      </c>
      <c r="C15" s="74" t="s">
        <v>423</v>
      </c>
      <c r="D15" s="66">
        <v>100000</v>
      </c>
      <c r="E15" s="54"/>
      <c r="F15" s="54" t="s">
        <v>256</v>
      </c>
    </row>
    <row r="16" spans="1:6" x14ac:dyDescent="0.25">
      <c r="A16" s="73">
        <v>9</v>
      </c>
      <c r="B16" s="73">
        <v>119</v>
      </c>
      <c r="C16" s="74" t="s">
        <v>424</v>
      </c>
      <c r="D16" s="66">
        <v>100000</v>
      </c>
      <c r="E16" s="54" t="s">
        <v>258</v>
      </c>
      <c r="F16" s="54"/>
    </row>
    <row r="17" spans="1:6" x14ac:dyDescent="0.25">
      <c r="A17" s="73">
        <v>10</v>
      </c>
      <c r="B17" s="73">
        <v>123</v>
      </c>
      <c r="C17" s="74" t="s">
        <v>425</v>
      </c>
      <c r="D17" s="66">
        <v>100000</v>
      </c>
      <c r="E17" s="54"/>
      <c r="F17" s="54" t="s">
        <v>260</v>
      </c>
    </row>
    <row r="18" spans="1:6" x14ac:dyDescent="0.25">
      <c r="A18" s="73">
        <v>11</v>
      </c>
      <c r="B18" s="73">
        <v>124</v>
      </c>
      <c r="C18" s="74" t="s">
        <v>426</v>
      </c>
      <c r="D18" s="66">
        <v>100000</v>
      </c>
      <c r="E18" s="54" t="s">
        <v>262</v>
      </c>
      <c r="F18" s="54"/>
    </row>
    <row r="19" spans="1:6" x14ac:dyDescent="0.25">
      <c r="A19" s="73">
        <v>12</v>
      </c>
      <c r="B19" s="73">
        <v>129</v>
      </c>
      <c r="C19" s="74" t="s">
        <v>427</v>
      </c>
      <c r="D19" s="66">
        <v>100000</v>
      </c>
      <c r="E19" s="74"/>
      <c r="F19" s="74" t="s">
        <v>264</v>
      </c>
    </row>
    <row r="20" spans="1:6" x14ac:dyDescent="0.25">
      <c r="A20" s="73">
        <v>13</v>
      </c>
      <c r="B20" s="73">
        <v>130</v>
      </c>
      <c r="C20" s="74" t="s">
        <v>428</v>
      </c>
      <c r="D20" s="66">
        <v>100000</v>
      </c>
      <c r="E20" s="74" t="s">
        <v>266</v>
      </c>
      <c r="F20" s="74"/>
    </row>
    <row r="21" spans="1:6" x14ac:dyDescent="0.25">
      <c r="A21" s="73">
        <v>14</v>
      </c>
      <c r="B21" s="73">
        <v>143</v>
      </c>
      <c r="C21" s="74" t="s">
        <v>429</v>
      </c>
      <c r="D21" s="66">
        <v>100000</v>
      </c>
      <c r="E21" s="54"/>
      <c r="F21" s="54" t="s">
        <v>268</v>
      </c>
    </row>
    <row r="22" spans="1:6" x14ac:dyDescent="0.25">
      <c r="A22" s="73">
        <v>15</v>
      </c>
      <c r="B22" s="73">
        <v>150</v>
      </c>
      <c r="C22" s="74" t="s">
        <v>430</v>
      </c>
      <c r="D22" s="66">
        <v>100000</v>
      </c>
      <c r="E22" s="54" t="s">
        <v>269</v>
      </c>
      <c r="F22" s="54"/>
    </row>
    <row r="23" spans="1:6" x14ac:dyDescent="0.25">
      <c r="A23" s="73">
        <v>16</v>
      </c>
      <c r="B23" s="73">
        <v>151</v>
      </c>
      <c r="C23" s="74" t="s">
        <v>431</v>
      </c>
      <c r="D23" s="66">
        <v>100000</v>
      </c>
      <c r="E23" s="54"/>
      <c r="F23" s="54" t="s">
        <v>271</v>
      </c>
    </row>
    <row r="24" spans="1:6" x14ac:dyDescent="0.25">
      <c r="A24" s="73">
        <v>17</v>
      </c>
      <c r="B24" s="73">
        <v>152</v>
      </c>
      <c r="C24" s="74" t="s">
        <v>432</v>
      </c>
      <c r="D24" s="66">
        <v>100000</v>
      </c>
      <c r="E24" s="54" t="s">
        <v>273</v>
      </c>
      <c r="F24" s="54"/>
    </row>
    <row r="25" spans="1:6" x14ac:dyDescent="0.25">
      <c r="A25" s="73">
        <v>18</v>
      </c>
      <c r="B25" s="73">
        <v>153</v>
      </c>
      <c r="C25" s="74" t="s">
        <v>433</v>
      </c>
      <c r="D25" s="66">
        <v>100000</v>
      </c>
      <c r="E25" s="74"/>
      <c r="F25" s="74" t="s">
        <v>275</v>
      </c>
    </row>
    <row r="26" spans="1:6" x14ac:dyDescent="0.25">
      <c r="A26" s="73">
        <v>19</v>
      </c>
      <c r="B26" s="73">
        <v>155</v>
      </c>
      <c r="C26" s="74" t="s">
        <v>434</v>
      </c>
      <c r="D26" s="66">
        <v>100000</v>
      </c>
      <c r="E26" s="74" t="s">
        <v>277</v>
      </c>
      <c r="F26" s="74"/>
    </row>
    <row r="27" spans="1:6" x14ac:dyDescent="0.25">
      <c r="A27" s="73">
        <v>20</v>
      </c>
      <c r="B27" s="73">
        <v>159</v>
      </c>
      <c r="C27" s="74" t="s">
        <v>435</v>
      </c>
      <c r="D27" s="66">
        <v>100000</v>
      </c>
      <c r="E27" s="54"/>
      <c r="F27" s="54" t="s">
        <v>279</v>
      </c>
    </row>
    <row r="28" spans="1:6" x14ac:dyDescent="0.25">
      <c r="A28" s="73">
        <v>21</v>
      </c>
      <c r="B28" s="73">
        <v>161</v>
      </c>
      <c r="C28" s="74" t="s">
        <v>436</v>
      </c>
      <c r="D28" s="66">
        <v>100000</v>
      </c>
      <c r="E28" s="54" t="s">
        <v>281</v>
      </c>
      <c r="F28" s="54"/>
    </row>
    <row r="29" spans="1:6" x14ac:dyDescent="0.25">
      <c r="A29" s="73">
        <v>22</v>
      </c>
      <c r="B29" s="73">
        <v>164</v>
      </c>
      <c r="C29" s="74" t="s">
        <v>437</v>
      </c>
      <c r="D29" s="66">
        <v>100000</v>
      </c>
      <c r="E29" s="54"/>
      <c r="F29" s="54" t="s">
        <v>283</v>
      </c>
    </row>
    <row r="30" spans="1:6" x14ac:dyDescent="0.25">
      <c r="A30" s="73">
        <v>23</v>
      </c>
      <c r="B30" s="73">
        <v>166</v>
      </c>
      <c r="C30" s="74" t="s">
        <v>438</v>
      </c>
      <c r="D30" s="66">
        <v>100000</v>
      </c>
      <c r="E30" s="54" t="s">
        <v>285</v>
      </c>
      <c r="F30" s="54"/>
    </row>
    <row r="31" spans="1:6" x14ac:dyDescent="0.25">
      <c r="A31" s="73">
        <v>24</v>
      </c>
      <c r="B31" s="73">
        <v>167</v>
      </c>
      <c r="C31" s="74" t="s">
        <v>439</v>
      </c>
      <c r="D31" s="66">
        <v>100000</v>
      </c>
      <c r="E31" s="74"/>
      <c r="F31" s="74" t="s">
        <v>287</v>
      </c>
    </row>
    <row r="32" spans="1:6" x14ac:dyDescent="0.25">
      <c r="A32" s="73">
        <v>25</v>
      </c>
      <c r="B32" s="73">
        <v>169</v>
      </c>
      <c r="C32" s="74" t="s">
        <v>440</v>
      </c>
      <c r="D32" s="66">
        <v>100000</v>
      </c>
      <c r="E32" s="74" t="s">
        <v>289</v>
      </c>
      <c r="F32" s="74"/>
    </row>
    <row r="33" spans="1:6" x14ac:dyDescent="0.25">
      <c r="A33" s="73">
        <v>26</v>
      </c>
      <c r="B33" s="73">
        <v>175</v>
      </c>
      <c r="C33" s="74" t="s">
        <v>441</v>
      </c>
      <c r="D33" s="66">
        <v>100000</v>
      </c>
      <c r="E33" s="54"/>
      <c r="F33" s="54" t="s">
        <v>291</v>
      </c>
    </row>
    <row r="34" spans="1:6" x14ac:dyDescent="0.25">
      <c r="A34" s="73">
        <v>27</v>
      </c>
      <c r="B34" s="73">
        <v>176</v>
      </c>
      <c r="C34" s="74" t="s">
        <v>442</v>
      </c>
      <c r="D34" s="66">
        <v>100000</v>
      </c>
      <c r="E34" s="54" t="s">
        <v>293</v>
      </c>
      <c r="F34" s="54"/>
    </row>
    <row r="35" spans="1:6" x14ac:dyDescent="0.25">
      <c r="A35" s="73">
        <v>28</v>
      </c>
      <c r="B35" s="73">
        <v>178</v>
      </c>
      <c r="C35" s="74" t="s">
        <v>443</v>
      </c>
      <c r="D35" s="66">
        <v>100000</v>
      </c>
      <c r="E35" s="54"/>
      <c r="F35" s="54" t="s">
        <v>295</v>
      </c>
    </row>
    <row r="36" spans="1:6" x14ac:dyDescent="0.25">
      <c r="A36" s="73">
        <v>29</v>
      </c>
      <c r="B36" s="73">
        <v>194</v>
      </c>
      <c r="C36" s="74" t="s">
        <v>444</v>
      </c>
      <c r="D36" s="66">
        <v>100000</v>
      </c>
      <c r="E36" s="54" t="s">
        <v>297</v>
      </c>
      <c r="F36" s="54"/>
    </row>
    <row r="37" spans="1:6" x14ac:dyDescent="0.25">
      <c r="A37" s="73">
        <v>30</v>
      </c>
      <c r="B37" s="73">
        <v>197</v>
      </c>
      <c r="C37" s="74" t="s">
        <v>445</v>
      </c>
      <c r="D37" s="66">
        <v>100000</v>
      </c>
      <c r="E37" s="74"/>
      <c r="F37" s="74" t="s">
        <v>299</v>
      </c>
    </row>
    <row r="38" spans="1:6" x14ac:dyDescent="0.25">
      <c r="A38" s="73">
        <v>31</v>
      </c>
      <c r="B38" s="73">
        <v>199</v>
      </c>
      <c r="C38" s="74" t="s">
        <v>446</v>
      </c>
      <c r="D38" s="66">
        <v>100000</v>
      </c>
      <c r="E38" s="74" t="s">
        <v>301</v>
      </c>
      <c r="F38" s="74"/>
    </row>
    <row r="39" spans="1:6" x14ac:dyDescent="0.25">
      <c r="A39" s="73">
        <v>32</v>
      </c>
      <c r="B39" s="73">
        <v>200</v>
      </c>
      <c r="C39" s="74" t="s">
        <v>447</v>
      </c>
      <c r="D39" s="66">
        <v>100000</v>
      </c>
      <c r="E39" s="54"/>
      <c r="F39" s="54" t="s">
        <v>303</v>
      </c>
    </row>
    <row r="40" spans="1:6" x14ac:dyDescent="0.25">
      <c r="A40" s="73">
        <v>33</v>
      </c>
      <c r="B40" s="73">
        <v>201</v>
      </c>
      <c r="C40" s="74" t="s">
        <v>448</v>
      </c>
      <c r="D40" s="66">
        <v>100000</v>
      </c>
      <c r="E40" s="54" t="s">
        <v>305</v>
      </c>
      <c r="F40" s="54"/>
    </row>
    <row r="41" spans="1:6" x14ac:dyDescent="0.25">
      <c r="A41" s="73">
        <v>34</v>
      </c>
      <c r="B41" s="73">
        <v>202</v>
      </c>
      <c r="C41" s="74" t="s">
        <v>449</v>
      </c>
      <c r="D41" s="66">
        <v>100000</v>
      </c>
      <c r="E41" s="54"/>
      <c r="F41" s="54" t="s">
        <v>307</v>
      </c>
    </row>
    <row r="42" spans="1:6" x14ac:dyDescent="0.25">
      <c r="A42" s="73">
        <v>35</v>
      </c>
      <c r="B42" s="73">
        <v>203</v>
      </c>
      <c r="C42" s="74" t="s">
        <v>450</v>
      </c>
      <c r="D42" s="66">
        <v>100000</v>
      </c>
      <c r="E42" s="54" t="s">
        <v>309</v>
      </c>
      <c r="F42" s="54"/>
    </row>
    <row r="43" spans="1:6" x14ac:dyDescent="0.25">
      <c r="A43" s="73">
        <v>36</v>
      </c>
      <c r="B43" s="73">
        <v>204</v>
      </c>
      <c r="C43" s="74" t="s">
        <v>451</v>
      </c>
      <c r="D43" s="66">
        <v>100000</v>
      </c>
      <c r="E43" s="74"/>
      <c r="F43" s="74" t="s">
        <v>311</v>
      </c>
    </row>
    <row r="44" spans="1:6" x14ac:dyDescent="0.25">
      <c r="A44" s="73">
        <v>37</v>
      </c>
      <c r="B44" s="73">
        <v>205</v>
      </c>
      <c r="C44" s="74" t="s">
        <v>452</v>
      </c>
      <c r="D44" s="66">
        <v>100000</v>
      </c>
      <c r="E44" s="74" t="s">
        <v>313</v>
      </c>
      <c r="F44" s="74"/>
    </row>
    <row r="45" spans="1:6" x14ac:dyDescent="0.25">
      <c r="A45" s="73">
        <v>38</v>
      </c>
      <c r="B45" s="73">
        <v>206</v>
      </c>
      <c r="C45" s="74" t="s">
        <v>453</v>
      </c>
      <c r="D45" s="66">
        <v>100000</v>
      </c>
      <c r="E45" s="54"/>
      <c r="F45" s="54" t="s">
        <v>315</v>
      </c>
    </row>
    <row r="46" spans="1:6" x14ac:dyDescent="0.25">
      <c r="A46" s="73">
        <v>39</v>
      </c>
      <c r="B46" s="73">
        <v>208</v>
      </c>
      <c r="C46" s="74" t="s">
        <v>454</v>
      </c>
      <c r="D46" s="66">
        <v>100000</v>
      </c>
      <c r="E46" s="54" t="s">
        <v>317</v>
      </c>
      <c r="F46" s="54"/>
    </row>
    <row r="47" spans="1:6" x14ac:dyDescent="0.25">
      <c r="A47" s="73">
        <v>40</v>
      </c>
      <c r="B47" s="73">
        <v>210</v>
      </c>
      <c r="C47" s="74" t="s">
        <v>455</v>
      </c>
      <c r="D47" s="66">
        <v>100000</v>
      </c>
      <c r="E47" s="54"/>
      <c r="F47" s="54" t="s">
        <v>319</v>
      </c>
    </row>
    <row r="48" spans="1:6" x14ac:dyDescent="0.25">
      <c r="A48" s="73">
        <v>41</v>
      </c>
      <c r="B48" s="73">
        <v>216</v>
      </c>
      <c r="C48" s="74" t="s">
        <v>456</v>
      </c>
      <c r="D48" s="66">
        <v>100000</v>
      </c>
      <c r="E48" s="54" t="s">
        <v>321</v>
      </c>
      <c r="F48" s="54"/>
    </row>
    <row r="49" spans="1:6" x14ac:dyDescent="0.25">
      <c r="A49" s="73">
        <v>42</v>
      </c>
      <c r="B49" s="73">
        <v>217</v>
      </c>
      <c r="C49" s="74" t="s">
        <v>457</v>
      </c>
      <c r="D49" s="66">
        <v>100000</v>
      </c>
      <c r="E49" s="74"/>
      <c r="F49" s="74" t="s">
        <v>323</v>
      </c>
    </row>
    <row r="50" spans="1:6" x14ac:dyDescent="0.25">
      <c r="A50" s="73">
        <v>43</v>
      </c>
      <c r="B50" s="73">
        <v>218</v>
      </c>
      <c r="C50" s="74" t="s">
        <v>458</v>
      </c>
      <c r="D50" s="66">
        <v>100000</v>
      </c>
      <c r="E50" s="74" t="s">
        <v>325</v>
      </c>
      <c r="F50" s="74"/>
    </row>
    <row r="51" spans="1:6" x14ac:dyDescent="0.25">
      <c r="A51" s="73">
        <v>44</v>
      </c>
      <c r="B51" s="73">
        <v>222</v>
      </c>
      <c r="C51" s="74" t="s">
        <v>459</v>
      </c>
      <c r="D51" s="66">
        <v>100000</v>
      </c>
      <c r="E51" s="54"/>
      <c r="F51" s="54" t="s">
        <v>327</v>
      </c>
    </row>
    <row r="52" spans="1:6" x14ac:dyDescent="0.25">
      <c r="A52" s="73">
        <v>45</v>
      </c>
      <c r="B52" s="73">
        <v>226</v>
      </c>
      <c r="C52" s="74" t="s">
        <v>517</v>
      </c>
      <c r="D52" s="66">
        <v>100000</v>
      </c>
      <c r="E52" s="54" t="s">
        <v>329</v>
      </c>
      <c r="F52" s="54"/>
    </row>
    <row r="53" spans="1:6" x14ac:dyDescent="0.25">
      <c r="A53" s="73">
        <v>46</v>
      </c>
      <c r="B53" s="73">
        <v>227</v>
      </c>
      <c r="C53" s="74" t="s">
        <v>460</v>
      </c>
      <c r="D53" s="66">
        <v>100000</v>
      </c>
      <c r="E53" s="54"/>
      <c r="F53" s="54" t="s">
        <v>331</v>
      </c>
    </row>
    <row r="54" spans="1:6" x14ac:dyDescent="0.25">
      <c r="A54" s="73">
        <v>47</v>
      </c>
      <c r="B54" s="73">
        <v>229</v>
      </c>
      <c r="C54" s="74" t="s">
        <v>461</v>
      </c>
      <c r="D54" s="66">
        <v>100000</v>
      </c>
      <c r="E54" s="54" t="s">
        <v>333</v>
      </c>
      <c r="F54" s="54"/>
    </row>
    <row r="55" spans="1:6" x14ac:dyDescent="0.25">
      <c r="A55" s="73">
        <v>48</v>
      </c>
      <c r="B55" s="73">
        <v>230</v>
      </c>
      <c r="C55" s="74" t="s">
        <v>462</v>
      </c>
      <c r="D55" s="66">
        <v>100000</v>
      </c>
      <c r="E55" s="74"/>
      <c r="F55" s="74" t="s">
        <v>335</v>
      </c>
    </row>
    <row r="56" spans="1:6" x14ac:dyDescent="0.25">
      <c r="A56" s="73">
        <v>49</v>
      </c>
      <c r="B56" s="73">
        <v>231</v>
      </c>
      <c r="C56" s="74" t="s">
        <v>463</v>
      </c>
      <c r="D56" s="66">
        <v>100000</v>
      </c>
      <c r="E56" s="74" t="s">
        <v>337</v>
      </c>
      <c r="F56" s="74"/>
    </row>
    <row r="57" spans="1:6" x14ac:dyDescent="0.25">
      <c r="A57" s="73">
        <v>50</v>
      </c>
      <c r="B57" s="73">
        <v>232</v>
      </c>
      <c r="C57" s="74" t="s">
        <v>464</v>
      </c>
      <c r="D57" s="66">
        <v>100000</v>
      </c>
      <c r="E57" s="54"/>
      <c r="F57" s="54" t="s">
        <v>339</v>
      </c>
    </row>
    <row r="58" spans="1:6" x14ac:dyDescent="0.25">
      <c r="A58" s="75">
        <v>51</v>
      </c>
      <c r="B58" s="75">
        <v>233</v>
      </c>
      <c r="C58" s="76" t="s">
        <v>465</v>
      </c>
      <c r="D58" s="84">
        <v>100000</v>
      </c>
      <c r="E58" s="56" t="s">
        <v>341</v>
      </c>
      <c r="F58" s="56"/>
    </row>
    <row r="59" spans="1:6" x14ac:dyDescent="0.25">
      <c r="A59" s="73">
        <v>52</v>
      </c>
      <c r="B59" s="73">
        <v>235</v>
      </c>
      <c r="C59" s="74" t="s">
        <v>466</v>
      </c>
      <c r="D59" s="66">
        <v>100000</v>
      </c>
      <c r="E59" s="54"/>
      <c r="F59" s="54" t="s">
        <v>343</v>
      </c>
    </row>
    <row r="60" spans="1:6" x14ac:dyDescent="0.25">
      <c r="A60" s="73">
        <v>53</v>
      </c>
      <c r="B60" s="73">
        <v>236</v>
      </c>
      <c r="C60" s="74" t="s">
        <v>467</v>
      </c>
      <c r="D60" s="66">
        <v>100000</v>
      </c>
      <c r="E60" s="54" t="s">
        <v>345</v>
      </c>
      <c r="F60" s="54"/>
    </row>
    <row r="61" spans="1:6" ht="15" customHeight="1" x14ac:dyDescent="0.25">
      <c r="A61" s="73">
        <v>54</v>
      </c>
      <c r="B61" s="73">
        <v>239</v>
      </c>
      <c r="C61" s="74" t="s">
        <v>468</v>
      </c>
      <c r="D61" s="66">
        <v>100000</v>
      </c>
      <c r="E61" s="74"/>
      <c r="F61" s="74" t="s">
        <v>347</v>
      </c>
    </row>
    <row r="62" spans="1:6" ht="15" customHeight="1" x14ac:dyDescent="0.25">
      <c r="A62" s="73">
        <v>55</v>
      </c>
      <c r="B62" s="77">
        <v>244</v>
      </c>
      <c r="C62" s="78" t="s">
        <v>469</v>
      </c>
      <c r="D62" s="66">
        <v>100000</v>
      </c>
      <c r="E62" s="74" t="s">
        <v>349</v>
      </c>
      <c r="F62" s="74"/>
    </row>
    <row r="63" spans="1:6" x14ac:dyDescent="0.25">
      <c r="A63" s="73">
        <v>56</v>
      </c>
      <c r="B63" s="73">
        <v>245</v>
      </c>
      <c r="C63" s="74" t="s">
        <v>470</v>
      </c>
      <c r="D63" s="66">
        <v>100000</v>
      </c>
      <c r="E63" s="54"/>
      <c r="F63" s="54" t="s">
        <v>351</v>
      </c>
    </row>
    <row r="64" spans="1:6" x14ac:dyDescent="0.25">
      <c r="A64" s="73">
        <v>57</v>
      </c>
      <c r="B64" s="73">
        <v>246</v>
      </c>
      <c r="C64" s="74" t="s">
        <v>471</v>
      </c>
      <c r="D64" s="66">
        <v>100000</v>
      </c>
      <c r="E64" s="54" t="s">
        <v>353</v>
      </c>
      <c r="F64" s="54"/>
    </row>
    <row r="65" spans="1:6" x14ac:dyDescent="0.25">
      <c r="A65" s="73">
        <v>58</v>
      </c>
      <c r="B65" s="73">
        <v>247</v>
      </c>
      <c r="C65" s="74" t="s">
        <v>472</v>
      </c>
      <c r="D65" s="66">
        <v>100000</v>
      </c>
      <c r="E65" s="54"/>
      <c r="F65" s="54" t="s">
        <v>355</v>
      </c>
    </row>
    <row r="66" spans="1:6" x14ac:dyDescent="0.25">
      <c r="A66" s="73">
        <v>59</v>
      </c>
      <c r="B66" s="73">
        <v>248</v>
      </c>
      <c r="C66" s="74" t="s">
        <v>473</v>
      </c>
      <c r="D66" s="66">
        <v>100000</v>
      </c>
      <c r="E66" s="54" t="s">
        <v>357</v>
      </c>
      <c r="F66" s="54"/>
    </row>
    <row r="67" spans="1:6" x14ac:dyDescent="0.25">
      <c r="A67" s="73">
        <v>60</v>
      </c>
      <c r="B67" s="73">
        <v>249</v>
      </c>
      <c r="C67" s="74" t="s">
        <v>290</v>
      </c>
      <c r="D67" s="66">
        <v>100000</v>
      </c>
      <c r="E67" s="74"/>
      <c r="F67" s="74" t="s">
        <v>359</v>
      </c>
    </row>
    <row r="68" spans="1:6" x14ac:dyDescent="0.25">
      <c r="A68" s="73">
        <v>61</v>
      </c>
      <c r="B68" s="73">
        <v>251</v>
      </c>
      <c r="C68" s="74" t="s">
        <v>474</v>
      </c>
      <c r="D68" s="66">
        <v>100000</v>
      </c>
      <c r="E68" s="74" t="s">
        <v>361</v>
      </c>
      <c r="F68" s="74"/>
    </row>
    <row r="69" spans="1:6" x14ac:dyDescent="0.25">
      <c r="A69" s="73">
        <v>62</v>
      </c>
      <c r="B69" s="73">
        <v>253</v>
      </c>
      <c r="C69" s="74" t="s">
        <v>475</v>
      </c>
      <c r="D69" s="66">
        <v>100000</v>
      </c>
      <c r="E69" s="54"/>
      <c r="F69" s="54" t="s">
        <v>363</v>
      </c>
    </row>
    <row r="70" spans="1:6" x14ac:dyDescent="0.25">
      <c r="A70" s="73">
        <v>63</v>
      </c>
      <c r="B70" s="73">
        <v>254</v>
      </c>
      <c r="C70" s="74" t="s">
        <v>476</v>
      </c>
      <c r="D70" s="66">
        <v>100000</v>
      </c>
      <c r="E70" s="54" t="s">
        <v>365</v>
      </c>
      <c r="F70" s="54"/>
    </row>
    <row r="71" spans="1:6" x14ac:dyDescent="0.25">
      <c r="A71" s="73">
        <v>64</v>
      </c>
      <c r="B71" s="73">
        <v>264</v>
      </c>
      <c r="C71" s="74" t="s">
        <v>477</v>
      </c>
      <c r="D71" s="66">
        <v>100000</v>
      </c>
      <c r="E71" s="54"/>
      <c r="F71" s="54" t="s">
        <v>367</v>
      </c>
    </row>
    <row r="72" spans="1:6" x14ac:dyDescent="0.25">
      <c r="A72" s="73">
        <v>65</v>
      </c>
      <c r="B72" s="73">
        <v>265</v>
      </c>
      <c r="C72" s="74" t="s">
        <v>478</v>
      </c>
      <c r="D72" s="66">
        <v>100000</v>
      </c>
      <c r="E72" s="54" t="s">
        <v>369</v>
      </c>
      <c r="F72" s="54"/>
    </row>
    <row r="73" spans="1:6" x14ac:dyDescent="0.25">
      <c r="A73" s="73">
        <v>66</v>
      </c>
      <c r="B73" s="73">
        <v>266</v>
      </c>
      <c r="C73" s="74" t="s">
        <v>479</v>
      </c>
      <c r="D73" s="66">
        <v>100000</v>
      </c>
      <c r="E73" s="74"/>
      <c r="F73" s="74" t="s">
        <v>371</v>
      </c>
    </row>
    <row r="74" spans="1:6" x14ac:dyDescent="0.25">
      <c r="A74" s="73">
        <v>67</v>
      </c>
      <c r="B74" s="73">
        <v>267</v>
      </c>
      <c r="C74" s="74" t="s">
        <v>480</v>
      </c>
      <c r="D74" s="66">
        <v>100000</v>
      </c>
      <c r="E74" s="74" t="s">
        <v>373</v>
      </c>
      <c r="F74" s="74"/>
    </row>
    <row r="75" spans="1:6" x14ac:dyDescent="0.25">
      <c r="A75" s="73">
        <v>68</v>
      </c>
      <c r="B75" s="73">
        <v>268</v>
      </c>
      <c r="C75" s="74" t="s">
        <v>481</v>
      </c>
      <c r="D75" s="66">
        <v>100000</v>
      </c>
      <c r="E75" s="54"/>
      <c r="F75" s="54" t="s">
        <v>375</v>
      </c>
    </row>
    <row r="76" spans="1:6" x14ac:dyDescent="0.25">
      <c r="A76" s="73">
        <v>69</v>
      </c>
      <c r="B76" s="73">
        <v>270</v>
      </c>
      <c r="C76" s="74" t="s">
        <v>482</v>
      </c>
      <c r="D76" s="66">
        <v>100000</v>
      </c>
      <c r="E76" s="54" t="s">
        <v>377</v>
      </c>
      <c r="F76" s="54"/>
    </row>
    <row r="77" spans="1:6" x14ac:dyDescent="0.25">
      <c r="A77" s="73">
        <v>70</v>
      </c>
      <c r="B77" s="73">
        <v>274</v>
      </c>
      <c r="C77" s="74" t="s">
        <v>483</v>
      </c>
      <c r="D77" s="66">
        <v>100000</v>
      </c>
      <c r="E77" s="54"/>
      <c r="F77" s="54" t="s">
        <v>379</v>
      </c>
    </row>
    <row r="78" spans="1:6" x14ac:dyDescent="0.25">
      <c r="A78" s="73">
        <v>71</v>
      </c>
      <c r="B78" s="73">
        <v>275</v>
      </c>
      <c r="C78" s="74" t="s">
        <v>484</v>
      </c>
      <c r="D78" s="66">
        <v>100000</v>
      </c>
      <c r="E78" s="54" t="s">
        <v>381</v>
      </c>
      <c r="F78" s="54"/>
    </row>
    <row r="79" spans="1:6" x14ac:dyDescent="0.25">
      <c r="A79" s="73">
        <v>72</v>
      </c>
      <c r="B79" s="73">
        <v>276</v>
      </c>
      <c r="C79" s="74" t="s">
        <v>485</v>
      </c>
      <c r="D79" s="66">
        <v>100000</v>
      </c>
      <c r="E79" s="74"/>
      <c r="F79" s="74" t="s">
        <v>383</v>
      </c>
    </row>
    <row r="80" spans="1:6" x14ac:dyDescent="0.25">
      <c r="A80" s="73">
        <v>73</v>
      </c>
      <c r="B80" s="73">
        <v>277</v>
      </c>
      <c r="C80" s="74" t="s">
        <v>486</v>
      </c>
      <c r="D80" s="66">
        <v>100000</v>
      </c>
      <c r="E80" s="74" t="s">
        <v>385</v>
      </c>
      <c r="F80" s="74"/>
    </row>
    <row r="81" spans="1:6" x14ac:dyDescent="0.25">
      <c r="A81" s="73">
        <v>74</v>
      </c>
      <c r="B81" s="73">
        <v>278</v>
      </c>
      <c r="C81" s="74" t="s">
        <v>487</v>
      </c>
      <c r="D81" s="66">
        <v>100000</v>
      </c>
      <c r="E81" s="54"/>
      <c r="F81" s="54" t="s">
        <v>387</v>
      </c>
    </row>
    <row r="82" spans="1:6" x14ac:dyDescent="0.25">
      <c r="A82" s="73">
        <v>75</v>
      </c>
      <c r="B82" s="61">
        <v>282</v>
      </c>
      <c r="C82" s="62" t="s">
        <v>201</v>
      </c>
      <c r="D82" s="66">
        <v>100000</v>
      </c>
      <c r="E82" s="54" t="s">
        <v>389</v>
      </c>
      <c r="F82" s="54"/>
    </row>
    <row r="83" spans="1:6" x14ac:dyDescent="0.25">
      <c r="A83" s="73">
        <v>76</v>
      </c>
      <c r="B83" s="61">
        <v>283</v>
      </c>
      <c r="C83" s="62" t="s">
        <v>202</v>
      </c>
      <c r="D83" s="66">
        <v>100000</v>
      </c>
      <c r="E83" s="54"/>
      <c r="F83" s="54" t="s">
        <v>391</v>
      </c>
    </row>
    <row r="84" spans="1:6" x14ac:dyDescent="0.25">
      <c r="A84" s="73">
        <v>77</v>
      </c>
      <c r="B84" s="61">
        <v>284</v>
      </c>
      <c r="C84" s="62" t="s">
        <v>203</v>
      </c>
      <c r="D84" s="66">
        <v>100000</v>
      </c>
      <c r="E84" s="54" t="s">
        <v>393</v>
      </c>
      <c r="F84" s="54"/>
    </row>
    <row r="85" spans="1:6" x14ac:dyDescent="0.25">
      <c r="A85" s="73">
        <v>78</v>
      </c>
      <c r="B85" s="61">
        <v>286</v>
      </c>
      <c r="C85" s="62" t="s">
        <v>205</v>
      </c>
      <c r="D85" s="66">
        <v>100000</v>
      </c>
      <c r="E85" s="74"/>
      <c r="F85" s="74" t="s">
        <v>395</v>
      </c>
    </row>
    <row r="86" spans="1:6" x14ac:dyDescent="0.25">
      <c r="A86" s="75">
        <v>79</v>
      </c>
      <c r="B86" s="63">
        <v>287</v>
      </c>
      <c r="C86" s="64" t="s">
        <v>206</v>
      </c>
      <c r="D86" s="80">
        <v>100000</v>
      </c>
      <c r="E86" s="76" t="s">
        <v>397</v>
      </c>
      <c r="F86" s="76"/>
    </row>
    <row r="87" spans="1:6" x14ac:dyDescent="0.25">
      <c r="A87" s="155" t="s">
        <v>412</v>
      </c>
      <c r="B87" s="155"/>
      <c r="C87" s="155"/>
      <c r="D87" s="79">
        <f>SUM(D8:D86)</f>
        <v>7900000</v>
      </c>
      <c r="E87" s="156"/>
      <c r="F87" s="156"/>
    </row>
  </sheetData>
  <mergeCells count="10">
    <mergeCell ref="A87:C87"/>
    <mergeCell ref="E87:F87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D6" sqref="D6:D7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6.28515625" style="47" customWidth="1"/>
    <col min="5" max="5" width="15.85546875" style="47" customWidth="1"/>
    <col min="6" max="6" width="14.140625" style="47" customWidth="1"/>
    <col min="7" max="16384" width="9.140625" style="47"/>
  </cols>
  <sheetData>
    <row r="1" spans="1:6" x14ac:dyDescent="0.25">
      <c r="A1" s="153" t="s">
        <v>171</v>
      </c>
      <c r="B1" s="153"/>
      <c r="C1" s="153"/>
      <c r="D1" s="153"/>
      <c r="E1" s="153"/>
      <c r="F1" s="153"/>
    </row>
    <row r="2" spans="1:6" x14ac:dyDescent="0.25">
      <c r="A2" s="153" t="s">
        <v>521</v>
      </c>
      <c r="B2" s="153"/>
      <c r="C2" s="153"/>
      <c r="D2" s="153"/>
      <c r="E2" s="153"/>
      <c r="F2" s="153"/>
    </row>
    <row r="3" spans="1:6" x14ac:dyDescent="0.25">
      <c r="A3" s="153" t="s">
        <v>235</v>
      </c>
      <c r="B3" s="153"/>
      <c r="C3" s="153"/>
      <c r="D3" s="153"/>
      <c r="E3" s="153"/>
      <c r="F3" s="153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54" t="s">
        <v>488</v>
      </c>
      <c r="F5" s="154"/>
    </row>
    <row r="6" spans="1:6" x14ac:dyDescent="0.25">
      <c r="A6" s="149" t="s">
        <v>237</v>
      </c>
      <c r="B6" s="149"/>
      <c r="C6" s="149" t="s">
        <v>238</v>
      </c>
      <c r="D6" s="150" t="s">
        <v>414</v>
      </c>
      <c r="E6" s="149" t="s">
        <v>239</v>
      </c>
      <c r="F6" s="149"/>
    </row>
    <row r="7" spans="1:6" ht="17.25" customHeight="1" x14ac:dyDescent="0.25">
      <c r="A7" s="50" t="s">
        <v>6</v>
      </c>
      <c r="B7" s="50" t="s">
        <v>240</v>
      </c>
      <c r="C7" s="149"/>
      <c r="D7" s="151"/>
      <c r="E7" s="149"/>
      <c r="F7" s="149"/>
    </row>
    <row r="8" spans="1:6" ht="24.75" customHeight="1" x14ac:dyDescent="0.25">
      <c r="A8" s="51">
        <v>1</v>
      </c>
      <c r="B8" s="51">
        <v>70</v>
      </c>
      <c r="C8" s="52" t="s">
        <v>489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73</v>
      </c>
      <c r="C9" s="54" t="s">
        <v>490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79</v>
      </c>
      <c r="C10" s="54" t="s">
        <v>491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80</v>
      </c>
      <c r="C11" s="54" t="s">
        <v>492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82</v>
      </c>
      <c r="C12" s="54" t="s">
        <v>493</v>
      </c>
      <c r="D12" s="66">
        <v>100000</v>
      </c>
      <c r="E12" s="54" t="s">
        <v>250</v>
      </c>
      <c r="F12" s="54"/>
    </row>
    <row r="13" spans="1:6" x14ac:dyDescent="0.25">
      <c r="A13" s="53">
        <v>6</v>
      </c>
      <c r="B13" s="53">
        <v>83</v>
      </c>
      <c r="C13" s="54" t="s">
        <v>494</v>
      </c>
      <c r="D13" s="66">
        <v>100000</v>
      </c>
      <c r="E13" s="74"/>
      <c r="F13" s="74" t="s">
        <v>252</v>
      </c>
    </row>
    <row r="14" spans="1:6" x14ac:dyDescent="0.25">
      <c r="A14" s="53">
        <v>7</v>
      </c>
      <c r="B14" s="53">
        <v>88</v>
      </c>
      <c r="C14" s="54" t="s">
        <v>495</v>
      </c>
      <c r="D14" s="66">
        <v>100000</v>
      </c>
      <c r="E14" s="74" t="s">
        <v>254</v>
      </c>
      <c r="F14" s="74"/>
    </row>
    <row r="15" spans="1:6" x14ac:dyDescent="0.25">
      <c r="A15" s="53">
        <v>8</v>
      </c>
      <c r="B15" s="53">
        <v>107</v>
      </c>
      <c r="C15" s="54" t="s">
        <v>496</v>
      </c>
      <c r="D15" s="66">
        <v>100000</v>
      </c>
      <c r="E15" s="54"/>
      <c r="F15" s="54" t="s">
        <v>256</v>
      </c>
    </row>
    <row r="16" spans="1:6" x14ac:dyDescent="0.25">
      <c r="A16" s="53">
        <v>9</v>
      </c>
      <c r="B16" s="53">
        <v>116</v>
      </c>
      <c r="C16" s="54" t="s">
        <v>497</v>
      </c>
      <c r="D16" s="66">
        <v>100000</v>
      </c>
      <c r="E16" s="54" t="s">
        <v>258</v>
      </c>
      <c r="F16" s="54"/>
    </row>
    <row r="17" spans="1:6" x14ac:dyDescent="0.25">
      <c r="A17" s="53">
        <v>10</v>
      </c>
      <c r="B17" s="53">
        <v>122</v>
      </c>
      <c r="C17" s="54" t="s">
        <v>498</v>
      </c>
      <c r="D17" s="66">
        <v>100000</v>
      </c>
      <c r="E17" s="54"/>
      <c r="F17" s="54" t="s">
        <v>260</v>
      </c>
    </row>
    <row r="18" spans="1:6" x14ac:dyDescent="0.25">
      <c r="A18" s="53">
        <v>11</v>
      </c>
      <c r="B18" s="53">
        <v>149</v>
      </c>
      <c r="C18" s="54" t="s">
        <v>499</v>
      </c>
      <c r="D18" s="66">
        <v>100000</v>
      </c>
      <c r="E18" s="54" t="s">
        <v>262</v>
      </c>
      <c r="F18" s="54"/>
    </row>
    <row r="19" spans="1:6" x14ac:dyDescent="0.25">
      <c r="A19" s="53">
        <v>12</v>
      </c>
      <c r="B19" s="53">
        <v>131</v>
      </c>
      <c r="C19" s="54" t="s">
        <v>500</v>
      </c>
      <c r="D19" s="66">
        <v>100000</v>
      </c>
      <c r="E19" s="74"/>
      <c r="F19" s="74" t="s">
        <v>264</v>
      </c>
    </row>
    <row r="20" spans="1:6" x14ac:dyDescent="0.25">
      <c r="A20" s="53">
        <v>13</v>
      </c>
      <c r="B20" s="53">
        <v>132</v>
      </c>
      <c r="C20" s="54" t="s">
        <v>501</v>
      </c>
      <c r="D20" s="66">
        <v>100000</v>
      </c>
      <c r="E20" s="74" t="s">
        <v>266</v>
      </c>
      <c r="F20" s="74"/>
    </row>
    <row r="21" spans="1:6" x14ac:dyDescent="0.25">
      <c r="A21" s="53">
        <v>14</v>
      </c>
      <c r="B21" s="53">
        <v>138</v>
      </c>
      <c r="C21" s="54" t="s">
        <v>502</v>
      </c>
      <c r="D21" s="66">
        <v>100000</v>
      </c>
      <c r="E21" s="54"/>
      <c r="F21" s="54" t="s">
        <v>268</v>
      </c>
    </row>
    <row r="22" spans="1:6" x14ac:dyDescent="0.25">
      <c r="A22" s="53">
        <v>15</v>
      </c>
      <c r="B22" s="53">
        <v>156</v>
      </c>
      <c r="C22" s="54" t="s">
        <v>503</v>
      </c>
      <c r="D22" s="66">
        <v>100000</v>
      </c>
      <c r="E22" s="54" t="s">
        <v>269</v>
      </c>
      <c r="F22" s="54"/>
    </row>
    <row r="23" spans="1:6" x14ac:dyDescent="0.25">
      <c r="A23" s="53">
        <v>16</v>
      </c>
      <c r="B23" s="53">
        <v>158</v>
      </c>
      <c r="C23" s="54" t="s">
        <v>504</v>
      </c>
      <c r="D23" s="66">
        <v>100000</v>
      </c>
      <c r="E23" s="54"/>
      <c r="F23" s="54" t="s">
        <v>271</v>
      </c>
    </row>
    <row r="24" spans="1:6" x14ac:dyDescent="0.25">
      <c r="A24" s="53">
        <v>17</v>
      </c>
      <c r="B24" s="53">
        <v>184</v>
      </c>
      <c r="C24" s="54" t="s">
        <v>505</v>
      </c>
      <c r="D24" s="66">
        <v>100000</v>
      </c>
      <c r="E24" s="54" t="s">
        <v>273</v>
      </c>
      <c r="F24" s="54"/>
    </row>
    <row r="25" spans="1:6" x14ac:dyDescent="0.25">
      <c r="A25" s="53">
        <v>18</v>
      </c>
      <c r="B25" s="53">
        <v>186</v>
      </c>
      <c r="C25" s="54" t="s">
        <v>506</v>
      </c>
      <c r="D25" s="66">
        <v>100000</v>
      </c>
      <c r="E25" s="74"/>
      <c r="F25" s="74" t="s">
        <v>275</v>
      </c>
    </row>
    <row r="26" spans="1:6" x14ac:dyDescent="0.25">
      <c r="A26" s="53">
        <v>19</v>
      </c>
      <c r="B26" s="53">
        <v>211</v>
      </c>
      <c r="C26" s="54" t="s">
        <v>507</v>
      </c>
      <c r="D26" s="66">
        <v>100000</v>
      </c>
      <c r="E26" s="74" t="s">
        <v>277</v>
      </c>
      <c r="F26" s="74"/>
    </row>
    <row r="27" spans="1:6" x14ac:dyDescent="0.25">
      <c r="A27" s="53">
        <v>20</v>
      </c>
      <c r="B27" s="53">
        <v>212</v>
      </c>
      <c r="C27" s="54" t="s">
        <v>508</v>
      </c>
      <c r="D27" s="66">
        <v>100000</v>
      </c>
      <c r="E27" s="54"/>
      <c r="F27" s="54" t="s">
        <v>279</v>
      </c>
    </row>
    <row r="28" spans="1:6" x14ac:dyDescent="0.25">
      <c r="A28" s="53">
        <v>21</v>
      </c>
      <c r="B28" s="53">
        <v>238</v>
      </c>
      <c r="C28" s="54" t="s">
        <v>509</v>
      </c>
      <c r="D28" s="66">
        <v>100000</v>
      </c>
      <c r="E28" s="54" t="s">
        <v>281</v>
      </c>
      <c r="F28" s="54"/>
    </row>
    <row r="29" spans="1:6" x14ac:dyDescent="0.25">
      <c r="A29" s="53">
        <v>22</v>
      </c>
      <c r="B29" s="53">
        <v>241</v>
      </c>
      <c r="C29" s="54" t="s">
        <v>510</v>
      </c>
      <c r="D29" s="66">
        <v>100000</v>
      </c>
      <c r="E29" s="54"/>
      <c r="F29" s="54" t="s">
        <v>283</v>
      </c>
    </row>
    <row r="30" spans="1:6" x14ac:dyDescent="0.25">
      <c r="A30" s="53">
        <v>23</v>
      </c>
      <c r="B30" s="53">
        <v>255</v>
      </c>
      <c r="C30" s="54" t="s">
        <v>511</v>
      </c>
      <c r="D30" s="66">
        <v>100000</v>
      </c>
      <c r="E30" s="54" t="s">
        <v>285</v>
      </c>
      <c r="F30" s="54"/>
    </row>
    <row r="31" spans="1:6" x14ac:dyDescent="0.25">
      <c r="A31" s="53">
        <v>24</v>
      </c>
      <c r="B31" s="53">
        <v>256</v>
      </c>
      <c r="C31" s="54" t="s">
        <v>512</v>
      </c>
      <c r="D31" s="66">
        <v>100000</v>
      </c>
      <c r="E31" s="74"/>
      <c r="F31" s="74" t="s">
        <v>287</v>
      </c>
    </row>
    <row r="32" spans="1:6" x14ac:dyDescent="0.25">
      <c r="A32" s="53">
        <v>25</v>
      </c>
      <c r="B32" s="53">
        <v>262</v>
      </c>
      <c r="C32" s="54" t="s">
        <v>513</v>
      </c>
      <c r="D32" s="66">
        <v>100000</v>
      </c>
      <c r="E32" s="74" t="s">
        <v>289</v>
      </c>
      <c r="F32" s="74"/>
    </row>
    <row r="33" spans="1:6" x14ac:dyDescent="0.25">
      <c r="A33" s="53">
        <v>26</v>
      </c>
      <c r="B33" s="53">
        <v>271</v>
      </c>
      <c r="C33" s="54" t="s">
        <v>514</v>
      </c>
      <c r="D33" s="66">
        <v>100000</v>
      </c>
      <c r="E33" s="54"/>
      <c r="F33" s="54" t="s">
        <v>291</v>
      </c>
    </row>
    <row r="34" spans="1:6" x14ac:dyDescent="0.25">
      <c r="A34" s="53">
        <v>27</v>
      </c>
      <c r="B34" s="53">
        <v>272</v>
      </c>
      <c r="C34" s="54" t="s">
        <v>515</v>
      </c>
      <c r="D34" s="66">
        <v>100000</v>
      </c>
      <c r="E34" s="54" t="s">
        <v>293</v>
      </c>
      <c r="F34" s="54"/>
    </row>
    <row r="35" spans="1:6" x14ac:dyDescent="0.25">
      <c r="A35" s="53">
        <v>28</v>
      </c>
      <c r="B35" s="53">
        <v>273</v>
      </c>
      <c r="C35" s="54" t="s">
        <v>516</v>
      </c>
      <c r="D35" s="66">
        <v>100000</v>
      </c>
      <c r="E35" s="54"/>
      <c r="F35" s="54" t="s">
        <v>295</v>
      </c>
    </row>
    <row r="36" spans="1:6" x14ac:dyDescent="0.25">
      <c r="A36" s="55">
        <v>29</v>
      </c>
      <c r="B36" s="55">
        <v>281</v>
      </c>
      <c r="C36" s="56" t="s">
        <v>518</v>
      </c>
      <c r="D36" s="80">
        <v>100000</v>
      </c>
      <c r="E36" s="71" t="s">
        <v>297</v>
      </c>
      <c r="F36" s="56"/>
    </row>
    <row r="37" spans="1:6" x14ac:dyDescent="0.25">
      <c r="A37" s="155" t="s">
        <v>412</v>
      </c>
      <c r="B37" s="155"/>
      <c r="C37" s="155"/>
      <c r="D37" s="79">
        <f>SUM(D8:D36)</f>
        <v>2900000</v>
      </c>
      <c r="E37" s="156"/>
      <c r="F37" s="156"/>
    </row>
    <row r="40" spans="1:6" x14ac:dyDescent="0.25">
      <c r="E40" s="83"/>
    </row>
  </sheetData>
  <mergeCells count="10">
    <mergeCell ref="A37:C37"/>
    <mergeCell ref="E37:F37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zoomScaleNormal="100" workbookViewId="0">
      <selection activeCell="B8" sqref="B8:C9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3" style="47" customWidth="1"/>
    <col min="5" max="5" width="13.140625" style="47" customWidth="1"/>
    <col min="6" max="16384" width="9.140625" style="47"/>
  </cols>
  <sheetData>
    <row r="1" spans="1:5" x14ac:dyDescent="0.25">
      <c r="A1" s="153" t="s">
        <v>171</v>
      </c>
      <c r="B1" s="153"/>
      <c r="C1" s="153"/>
      <c r="D1" s="153"/>
      <c r="E1" s="153"/>
    </row>
    <row r="2" spans="1:5" x14ac:dyDescent="0.25">
      <c r="A2" s="153" t="s">
        <v>522</v>
      </c>
      <c r="B2" s="153"/>
      <c r="C2" s="153"/>
      <c r="D2" s="153"/>
      <c r="E2" s="153"/>
    </row>
    <row r="3" spans="1:5" x14ac:dyDescent="0.25">
      <c r="A3" s="153" t="s">
        <v>235</v>
      </c>
      <c r="B3" s="153"/>
      <c r="C3" s="153"/>
      <c r="D3" s="153"/>
      <c r="E3" s="153"/>
    </row>
    <row r="4" spans="1:5" x14ac:dyDescent="0.25">
      <c r="A4" s="48"/>
      <c r="B4" s="48"/>
      <c r="C4" s="48"/>
      <c r="D4" s="48"/>
      <c r="E4" s="48"/>
    </row>
    <row r="5" spans="1:5" x14ac:dyDescent="0.25">
      <c r="D5" s="154" t="s">
        <v>236</v>
      </c>
      <c r="E5" s="154"/>
    </row>
    <row r="6" spans="1:5" x14ac:dyDescent="0.25">
      <c r="A6" s="149" t="s">
        <v>237</v>
      </c>
      <c r="B6" s="149"/>
      <c r="C6" s="149" t="s">
        <v>238</v>
      </c>
      <c r="D6" s="149" t="s">
        <v>239</v>
      </c>
      <c r="E6" s="149"/>
    </row>
    <row r="7" spans="1:5" ht="17.25" customHeight="1" x14ac:dyDescent="0.25">
      <c r="A7" s="50" t="s">
        <v>6</v>
      </c>
      <c r="B7" s="50" t="s">
        <v>240</v>
      </c>
      <c r="C7" s="149"/>
      <c r="D7" s="149"/>
      <c r="E7" s="149"/>
    </row>
    <row r="8" spans="1:5" ht="24.75" customHeight="1" x14ac:dyDescent="0.25">
      <c r="A8" s="51">
        <v>1</v>
      </c>
      <c r="B8" s="51">
        <v>2</v>
      </c>
      <c r="C8" s="52" t="s">
        <v>241</v>
      </c>
      <c r="D8" s="52" t="s">
        <v>242</v>
      </c>
      <c r="E8" s="52"/>
    </row>
    <row r="9" spans="1:5" x14ac:dyDescent="0.25">
      <c r="A9" s="53">
        <v>2</v>
      </c>
      <c r="B9" s="53">
        <v>250</v>
      </c>
      <c r="C9" s="54" t="s">
        <v>243</v>
      </c>
      <c r="D9" s="54"/>
      <c r="E9" s="54" t="s">
        <v>244</v>
      </c>
    </row>
    <row r="10" spans="1:5" x14ac:dyDescent="0.25">
      <c r="A10" s="53">
        <v>3</v>
      </c>
      <c r="B10" s="53">
        <v>4</v>
      </c>
      <c r="C10" s="54" t="s">
        <v>245</v>
      </c>
      <c r="D10" s="54" t="s">
        <v>246</v>
      </c>
      <c r="E10" s="54"/>
    </row>
    <row r="11" spans="1:5" x14ac:dyDescent="0.25">
      <c r="A11" s="53">
        <v>4</v>
      </c>
      <c r="B11" s="53">
        <v>148</v>
      </c>
      <c r="C11" s="54" t="s">
        <v>247</v>
      </c>
      <c r="D11" s="54"/>
      <c r="E11" s="54" t="s">
        <v>248</v>
      </c>
    </row>
    <row r="12" spans="1:5" x14ac:dyDescent="0.25">
      <c r="A12" s="53">
        <v>5</v>
      </c>
      <c r="B12" s="53">
        <v>5</v>
      </c>
      <c r="C12" s="54" t="s">
        <v>249</v>
      </c>
      <c r="D12" s="54" t="s">
        <v>250</v>
      </c>
      <c r="E12" s="54"/>
    </row>
    <row r="13" spans="1:5" x14ac:dyDescent="0.25">
      <c r="A13" s="53">
        <v>6</v>
      </c>
      <c r="B13" s="53">
        <v>141</v>
      </c>
      <c r="C13" s="54" t="s">
        <v>251</v>
      </c>
      <c r="D13" s="54"/>
      <c r="E13" s="54" t="s">
        <v>252</v>
      </c>
    </row>
    <row r="14" spans="1:5" x14ac:dyDescent="0.25">
      <c r="A14" s="53">
        <v>7</v>
      </c>
      <c r="B14" s="53">
        <v>7</v>
      </c>
      <c r="C14" s="54" t="s">
        <v>253</v>
      </c>
      <c r="D14" s="54" t="s">
        <v>254</v>
      </c>
      <c r="E14" s="54"/>
    </row>
    <row r="15" spans="1:5" x14ac:dyDescent="0.25">
      <c r="A15" s="53">
        <v>8</v>
      </c>
      <c r="B15" s="53">
        <v>10</v>
      </c>
      <c r="C15" s="54" t="s">
        <v>255</v>
      </c>
      <c r="D15" s="54"/>
      <c r="E15" s="54" t="s">
        <v>256</v>
      </c>
    </row>
    <row r="16" spans="1:5" x14ac:dyDescent="0.25">
      <c r="A16" s="53">
        <v>9</v>
      </c>
      <c r="B16" s="53">
        <v>160</v>
      </c>
      <c r="C16" s="54" t="s">
        <v>257</v>
      </c>
      <c r="D16" s="54" t="s">
        <v>258</v>
      </c>
      <c r="E16" s="54"/>
    </row>
    <row r="17" spans="1:5" x14ac:dyDescent="0.25">
      <c r="A17" s="53">
        <v>10</v>
      </c>
      <c r="B17" s="53">
        <v>11</v>
      </c>
      <c r="C17" s="54" t="s">
        <v>259</v>
      </c>
      <c r="D17" s="54"/>
      <c r="E17" s="54" t="s">
        <v>260</v>
      </c>
    </row>
    <row r="18" spans="1:5" x14ac:dyDescent="0.25">
      <c r="A18" s="53">
        <v>11</v>
      </c>
      <c r="B18" s="53">
        <v>18</v>
      </c>
      <c r="C18" s="54" t="s">
        <v>261</v>
      </c>
      <c r="D18" s="54" t="s">
        <v>262</v>
      </c>
      <c r="E18" s="54"/>
    </row>
    <row r="19" spans="1:5" x14ac:dyDescent="0.25">
      <c r="A19" s="53">
        <v>12</v>
      </c>
      <c r="B19" s="53">
        <v>145</v>
      </c>
      <c r="C19" s="54" t="s">
        <v>263</v>
      </c>
      <c r="D19" s="54"/>
      <c r="E19" s="54" t="s">
        <v>264</v>
      </c>
    </row>
    <row r="20" spans="1:5" x14ac:dyDescent="0.25">
      <c r="A20" s="53">
        <v>13</v>
      </c>
      <c r="B20" s="53">
        <v>19</v>
      </c>
      <c r="C20" s="54" t="s">
        <v>265</v>
      </c>
      <c r="D20" s="54" t="s">
        <v>266</v>
      </c>
      <c r="E20" s="54"/>
    </row>
    <row r="21" spans="1:5" x14ac:dyDescent="0.25">
      <c r="A21" s="53">
        <v>14</v>
      </c>
      <c r="B21" s="53">
        <v>234</v>
      </c>
      <c r="C21" s="54" t="s">
        <v>267</v>
      </c>
      <c r="D21" s="54"/>
      <c r="E21" s="54" t="s">
        <v>268</v>
      </c>
    </row>
    <row r="22" spans="1:5" x14ac:dyDescent="0.25">
      <c r="A22" s="53">
        <v>15</v>
      </c>
      <c r="B22" s="53">
        <v>59</v>
      </c>
      <c r="C22" s="54" t="s">
        <v>270</v>
      </c>
      <c r="D22" s="54" t="s">
        <v>269</v>
      </c>
      <c r="E22" s="54"/>
    </row>
    <row r="23" spans="1:5" x14ac:dyDescent="0.25">
      <c r="A23" s="53">
        <v>16</v>
      </c>
      <c r="B23" s="53">
        <v>21</v>
      </c>
      <c r="C23" s="54" t="s">
        <v>272</v>
      </c>
      <c r="D23" s="54"/>
      <c r="E23" s="54" t="s">
        <v>271</v>
      </c>
    </row>
    <row r="24" spans="1:5" x14ac:dyDescent="0.25">
      <c r="A24" s="53">
        <v>17</v>
      </c>
      <c r="B24" s="53">
        <v>22</v>
      </c>
      <c r="C24" s="54" t="s">
        <v>274</v>
      </c>
      <c r="D24" s="54" t="s">
        <v>273</v>
      </c>
      <c r="E24" s="54"/>
    </row>
    <row r="25" spans="1:5" x14ac:dyDescent="0.25">
      <c r="A25" s="53">
        <v>18</v>
      </c>
      <c r="B25" s="53">
        <v>23</v>
      </c>
      <c r="C25" s="54" t="s">
        <v>276</v>
      </c>
      <c r="D25" s="54"/>
      <c r="E25" s="54" t="s">
        <v>275</v>
      </c>
    </row>
    <row r="26" spans="1:5" x14ac:dyDescent="0.25">
      <c r="A26" s="53">
        <v>19</v>
      </c>
      <c r="B26" s="53">
        <v>34</v>
      </c>
      <c r="C26" s="54" t="s">
        <v>278</v>
      </c>
      <c r="D26" s="54" t="s">
        <v>277</v>
      </c>
      <c r="E26" s="54"/>
    </row>
    <row r="27" spans="1:5" x14ac:dyDescent="0.25">
      <c r="A27" s="53">
        <v>20</v>
      </c>
      <c r="B27" s="53">
        <v>24</v>
      </c>
      <c r="C27" s="54" t="s">
        <v>280</v>
      </c>
      <c r="D27" s="54"/>
      <c r="E27" s="54" t="s">
        <v>279</v>
      </c>
    </row>
    <row r="28" spans="1:5" x14ac:dyDescent="0.25">
      <c r="A28" s="53">
        <v>21</v>
      </c>
      <c r="B28" s="53">
        <v>25</v>
      </c>
      <c r="C28" s="54" t="s">
        <v>282</v>
      </c>
      <c r="D28" s="54" t="s">
        <v>281</v>
      </c>
      <c r="E28" s="54"/>
    </row>
    <row r="29" spans="1:5" x14ac:dyDescent="0.25">
      <c r="A29" s="53">
        <v>22</v>
      </c>
      <c r="B29" s="53">
        <v>26</v>
      </c>
      <c r="C29" s="54" t="s">
        <v>284</v>
      </c>
      <c r="D29" s="54"/>
      <c r="E29" s="54" t="s">
        <v>283</v>
      </c>
    </row>
    <row r="30" spans="1:5" x14ac:dyDescent="0.25">
      <c r="A30" s="53">
        <v>23</v>
      </c>
      <c r="B30" s="53">
        <v>27</v>
      </c>
      <c r="C30" s="54" t="s">
        <v>286</v>
      </c>
      <c r="D30" s="54" t="s">
        <v>285</v>
      </c>
      <c r="E30" s="54"/>
    </row>
    <row r="31" spans="1:5" x14ac:dyDescent="0.25">
      <c r="A31" s="53">
        <v>24</v>
      </c>
      <c r="B31" s="53">
        <v>190</v>
      </c>
      <c r="C31" s="54" t="s">
        <v>288</v>
      </c>
      <c r="D31" s="54"/>
      <c r="E31" s="54" t="s">
        <v>287</v>
      </c>
    </row>
    <row r="32" spans="1:5" x14ac:dyDescent="0.25">
      <c r="A32" s="53">
        <v>25</v>
      </c>
      <c r="B32" s="53">
        <v>28</v>
      </c>
      <c r="C32" s="54" t="s">
        <v>290</v>
      </c>
      <c r="D32" s="54" t="s">
        <v>289</v>
      </c>
      <c r="E32" s="54"/>
    </row>
    <row r="33" spans="1:5" x14ac:dyDescent="0.25">
      <c r="A33" s="53">
        <v>26</v>
      </c>
      <c r="B33" s="53">
        <v>50</v>
      </c>
      <c r="C33" s="54" t="s">
        <v>292</v>
      </c>
      <c r="D33" s="54"/>
      <c r="E33" s="54" t="s">
        <v>291</v>
      </c>
    </row>
    <row r="34" spans="1:5" x14ac:dyDescent="0.25">
      <c r="A34" s="53">
        <v>27</v>
      </c>
      <c r="B34" s="53">
        <v>29</v>
      </c>
      <c r="C34" s="54" t="s">
        <v>294</v>
      </c>
      <c r="D34" s="54" t="s">
        <v>293</v>
      </c>
      <c r="E34" s="54"/>
    </row>
    <row r="35" spans="1:5" x14ac:dyDescent="0.25">
      <c r="A35" s="53">
        <v>28</v>
      </c>
      <c r="B35" s="53">
        <v>137</v>
      </c>
      <c r="C35" s="54" t="s">
        <v>296</v>
      </c>
      <c r="D35" s="54"/>
      <c r="E35" s="54" t="s">
        <v>295</v>
      </c>
    </row>
    <row r="36" spans="1:5" x14ac:dyDescent="0.25">
      <c r="A36" s="53">
        <v>29</v>
      </c>
      <c r="B36" s="53">
        <v>31</v>
      </c>
      <c r="C36" s="54" t="s">
        <v>298</v>
      </c>
      <c r="D36" s="54" t="s">
        <v>297</v>
      </c>
      <c r="E36" s="54"/>
    </row>
    <row r="37" spans="1:5" x14ac:dyDescent="0.25">
      <c r="A37" s="53">
        <v>30</v>
      </c>
      <c r="B37" s="53">
        <v>33</v>
      </c>
      <c r="C37" s="54" t="s">
        <v>300</v>
      </c>
      <c r="D37" s="54"/>
      <c r="E37" s="54" t="s">
        <v>299</v>
      </c>
    </row>
    <row r="38" spans="1:5" x14ac:dyDescent="0.25">
      <c r="A38" s="53">
        <v>31</v>
      </c>
      <c r="B38" s="53">
        <v>183</v>
      </c>
      <c r="C38" s="54" t="s">
        <v>302</v>
      </c>
      <c r="D38" s="54" t="s">
        <v>301</v>
      </c>
      <c r="E38" s="54"/>
    </row>
    <row r="39" spans="1:5" x14ac:dyDescent="0.25">
      <c r="A39" s="53">
        <v>32</v>
      </c>
      <c r="B39" s="53">
        <v>35</v>
      </c>
      <c r="C39" s="54" t="s">
        <v>304</v>
      </c>
      <c r="D39" s="54"/>
      <c r="E39" s="54" t="s">
        <v>303</v>
      </c>
    </row>
    <row r="40" spans="1:5" x14ac:dyDescent="0.25">
      <c r="A40" s="53">
        <v>33</v>
      </c>
      <c r="B40" s="53">
        <v>36</v>
      </c>
      <c r="C40" s="54" t="s">
        <v>306</v>
      </c>
      <c r="D40" s="54" t="s">
        <v>305</v>
      </c>
      <c r="E40" s="54"/>
    </row>
    <row r="41" spans="1:5" x14ac:dyDescent="0.25">
      <c r="A41" s="53">
        <v>34</v>
      </c>
      <c r="B41" s="53">
        <v>163</v>
      </c>
      <c r="C41" s="54" t="s">
        <v>308</v>
      </c>
      <c r="D41" s="54"/>
      <c r="E41" s="54" t="s">
        <v>307</v>
      </c>
    </row>
    <row r="42" spans="1:5" x14ac:dyDescent="0.25">
      <c r="A42" s="53">
        <v>35</v>
      </c>
      <c r="B42" s="53">
        <v>37</v>
      </c>
      <c r="C42" s="54" t="s">
        <v>310</v>
      </c>
      <c r="D42" s="54" t="s">
        <v>309</v>
      </c>
      <c r="E42" s="54"/>
    </row>
    <row r="43" spans="1:5" x14ac:dyDescent="0.25">
      <c r="A43" s="53">
        <v>36</v>
      </c>
      <c r="B43" s="53">
        <v>207</v>
      </c>
      <c r="C43" s="54" t="s">
        <v>312</v>
      </c>
      <c r="D43" s="54"/>
      <c r="E43" s="54" t="s">
        <v>311</v>
      </c>
    </row>
    <row r="44" spans="1:5" x14ac:dyDescent="0.25">
      <c r="A44" s="53">
        <v>37</v>
      </c>
      <c r="B44" s="53">
        <v>38</v>
      </c>
      <c r="C44" s="54" t="s">
        <v>314</v>
      </c>
      <c r="D44" s="54" t="s">
        <v>313</v>
      </c>
      <c r="E44" s="54"/>
    </row>
    <row r="45" spans="1:5" x14ac:dyDescent="0.25">
      <c r="A45" s="53">
        <v>38</v>
      </c>
      <c r="B45" s="53">
        <v>195</v>
      </c>
      <c r="C45" s="54" t="s">
        <v>316</v>
      </c>
      <c r="D45" s="54"/>
      <c r="E45" s="54" t="s">
        <v>315</v>
      </c>
    </row>
    <row r="46" spans="1:5" x14ac:dyDescent="0.25">
      <c r="A46" s="53">
        <v>39</v>
      </c>
      <c r="B46" s="53">
        <v>39</v>
      </c>
      <c r="C46" s="54" t="s">
        <v>318</v>
      </c>
      <c r="D46" s="54" t="s">
        <v>317</v>
      </c>
      <c r="E46" s="54"/>
    </row>
    <row r="47" spans="1:5" x14ac:dyDescent="0.25">
      <c r="A47" s="53">
        <v>40</v>
      </c>
      <c r="B47" s="53">
        <v>172</v>
      </c>
      <c r="C47" s="54" t="s">
        <v>320</v>
      </c>
      <c r="D47" s="54"/>
      <c r="E47" s="54" t="s">
        <v>319</v>
      </c>
    </row>
    <row r="48" spans="1:5" x14ac:dyDescent="0.25">
      <c r="A48" s="53">
        <v>41</v>
      </c>
      <c r="B48" s="53">
        <v>40</v>
      </c>
      <c r="C48" s="54" t="s">
        <v>322</v>
      </c>
      <c r="D48" s="54" t="s">
        <v>321</v>
      </c>
      <c r="E48" s="54"/>
    </row>
    <row r="49" spans="1:5" x14ac:dyDescent="0.25">
      <c r="A49" s="53">
        <v>42</v>
      </c>
      <c r="B49" s="53">
        <v>41</v>
      </c>
      <c r="C49" s="54" t="s">
        <v>324</v>
      </c>
      <c r="D49" s="54"/>
      <c r="E49" s="54" t="s">
        <v>323</v>
      </c>
    </row>
    <row r="50" spans="1:5" x14ac:dyDescent="0.25">
      <c r="A50" s="53">
        <v>43</v>
      </c>
      <c r="B50" s="53">
        <v>181</v>
      </c>
      <c r="C50" s="54" t="s">
        <v>326</v>
      </c>
      <c r="D50" s="54" t="s">
        <v>325</v>
      </c>
      <c r="E50" s="54"/>
    </row>
    <row r="51" spans="1:5" x14ac:dyDescent="0.25">
      <c r="A51" s="53">
        <v>44</v>
      </c>
      <c r="B51" s="53">
        <v>45</v>
      </c>
      <c r="C51" s="54" t="s">
        <v>328</v>
      </c>
      <c r="D51" s="54"/>
      <c r="E51" s="54" t="s">
        <v>327</v>
      </c>
    </row>
    <row r="52" spans="1:5" x14ac:dyDescent="0.25">
      <c r="A52" s="53">
        <v>45</v>
      </c>
      <c r="B52" s="53">
        <v>171</v>
      </c>
      <c r="C52" s="54" t="s">
        <v>330</v>
      </c>
      <c r="D52" s="54" t="s">
        <v>329</v>
      </c>
      <c r="E52" s="54"/>
    </row>
    <row r="53" spans="1:5" ht="14.25" customHeight="1" x14ac:dyDescent="0.25">
      <c r="A53" s="53">
        <v>46</v>
      </c>
      <c r="B53" s="53">
        <v>46</v>
      </c>
      <c r="C53" s="54" t="s">
        <v>332</v>
      </c>
      <c r="D53" s="54"/>
      <c r="E53" s="54" t="s">
        <v>331</v>
      </c>
    </row>
    <row r="54" spans="1:5" x14ac:dyDescent="0.25">
      <c r="A54" s="53">
        <v>47</v>
      </c>
      <c r="B54" s="53">
        <v>188</v>
      </c>
      <c r="C54" s="54" t="s">
        <v>334</v>
      </c>
      <c r="D54" s="54" t="s">
        <v>333</v>
      </c>
      <c r="E54" s="54"/>
    </row>
    <row r="55" spans="1:5" x14ac:dyDescent="0.25">
      <c r="A55" s="53">
        <v>48</v>
      </c>
      <c r="B55" s="53">
        <v>47</v>
      </c>
      <c r="C55" s="54" t="s">
        <v>336</v>
      </c>
      <c r="D55" s="54"/>
      <c r="E55" s="54" t="s">
        <v>335</v>
      </c>
    </row>
    <row r="56" spans="1:5" x14ac:dyDescent="0.25">
      <c r="A56" s="53">
        <v>49</v>
      </c>
      <c r="B56" s="53">
        <v>48</v>
      </c>
      <c r="C56" s="54" t="s">
        <v>338</v>
      </c>
      <c r="D56" s="54" t="s">
        <v>337</v>
      </c>
      <c r="E56" s="54"/>
    </row>
    <row r="57" spans="1:5" x14ac:dyDescent="0.25">
      <c r="A57" s="53">
        <v>50</v>
      </c>
      <c r="B57" s="53">
        <v>51</v>
      </c>
      <c r="C57" s="54" t="s">
        <v>340</v>
      </c>
      <c r="D57" s="54"/>
      <c r="E57" s="54" t="s">
        <v>339</v>
      </c>
    </row>
    <row r="58" spans="1:5" x14ac:dyDescent="0.25">
      <c r="A58" s="55">
        <v>51</v>
      </c>
      <c r="B58" s="55">
        <v>221</v>
      </c>
      <c r="C58" s="56" t="s">
        <v>342</v>
      </c>
      <c r="D58" s="56" t="s">
        <v>341</v>
      </c>
      <c r="E58" s="56"/>
    </row>
    <row r="59" spans="1:5" x14ac:dyDescent="0.25">
      <c r="A59" s="53">
        <v>52</v>
      </c>
      <c r="B59" s="53">
        <v>52</v>
      </c>
      <c r="C59" s="54" t="s">
        <v>344</v>
      </c>
      <c r="D59" s="54"/>
      <c r="E59" s="54" t="s">
        <v>343</v>
      </c>
    </row>
    <row r="60" spans="1:5" x14ac:dyDescent="0.25">
      <c r="A60" s="53">
        <v>53</v>
      </c>
      <c r="B60" s="53">
        <v>53</v>
      </c>
      <c r="C60" s="54" t="s">
        <v>346</v>
      </c>
      <c r="D60" s="54" t="s">
        <v>345</v>
      </c>
      <c r="E60" s="54"/>
    </row>
    <row r="61" spans="1:5" x14ac:dyDescent="0.25">
      <c r="A61" s="53">
        <v>54</v>
      </c>
      <c r="B61" s="53">
        <v>54</v>
      </c>
      <c r="C61" s="54" t="s">
        <v>348</v>
      </c>
      <c r="D61" s="54"/>
      <c r="E61" s="54" t="s">
        <v>347</v>
      </c>
    </row>
    <row r="62" spans="1:5" x14ac:dyDescent="0.25">
      <c r="A62" s="53">
        <v>55</v>
      </c>
      <c r="B62" s="53">
        <v>220</v>
      </c>
      <c r="C62" s="54" t="s">
        <v>350</v>
      </c>
      <c r="D62" s="54" t="s">
        <v>349</v>
      </c>
      <c r="E62" s="54"/>
    </row>
    <row r="63" spans="1:5" x14ac:dyDescent="0.25">
      <c r="A63" s="53">
        <v>56</v>
      </c>
      <c r="B63" s="53">
        <v>55</v>
      </c>
      <c r="C63" s="54" t="s">
        <v>352</v>
      </c>
      <c r="D63" s="54"/>
      <c r="E63" s="54" t="s">
        <v>351</v>
      </c>
    </row>
    <row r="64" spans="1:5" x14ac:dyDescent="0.25">
      <c r="A64" s="53">
        <v>57</v>
      </c>
      <c r="B64" s="53">
        <v>56</v>
      </c>
      <c r="C64" s="54" t="s">
        <v>354</v>
      </c>
      <c r="D64" s="54" t="s">
        <v>353</v>
      </c>
      <c r="E64" s="54"/>
    </row>
    <row r="65" spans="1:5" x14ac:dyDescent="0.25">
      <c r="A65" s="53">
        <v>58</v>
      </c>
      <c r="B65" s="53">
        <v>67</v>
      </c>
      <c r="C65" s="54" t="s">
        <v>356</v>
      </c>
      <c r="D65" s="54"/>
      <c r="E65" s="54" t="s">
        <v>355</v>
      </c>
    </row>
    <row r="66" spans="1:5" x14ac:dyDescent="0.25">
      <c r="A66" s="53">
        <v>59</v>
      </c>
      <c r="B66" s="53">
        <v>58</v>
      </c>
      <c r="C66" s="54" t="s">
        <v>358</v>
      </c>
      <c r="D66" s="54" t="s">
        <v>357</v>
      </c>
      <c r="E66" s="54"/>
    </row>
    <row r="67" spans="1:5" x14ac:dyDescent="0.25">
      <c r="A67" s="53">
        <v>60</v>
      </c>
      <c r="B67" s="53">
        <v>224</v>
      </c>
      <c r="C67" s="54" t="s">
        <v>360</v>
      </c>
      <c r="D67" s="54"/>
      <c r="E67" s="54" t="s">
        <v>359</v>
      </c>
    </row>
    <row r="68" spans="1:5" x14ac:dyDescent="0.25">
      <c r="A68" s="53">
        <v>61</v>
      </c>
      <c r="B68" s="53">
        <v>60</v>
      </c>
      <c r="C68" s="54" t="s">
        <v>362</v>
      </c>
      <c r="D68" s="54" t="s">
        <v>361</v>
      </c>
      <c r="E68" s="54"/>
    </row>
    <row r="69" spans="1:5" x14ac:dyDescent="0.25">
      <c r="A69" s="53">
        <v>62</v>
      </c>
      <c r="B69" s="53">
        <v>146</v>
      </c>
      <c r="C69" s="54" t="s">
        <v>364</v>
      </c>
      <c r="D69" s="54"/>
      <c r="E69" s="54" t="s">
        <v>363</v>
      </c>
    </row>
    <row r="70" spans="1:5" x14ac:dyDescent="0.25">
      <c r="A70" s="53">
        <v>63</v>
      </c>
      <c r="B70" s="53">
        <v>61</v>
      </c>
      <c r="C70" s="54" t="s">
        <v>366</v>
      </c>
      <c r="D70" s="54" t="s">
        <v>365</v>
      </c>
      <c r="E70" s="54"/>
    </row>
    <row r="71" spans="1:5" x14ac:dyDescent="0.25">
      <c r="A71" s="53">
        <v>64</v>
      </c>
      <c r="B71" s="53">
        <v>225</v>
      </c>
      <c r="C71" s="54" t="s">
        <v>368</v>
      </c>
      <c r="D71" s="54"/>
      <c r="E71" s="54" t="s">
        <v>367</v>
      </c>
    </row>
    <row r="72" spans="1:5" x14ac:dyDescent="0.25">
      <c r="A72" s="53">
        <v>65</v>
      </c>
      <c r="B72" s="53">
        <v>62</v>
      </c>
      <c r="C72" s="54" t="s">
        <v>370</v>
      </c>
      <c r="D72" s="54" t="s">
        <v>369</v>
      </c>
      <c r="E72" s="54"/>
    </row>
    <row r="73" spans="1:5" x14ac:dyDescent="0.25">
      <c r="A73" s="53">
        <v>66</v>
      </c>
      <c r="B73" s="53">
        <v>228</v>
      </c>
      <c r="C73" s="54" t="s">
        <v>372</v>
      </c>
      <c r="D73" s="54"/>
      <c r="E73" s="54" t="s">
        <v>371</v>
      </c>
    </row>
    <row r="74" spans="1:5" x14ac:dyDescent="0.25">
      <c r="A74" s="53">
        <v>67</v>
      </c>
      <c r="B74" s="53">
        <v>63</v>
      </c>
      <c r="C74" s="54" t="s">
        <v>374</v>
      </c>
      <c r="D74" s="54" t="s">
        <v>373</v>
      </c>
      <c r="E74" s="54"/>
    </row>
    <row r="75" spans="1:5" x14ac:dyDescent="0.25">
      <c r="A75" s="53">
        <v>68</v>
      </c>
      <c r="B75" s="53">
        <v>187</v>
      </c>
      <c r="C75" s="54" t="s">
        <v>376</v>
      </c>
      <c r="D75" s="54"/>
      <c r="E75" s="54" t="s">
        <v>375</v>
      </c>
    </row>
    <row r="76" spans="1:5" x14ac:dyDescent="0.25">
      <c r="A76" s="53">
        <v>69</v>
      </c>
      <c r="B76" s="53">
        <v>64</v>
      </c>
      <c r="C76" s="54" t="s">
        <v>378</v>
      </c>
      <c r="D76" s="54" t="s">
        <v>377</v>
      </c>
      <c r="E76" s="54"/>
    </row>
    <row r="77" spans="1:5" x14ac:dyDescent="0.25">
      <c r="A77" s="53">
        <v>70</v>
      </c>
      <c r="B77" s="53">
        <v>196</v>
      </c>
      <c r="C77" s="54" t="s">
        <v>380</v>
      </c>
      <c r="D77" s="54"/>
      <c r="E77" s="54" t="s">
        <v>379</v>
      </c>
    </row>
    <row r="78" spans="1:5" x14ac:dyDescent="0.25">
      <c r="A78" s="53">
        <v>71</v>
      </c>
      <c r="B78" s="53">
        <v>65</v>
      </c>
      <c r="C78" s="54" t="s">
        <v>382</v>
      </c>
      <c r="D78" s="54" t="s">
        <v>381</v>
      </c>
      <c r="E78" s="54"/>
    </row>
    <row r="79" spans="1:5" x14ac:dyDescent="0.25">
      <c r="A79" s="53">
        <v>72</v>
      </c>
      <c r="B79" s="53">
        <v>162</v>
      </c>
      <c r="C79" s="54" t="s">
        <v>384</v>
      </c>
      <c r="D79" s="54"/>
      <c r="E79" s="54" t="s">
        <v>383</v>
      </c>
    </row>
    <row r="80" spans="1:5" x14ac:dyDescent="0.25">
      <c r="A80" s="53">
        <v>73</v>
      </c>
      <c r="B80" s="53">
        <v>66</v>
      </c>
      <c r="C80" s="54" t="s">
        <v>386</v>
      </c>
      <c r="D80" s="54" t="s">
        <v>385</v>
      </c>
      <c r="E80" s="54"/>
    </row>
    <row r="81" spans="1:5" x14ac:dyDescent="0.25">
      <c r="A81" s="53">
        <v>74</v>
      </c>
      <c r="B81" s="53">
        <v>189</v>
      </c>
      <c r="C81" s="54" t="s">
        <v>388</v>
      </c>
      <c r="D81" s="54"/>
      <c r="E81" s="54" t="s">
        <v>387</v>
      </c>
    </row>
    <row r="82" spans="1:5" x14ac:dyDescent="0.25">
      <c r="A82" s="53">
        <v>75</v>
      </c>
      <c r="B82" s="53">
        <v>120</v>
      </c>
      <c r="C82" s="54" t="s">
        <v>390</v>
      </c>
      <c r="D82" s="54" t="s">
        <v>389</v>
      </c>
      <c r="E82" s="54"/>
    </row>
    <row r="83" spans="1:5" x14ac:dyDescent="0.25">
      <c r="A83" s="53">
        <v>76</v>
      </c>
      <c r="B83" s="53">
        <v>192</v>
      </c>
      <c r="C83" s="54" t="s">
        <v>392</v>
      </c>
      <c r="D83" s="54"/>
      <c r="E83" s="54" t="s">
        <v>391</v>
      </c>
    </row>
    <row r="84" spans="1:5" x14ac:dyDescent="0.25">
      <c r="A84" s="53">
        <v>77</v>
      </c>
      <c r="B84" s="53">
        <v>215</v>
      </c>
      <c r="C84" s="54" t="s">
        <v>394</v>
      </c>
      <c r="D84" s="54" t="s">
        <v>393</v>
      </c>
      <c r="E84" s="54"/>
    </row>
    <row r="85" spans="1:5" x14ac:dyDescent="0.25">
      <c r="A85" s="53">
        <v>78</v>
      </c>
      <c r="B85" s="53">
        <v>261</v>
      </c>
      <c r="C85" s="54" t="s">
        <v>396</v>
      </c>
      <c r="D85" s="54"/>
      <c r="E85" s="54" t="s">
        <v>395</v>
      </c>
    </row>
    <row r="86" spans="1:5" x14ac:dyDescent="0.25">
      <c r="A86" s="53">
        <v>79</v>
      </c>
      <c r="B86" s="53">
        <v>240</v>
      </c>
      <c r="C86" s="54" t="s">
        <v>398</v>
      </c>
      <c r="D86" s="54" t="s">
        <v>397</v>
      </c>
      <c r="E86" s="54"/>
    </row>
    <row r="87" spans="1:5" x14ac:dyDescent="0.25">
      <c r="A87" s="53">
        <v>80</v>
      </c>
      <c r="B87" s="53">
        <v>257</v>
      </c>
      <c r="C87" s="54" t="s">
        <v>400</v>
      </c>
      <c r="D87" s="54"/>
      <c r="E87" s="54" t="s">
        <v>399</v>
      </c>
    </row>
    <row r="88" spans="1:5" x14ac:dyDescent="0.25">
      <c r="A88" s="53">
        <v>81</v>
      </c>
      <c r="B88" s="53">
        <v>285</v>
      </c>
      <c r="C88" s="71" t="s">
        <v>519</v>
      </c>
      <c r="D88" s="54" t="s">
        <v>401</v>
      </c>
      <c r="E88" s="54"/>
    </row>
    <row r="89" spans="1:5" x14ac:dyDescent="0.25">
      <c r="A89" s="53">
        <v>82</v>
      </c>
      <c r="B89" s="53">
        <v>258</v>
      </c>
      <c r="C89" s="54" t="s">
        <v>402</v>
      </c>
      <c r="D89" s="54"/>
      <c r="E89" s="54" t="s">
        <v>403</v>
      </c>
    </row>
    <row r="90" spans="1:5" x14ac:dyDescent="0.25">
      <c r="A90" s="53">
        <v>83</v>
      </c>
      <c r="B90" s="53">
        <v>260</v>
      </c>
      <c r="C90" s="54" t="s">
        <v>404</v>
      </c>
      <c r="D90" s="54" t="s">
        <v>405</v>
      </c>
      <c r="E90" s="54"/>
    </row>
    <row r="91" spans="1:5" x14ac:dyDescent="0.25">
      <c r="A91" s="53">
        <v>84</v>
      </c>
      <c r="B91" s="53">
        <v>279</v>
      </c>
      <c r="C91" s="54" t="s">
        <v>406</v>
      </c>
      <c r="D91" s="54"/>
      <c r="E91" s="54" t="s">
        <v>407</v>
      </c>
    </row>
    <row r="92" spans="1:5" x14ac:dyDescent="0.25">
      <c r="A92" s="53">
        <v>85</v>
      </c>
      <c r="B92" s="53">
        <v>263</v>
      </c>
      <c r="C92" s="54" t="s">
        <v>408</v>
      </c>
      <c r="D92" s="54" t="s">
        <v>409</v>
      </c>
      <c r="E92" s="54"/>
    </row>
    <row r="93" spans="1:5" x14ac:dyDescent="0.25">
      <c r="A93" s="53">
        <v>86</v>
      </c>
      <c r="B93" s="53">
        <v>280</v>
      </c>
      <c r="C93" s="54" t="s">
        <v>195</v>
      </c>
      <c r="D93" s="54"/>
      <c r="E93" s="54" t="s">
        <v>410</v>
      </c>
    </row>
    <row r="94" spans="1:5" x14ac:dyDescent="0.25">
      <c r="A94" s="53">
        <v>87</v>
      </c>
      <c r="B94" s="61">
        <v>288</v>
      </c>
      <c r="C94" s="62" t="s">
        <v>198</v>
      </c>
      <c r="D94" s="54" t="s">
        <v>411</v>
      </c>
      <c r="E94" s="54"/>
    </row>
    <row r="95" spans="1:5" x14ac:dyDescent="0.25">
      <c r="A95" s="55">
        <v>88</v>
      </c>
      <c r="B95" s="63">
        <v>289</v>
      </c>
      <c r="C95" s="64" t="s">
        <v>199</v>
      </c>
      <c r="D95" s="56"/>
      <c r="E95" s="72" t="s">
        <v>520</v>
      </c>
    </row>
    <row r="96" spans="1:5" x14ac:dyDescent="0.25">
      <c r="C96" s="57"/>
      <c r="D96" s="57"/>
      <c r="E96" s="59"/>
    </row>
    <row r="97" spans="3:5" x14ac:dyDescent="0.25">
      <c r="C97" s="57"/>
      <c r="D97" s="57"/>
      <c r="E97" s="58"/>
    </row>
    <row r="98" spans="3:5" x14ac:dyDescent="0.25">
      <c r="C98" s="57"/>
      <c r="D98" s="60"/>
      <c r="E98" s="58"/>
    </row>
    <row r="99" spans="3:5" x14ac:dyDescent="0.25">
      <c r="C99" s="57"/>
      <c r="D99" s="57"/>
      <c r="E99" s="58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Rekap SHU dan Jasa Simpanan</vt:lpstr>
      <vt:lpstr>Perincian SHU dan Jasa Simpanan</vt:lpstr>
      <vt:lpstr>Tanda Terima SHU Organik</vt:lpstr>
      <vt:lpstr>Tanda Terima SHU Rekanan</vt:lpstr>
      <vt:lpstr>Tanda Terima SHU Pensiunan</vt:lpstr>
      <vt:lpstr>Tanda Terima Uang Duduk Organik</vt:lpstr>
      <vt:lpstr>Tanda Terima Uang Duduk Rekanan</vt:lpstr>
      <vt:lpstr>Tanda Terima Uang Duduk pen</vt:lpstr>
      <vt:lpstr>Tanda Terima Souvenir organik</vt:lpstr>
      <vt:lpstr>Tanda Terima souvenir rekanan</vt:lpstr>
      <vt:lpstr>Tanda Terima Souvenir pensiunan</vt:lpstr>
      <vt:lpstr>Doorprize</vt:lpstr>
      <vt:lpstr>Absensi RAT</vt:lpstr>
      <vt:lpstr>Sheet2</vt:lpstr>
      <vt:lpstr>'Absensi RAT'!Print_Titles</vt:lpstr>
      <vt:lpstr>'Rekap SHU dan Jasa Simpanan'!Print_Titles</vt:lpstr>
      <vt:lpstr>'Tanda Terima SHU Organik'!Print_Titles</vt:lpstr>
      <vt:lpstr>'Tanda Terima SHU Pensiunan'!Print_Titles</vt:lpstr>
      <vt:lpstr>'Tanda Terima SHU Rekanan'!Print_Titles</vt:lpstr>
      <vt:lpstr>'Tanda Terima Souvenir organik'!Print_Titles</vt:lpstr>
      <vt:lpstr>'Tanda Terima Souvenir pensiunan'!Print_Titles</vt:lpstr>
      <vt:lpstr>'Tanda Terima souvenir rekanan'!Print_Titles</vt:lpstr>
      <vt:lpstr>'Tanda Terima Uang Duduk Organik'!Print_Titles</vt:lpstr>
      <vt:lpstr>'Tanda Terima Uang Duduk pen'!Print_Titles</vt:lpstr>
      <vt:lpstr>'Tanda Terima Uang Duduk Rekanan'!Print_Titles</vt:lpstr>
    </vt:vector>
  </TitlesOfParts>
  <Company>istana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pelayanan</dc:creator>
  <cp:lastModifiedBy>ardie</cp:lastModifiedBy>
  <cp:lastPrinted>2016-02-26T23:23:45Z</cp:lastPrinted>
  <dcterms:created xsi:type="dcterms:W3CDTF">2010-01-12T04:40:09Z</dcterms:created>
  <dcterms:modified xsi:type="dcterms:W3CDTF">2016-04-23T18:43:43Z</dcterms:modified>
</cp:coreProperties>
</file>