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1" sheetId="1" r:id="rId4"/>
    <sheet state="visible" name="Total In-State" sheetId="2" r:id="rId5"/>
    <sheet state="visible" name="Total Out-State" sheetId="3" r:id="rId6"/>
    <sheet state="visible" name="Tuition" sheetId="4" r:id="rId7"/>
    <sheet state="visible" name="NRST" sheetId="5" r:id="rId8"/>
    <sheet state="visible" name="PDST" sheetId="6" r:id="rId9"/>
    <sheet state="visible" name="Campus Fee" sheetId="7" r:id="rId10"/>
    <sheet state="visible" name="Health Insurance Fee" sheetId="8" r:id="rId11"/>
    <sheet state="visible" name="Transit Fee" sheetId="9" r:id="rId12"/>
    <sheet state="visible" name="Registration (Student Services)" sheetId="10" r:id="rId13"/>
    <sheet state="visible" name="Other Misc fees" sheetId="11" r:id="rId14"/>
    <sheet state="visible" name="Other Data (example)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">
      <text>
        <t xml:space="preserve">second year costs shown, 2012-2018 (PDST not charged in year 1, after 2012)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">
      <text>
        <t xml:space="preserve">second year costs shown, 2012-2018 (PDST not charged in year 1, after 2012)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general note: where PDST or tuition differentials exist between in- and out-of-state students, those differences have been factored into the NRST table for ease of calculation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6">
      <text>
        <t xml:space="preserve">starting from second year, hereafter</t>
      </text>
    </comment>
  </commentList>
</comments>
</file>

<file path=xl/sharedStrings.xml><?xml version="1.0" encoding="utf-8"?>
<sst xmlns="http://schemas.openxmlformats.org/spreadsheetml/2006/main" count="226" uniqueCount="53">
  <si>
    <t>Total Cost of Attendance, U.C. Berkeley Graduate Programs (in-state tuition, one semester, new student, resident)</t>
  </si>
  <si>
    <t>Total Cost of Attendance, U.C. Berkeley Graduate Programs (in-state tuition, one semester, new student, non-resident)</t>
  </si>
  <si>
    <t>Version Notes:</t>
  </si>
  <si>
    <t>v. 1.1</t>
  </si>
  <si>
    <t>Created by the Graduate Assembly, U.C. Berkeley's Graduate Student Government</t>
  </si>
  <si>
    <t>Disclaimer: this data was compiled by graduate student volunteers in their spare time. If you find an error, please email president-ga@berkeley.edu</t>
  </si>
  <si>
    <t>Data source: https://registrar.berkeley.edu/tuition-fees-residency/tuition-fees/fee-schedule-archive</t>
  </si>
  <si>
    <t xml:space="preserve">CC BY-NC </t>
  </si>
  <si>
    <t>Change Log 1.1</t>
  </si>
  <si>
    <t>Updated cell type to currency for all sheets</t>
  </si>
  <si>
    <t>Defined NRST and PDST in appropriate sheets</t>
  </si>
  <si>
    <t>Added note re Registration / Student Services fee to appropriate sheet</t>
  </si>
  <si>
    <t>Other Programs</t>
  </si>
  <si>
    <t>Tuition Element of Cost of Attendance (all Programs)</t>
  </si>
  <si>
    <t>Optometry (OD)</t>
  </si>
  <si>
    <t>Law (JD)</t>
  </si>
  <si>
    <t>Business (MBA FT)</t>
  </si>
  <si>
    <t>UCB-UCSF Medical (MS/MD)</t>
  </si>
  <si>
    <t>Public Health (MPH, Dr.PH )</t>
  </si>
  <si>
    <t>Public Policy (MPP)</t>
  </si>
  <si>
    <t>Engineering (M.Eng.)</t>
  </si>
  <si>
    <t>CED (M.Arch., MCP., MLA, and MUD)</t>
  </si>
  <si>
    <t>Social Welfare (MSW)</t>
  </si>
  <si>
    <t>Information (MIMS)</t>
  </si>
  <si>
    <t>Chemistry (MS Chem Eng)</t>
  </si>
  <si>
    <t>Stats (MA)</t>
  </si>
  <si>
    <t>Development Practice (MDP)</t>
  </si>
  <si>
    <t>UCB-UCSF Medical (MTM)</t>
  </si>
  <si>
    <t>Education (Ed. Leadership, Teacher Ed. , Principal Leadership MA)</t>
  </si>
  <si>
    <t>[blank]</t>
  </si>
  <si>
    <t>Journalism (MJ)</t>
  </si>
  <si>
    <t>CEE (MS)</t>
  </si>
  <si>
    <t>Non-Residential Supplemental Tuition (NRST) Element of Cost of Attendance (all Programs)</t>
  </si>
  <si>
    <t>UCB-UCSF Medical (MS/MD) (cont.)</t>
  </si>
  <si>
    <t>Professional Degree Supplemental Tuition (PDST) Element of Cost of Attendance (UCB Professional Programs)</t>
  </si>
  <si>
    <t>If professional fees increased between fall and spring semesters, the higher number is used.</t>
  </si>
  <si>
    <t>If professional fees differed between resident and nonresident students, the resident number is used here. The non-resident number if factored into the NRST data.</t>
  </si>
  <si>
    <t>CPI</t>
  </si>
  <si>
    <t>CPI annual increase (%)</t>
  </si>
  <si>
    <t>CPI cumulative increase (% over 2000)</t>
  </si>
  <si>
    <t>Campus Fee Element of Cost of Attendance (all Programs)</t>
  </si>
  <si>
    <t>Health Insurance Fee Element of Cost of Attendance (all Programs)</t>
  </si>
  <si>
    <t>Transit Fee Element of Cost of Attendance (all Programs)</t>
  </si>
  <si>
    <t>Registration (Student Services) Fee Element of Cost of Attendance (all Programs)</t>
  </si>
  <si>
    <t>Note: Today's "Student Services Fee" was called the "Registration Fee" through 2010-2011</t>
  </si>
  <si>
    <t>Note: see source data for details. These are primarily document management fees.</t>
  </si>
  <si>
    <t>Median Gross Rent, Alameda County</t>
  </si>
  <si>
    <t>rent annual increase (%)</t>
  </si>
  <si>
    <t>rent cumulative increase (% over 2006)</t>
  </si>
  <si>
    <t>Source: https://www.deptofnumbers.com/rent/california/alameda-county/ (median nominal)</t>
  </si>
  <si>
    <t>CPI cumulative increase (% over 2005)</t>
  </si>
  <si>
    <t>CPI cumulative increase (% over 2010)</t>
  </si>
  <si>
    <t>CPI cumulative increase (% over 2011)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</si>
</sst>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mm d, yyyy"/>
    <numFmt numFmtId="166" formatCode="&quot;$&quot;#,##0.00"/>
    <numFmt numFmtId="167" formatCode="#,##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166" xfId="0" applyFont="1" applyNumberFormat="1"/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0" fontId="2" numFmtId="10" xfId="0" applyFont="1" applyNumberFormat="1"/>
    <xf borderId="0" fillId="2" fontId="3" numFmtId="10" xfId="0" applyAlignment="1" applyFill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71"/>
    <col customWidth="1" min="3" max="3" width="34.14"/>
  </cols>
  <sheetData>
    <row r="1">
      <c r="A1" s="2" t="s">
        <v>2</v>
      </c>
      <c r="B1" s="3" t="s">
        <v>3</v>
      </c>
      <c r="C1" s="5">
        <v>43729.0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7">
      <c r="A7" s="2" t="s">
        <v>8</v>
      </c>
    </row>
    <row r="8">
      <c r="A8" s="2" t="s">
        <v>9</v>
      </c>
    </row>
    <row r="9">
      <c r="A9" s="2" t="s">
        <v>10</v>
      </c>
    </row>
    <row r="10">
      <c r="A10" s="2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43</v>
      </c>
      <c r="B1" s="13"/>
      <c r="C1" s="13"/>
      <c r="D1" s="13"/>
      <c r="E1" s="13"/>
      <c r="G1" s="21" t="s">
        <v>44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B2" s="13">
        <v>1994.0</v>
      </c>
      <c r="C2" s="13">
        <v>1995.0</v>
      </c>
      <c r="D2" s="13">
        <v>1996.0</v>
      </c>
      <c r="E2" s="13">
        <v>1997.0</v>
      </c>
      <c r="F2" s="13">
        <v>1998.0</v>
      </c>
      <c r="G2" s="13">
        <v>1999.0</v>
      </c>
      <c r="H2" s="13">
        <v>2000.0</v>
      </c>
      <c r="I2" s="13">
        <v>2001.0</v>
      </c>
      <c r="J2" s="13">
        <v>2002.0</v>
      </c>
      <c r="K2" s="13">
        <v>2003.0</v>
      </c>
      <c r="L2" s="13">
        <v>2004.0</v>
      </c>
      <c r="M2" s="13">
        <v>2005.0</v>
      </c>
      <c r="N2" s="13">
        <v>2006.0</v>
      </c>
      <c r="O2" s="13">
        <v>2007.0</v>
      </c>
      <c r="P2" s="13">
        <v>2008.0</v>
      </c>
      <c r="Q2" s="13">
        <v>2009.0</v>
      </c>
      <c r="R2" s="13">
        <v>2010.0</v>
      </c>
      <c r="S2" s="13">
        <v>2011.0</v>
      </c>
      <c r="T2" s="13">
        <v>2012.0</v>
      </c>
      <c r="U2" s="13">
        <v>2013.0</v>
      </c>
      <c r="V2" s="13">
        <v>2014.0</v>
      </c>
      <c r="W2" s="13">
        <v>2015.0</v>
      </c>
      <c r="X2" s="13">
        <v>2016.0</v>
      </c>
      <c r="Y2" s="13">
        <v>2017.0</v>
      </c>
      <c r="Z2" s="13">
        <v>2018.0</v>
      </c>
      <c r="AA2" s="13"/>
      <c r="AB2" s="13"/>
      <c r="AC2" s="13"/>
      <c r="AD2" s="13"/>
      <c r="AE2" s="13"/>
    </row>
    <row r="3">
      <c r="A3" s="1" t="s">
        <v>12</v>
      </c>
      <c r="F3" s="16">
        <v>356.5</v>
      </c>
      <c r="G3" s="16">
        <v>356.5</v>
      </c>
      <c r="H3" s="16">
        <v>356.5</v>
      </c>
      <c r="I3" s="16">
        <v>356.5</v>
      </c>
      <c r="J3" s="16">
        <v>356.5</v>
      </c>
      <c r="K3" s="16">
        <v>356.5</v>
      </c>
      <c r="L3" s="16">
        <v>356.5</v>
      </c>
      <c r="M3" s="16">
        <v>367.5</v>
      </c>
      <c r="N3" s="16">
        <v>367.5</v>
      </c>
      <c r="O3" s="16">
        <v>393.0</v>
      </c>
      <c r="P3" s="16">
        <v>432.0</v>
      </c>
      <c r="Q3" s="16">
        <v>450.0</v>
      </c>
      <c r="R3" s="16">
        <v>450.0</v>
      </c>
      <c r="S3" s="16">
        <v>486.0</v>
      </c>
      <c r="T3" s="16">
        <v>486.0</v>
      </c>
      <c r="U3" s="16">
        <v>486.0</v>
      </c>
      <c r="V3" s="16">
        <v>486.0</v>
      </c>
      <c r="W3" s="16">
        <v>510.0</v>
      </c>
      <c r="X3" s="16">
        <v>537.0</v>
      </c>
      <c r="Y3" s="16">
        <v>564.0</v>
      </c>
      <c r="Z3" s="16">
        <v>564.0</v>
      </c>
    </row>
    <row r="4">
      <c r="A4" s="13" t="s">
        <v>14</v>
      </c>
      <c r="F4" s="16">
        <v>356.5</v>
      </c>
      <c r="G4" s="16">
        <v>356.5</v>
      </c>
      <c r="H4" s="16">
        <v>356.5</v>
      </c>
      <c r="I4" s="16">
        <v>356.5</v>
      </c>
      <c r="J4" s="16">
        <v>356.5</v>
      </c>
      <c r="K4" s="16">
        <v>356.5</v>
      </c>
      <c r="L4" s="16">
        <v>356.5</v>
      </c>
      <c r="M4" s="16">
        <v>367.5</v>
      </c>
      <c r="N4" s="16">
        <v>367.5</v>
      </c>
      <c r="O4" s="16">
        <v>393.0</v>
      </c>
      <c r="P4" s="16">
        <v>432.0</v>
      </c>
      <c r="Q4" s="16">
        <v>450.0</v>
      </c>
      <c r="R4" s="16">
        <v>450.0</v>
      </c>
      <c r="S4" s="16">
        <v>486.0</v>
      </c>
      <c r="T4" s="16">
        <v>486.0</v>
      </c>
      <c r="U4" s="16">
        <v>486.0</v>
      </c>
      <c r="V4" s="16">
        <v>486.0</v>
      </c>
      <c r="W4" s="16">
        <v>510.0</v>
      </c>
      <c r="X4" s="16">
        <v>537.0</v>
      </c>
      <c r="Y4" s="16">
        <v>564.0</v>
      </c>
      <c r="Z4" s="16">
        <v>564.0</v>
      </c>
    </row>
    <row r="5">
      <c r="A5" s="13" t="s">
        <v>15</v>
      </c>
      <c r="F5" s="16">
        <v>356.5</v>
      </c>
      <c r="G5" s="16">
        <v>356.5</v>
      </c>
      <c r="H5" s="16">
        <v>356.5</v>
      </c>
      <c r="I5" s="16">
        <v>356.5</v>
      </c>
      <c r="J5" s="16">
        <v>356.5</v>
      </c>
      <c r="K5" s="16">
        <v>356.5</v>
      </c>
      <c r="L5" s="16">
        <v>356.5</v>
      </c>
      <c r="M5" s="16">
        <v>367.5</v>
      </c>
      <c r="N5" s="16">
        <v>367.5</v>
      </c>
      <c r="O5" s="16">
        <v>393.0</v>
      </c>
      <c r="P5" s="16">
        <v>432.0</v>
      </c>
      <c r="Q5" s="16">
        <v>450.0</v>
      </c>
      <c r="R5" s="16">
        <v>450.0</v>
      </c>
      <c r="S5" s="16">
        <v>486.0</v>
      </c>
      <c r="T5" s="16">
        <v>486.0</v>
      </c>
      <c r="U5" s="16">
        <v>486.0</v>
      </c>
      <c r="V5" s="16">
        <v>486.0</v>
      </c>
      <c r="W5" s="16">
        <v>510.0</v>
      </c>
      <c r="X5" s="16">
        <v>537.0</v>
      </c>
      <c r="Y5" s="16">
        <v>564.0</v>
      </c>
      <c r="Z5" s="16">
        <v>564.0</v>
      </c>
    </row>
    <row r="6">
      <c r="A6" s="13" t="s">
        <v>16</v>
      </c>
      <c r="F6" s="16">
        <v>356.5</v>
      </c>
      <c r="G6" s="16">
        <v>356.5</v>
      </c>
      <c r="H6" s="16">
        <v>356.5</v>
      </c>
      <c r="I6" s="16">
        <v>356.5</v>
      </c>
      <c r="J6" s="16">
        <v>356.5</v>
      </c>
      <c r="K6" s="16">
        <v>356.5</v>
      </c>
      <c r="L6" s="16">
        <v>356.5</v>
      </c>
      <c r="M6" s="16">
        <v>367.5</v>
      </c>
      <c r="N6" s="16">
        <v>367.5</v>
      </c>
      <c r="O6" s="16">
        <v>393.0</v>
      </c>
      <c r="P6" s="16">
        <v>432.0</v>
      </c>
      <c r="Q6" s="16">
        <v>450.0</v>
      </c>
      <c r="R6" s="16">
        <v>450.0</v>
      </c>
      <c r="S6" s="16">
        <v>486.0</v>
      </c>
      <c r="T6" s="16">
        <v>486.0</v>
      </c>
      <c r="U6" s="16">
        <v>486.0</v>
      </c>
      <c r="V6" s="16">
        <v>486.0</v>
      </c>
      <c r="W6" s="16">
        <v>510.0</v>
      </c>
      <c r="X6" s="16">
        <v>537.0</v>
      </c>
      <c r="Y6" s="16">
        <v>564.0</v>
      </c>
      <c r="Z6" s="16">
        <v>564.0</v>
      </c>
    </row>
    <row r="7">
      <c r="A7" s="13" t="s">
        <v>17</v>
      </c>
      <c r="F7" s="16">
        <v>356.5</v>
      </c>
      <c r="G7" s="16">
        <v>356.5</v>
      </c>
      <c r="H7" s="16">
        <v>356.5</v>
      </c>
      <c r="I7" s="16">
        <v>356.5</v>
      </c>
      <c r="J7" s="16">
        <v>356.5</v>
      </c>
      <c r="K7" s="16">
        <v>356.5</v>
      </c>
      <c r="L7" s="16">
        <v>356.5</v>
      </c>
      <c r="M7" s="16">
        <v>367.5</v>
      </c>
      <c r="N7" s="16">
        <v>367.5</v>
      </c>
      <c r="O7" s="16">
        <v>393.0</v>
      </c>
      <c r="P7" s="16">
        <v>432.0</v>
      </c>
      <c r="Q7" s="16">
        <v>450.0</v>
      </c>
      <c r="R7" s="16">
        <v>450.0</v>
      </c>
      <c r="S7" s="16">
        <v>486.0</v>
      </c>
      <c r="T7" s="16">
        <v>486.0</v>
      </c>
      <c r="U7" s="16">
        <v>486.0</v>
      </c>
      <c r="V7" s="16">
        <v>486.0</v>
      </c>
      <c r="W7" s="16">
        <v>510.0</v>
      </c>
      <c r="X7" s="16">
        <v>537.0</v>
      </c>
      <c r="Y7" s="16">
        <v>564.0</v>
      </c>
      <c r="Z7" s="16">
        <v>564.0</v>
      </c>
    </row>
    <row r="8">
      <c r="A8" s="13" t="s">
        <v>18</v>
      </c>
      <c r="F8" s="16">
        <v>356.5</v>
      </c>
      <c r="G8" s="16">
        <v>356.5</v>
      </c>
      <c r="H8" s="16">
        <v>356.5</v>
      </c>
      <c r="I8" s="16">
        <v>356.5</v>
      </c>
      <c r="J8" s="16">
        <v>356.5</v>
      </c>
      <c r="K8" s="16">
        <v>356.5</v>
      </c>
      <c r="L8" s="16">
        <v>356.5</v>
      </c>
      <c r="M8" s="16">
        <v>367.5</v>
      </c>
      <c r="N8" s="16">
        <v>367.5</v>
      </c>
      <c r="O8" s="16">
        <v>393.0</v>
      </c>
      <c r="P8" s="16">
        <v>432.0</v>
      </c>
      <c r="Q8" s="16">
        <v>450.0</v>
      </c>
      <c r="R8" s="16">
        <v>450.0</v>
      </c>
      <c r="S8" s="16">
        <v>486.0</v>
      </c>
      <c r="T8" s="16">
        <v>486.0</v>
      </c>
      <c r="U8" s="16">
        <v>486.0</v>
      </c>
      <c r="V8" s="16">
        <v>486.0</v>
      </c>
      <c r="W8" s="16">
        <v>510.0</v>
      </c>
      <c r="X8" s="16">
        <v>537.0</v>
      </c>
      <c r="Y8" s="16">
        <v>564.0</v>
      </c>
      <c r="Z8" s="16">
        <v>564.0</v>
      </c>
    </row>
    <row r="9">
      <c r="A9" s="13" t="s">
        <v>19</v>
      </c>
      <c r="F9" s="16">
        <v>356.5</v>
      </c>
      <c r="G9" s="16">
        <v>356.5</v>
      </c>
      <c r="H9" s="16">
        <v>356.5</v>
      </c>
      <c r="I9" s="16">
        <v>356.5</v>
      </c>
      <c r="J9" s="16">
        <v>356.5</v>
      </c>
      <c r="K9" s="16">
        <v>356.5</v>
      </c>
      <c r="L9" s="16">
        <v>356.5</v>
      </c>
      <c r="M9" s="16">
        <v>367.5</v>
      </c>
      <c r="N9" s="16">
        <v>367.5</v>
      </c>
      <c r="O9" s="16">
        <v>393.0</v>
      </c>
      <c r="P9" s="16">
        <v>432.0</v>
      </c>
      <c r="Q9" s="16">
        <v>450.0</v>
      </c>
      <c r="R9" s="16">
        <v>450.0</v>
      </c>
      <c r="S9" s="16">
        <v>486.0</v>
      </c>
      <c r="T9" s="16">
        <v>486.0</v>
      </c>
      <c r="U9" s="16">
        <v>486.0</v>
      </c>
      <c r="V9" s="16">
        <v>486.0</v>
      </c>
      <c r="W9" s="16">
        <v>510.0</v>
      </c>
      <c r="X9" s="16">
        <v>537.0</v>
      </c>
      <c r="Y9" s="16">
        <v>564.0</v>
      </c>
      <c r="Z9" s="16">
        <v>564.0</v>
      </c>
    </row>
    <row r="10">
      <c r="A10" s="13" t="s">
        <v>20</v>
      </c>
      <c r="F10" s="16">
        <v>356.5</v>
      </c>
      <c r="G10" s="16">
        <v>356.5</v>
      </c>
      <c r="H10" s="16">
        <v>356.5</v>
      </c>
      <c r="I10" s="16">
        <v>356.5</v>
      </c>
      <c r="J10" s="16">
        <v>356.5</v>
      </c>
      <c r="K10" s="16">
        <v>356.5</v>
      </c>
      <c r="L10" s="16">
        <v>356.5</v>
      </c>
      <c r="M10" s="16">
        <v>367.5</v>
      </c>
      <c r="N10" s="16">
        <v>367.5</v>
      </c>
      <c r="O10" s="16">
        <v>393.0</v>
      </c>
      <c r="P10" s="16">
        <v>432.0</v>
      </c>
      <c r="Q10" s="16">
        <v>450.0</v>
      </c>
      <c r="R10" s="16">
        <v>450.0</v>
      </c>
      <c r="S10" s="16">
        <v>486.0</v>
      </c>
      <c r="T10" s="16">
        <v>486.0</v>
      </c>
      <c r="U10" s="16">
        <v>486.0</v>
      </c>
      <c r="V10" s="16">
        <v>486.0</v>
      </c>
      <c r="W10" s="16">
        <v>510.0</v>
      </c>
      <c r="X10" s="16">
        <v>537.0</v>
      </c>
      <c r="Y10" s="16">
        <v>564.0</v>
      </c>
      <c r="Z10" s="16">
        <v>564.0</v>
      </c>
    </row>
    <row r="11">
      <c r="A11" s="13" t="s">
        <v>21</v>
      </c>
      <c r="F11" s="16">
        <v>356.5</v>
      </c>
      <c r="G11" s="16">
        <v>356.5</v>
      </c>
      <c r="H11" s="16">
        <v>356.5</v>
      </c>
      <c r="I11" s="16">
        <v>356.5</v>
      </c>
      <c r="J11" s="16">
        <v>356.5</v>
      </c>
      <c r="K11" s="16">
        <v>356.5</v>
      </c>
      <c r="L11" s="16">
        <v>356.5</v>
      </c>
      <c r="M11" s="16">
        <v>367.5</v>
      </c>
      <c r="N11" s="16">
        <v>367.5</v>
      </c>
      <c r="O11" s="16">
        <v>393.0</v>
      </c>
      <c r="P11" s="16">
        <v>432.0</v>
      </c>
      <c r="Q11" s="16">
        <v>450.0</v>
      </c>
      <c r="R11" s="16">
        <v>450.0</v>
      </c>
      <c r="S11" s="16">
        <v>486.0</v>
      </c>
      <c r="T11" s="16">
        <v>486.0</v>
      </c>
      <c r="U11" s="16">
        <v>486.0</v>
      </c>
      <c r="V11" s="16">
        <v>486.0</v>
      </c>
      <c r="W11" s="16">
        <v>510.0</v>
      </c>
      <c r="X11" s="16">
        <v>537.0</v>
      </c>
      <c r="Y11" s="16">
        <v>564.0</v>
      </c>
      <c r="Z11" s="16">
        <v>564.0</v>
      </c>
    </row>
    <row r="12">
      <c r="A12" s="13" t="s">
        <v>22</v>
      </c>
      <c r="F12" s="16">
        <v>356.5</v>
      </c>
      <c r="G12" s="16">
        <v>356.5</v>
      </c>
      <c r="H12" s="16">
        <v>356.5</v>
      </c>
      <c r="I12" s="16">
        <v>356.5</v>
      </c>
      <c r="J12" s="16">
        <v>356.5</v>
      </c>
      <c r="K12" s="16">
        <v>356.5</v>
      </c>
      <c r="L12" s="16">
        <v>356.5</v>
      </c>
      <c r="M12" s="16">
        <v>367.5</v>
      </c>
      <c r="N12" s="16">
        <v>367.5</v>
      </c>
      <c r="O12" s="16">
        <v>393.0</v>
      </c>
      <c r="P12" s="16">
        <v>432.0</v>
      </c>
      <c r="Q12" s="16">
        <v>450.0</v>
      </c>
      <c r="R12" s="16">
        <v>450.0</v>
      </c>
      <c r="S12" s="16">
        <v>486.0</v>
      </c>
      <c r="T12" s="16">
        <v>486.0</v>
      </c>
      <c r="U12" s="16">
        <v>486.0</v>
      </c>
      <c r="V12" s="16">
        <v>486.0</v>
      </c>
      <c r="W12" s="16">
        <v>510.0</v>
      </c>
      <c r="X12" s="16">
        <v>537.0</v>
      </c>
      <c r="Y12" s="16">
        <v>564.0</v>
      </c>
      <c r="Z12" s="16">
        <v>564.0</v>
      </c>
    </row>
    <row r="13">
      <c r="A13" s="13" t="s">
        <v>23</v>
      </c>
      <c r="F13" s="16">
        <v>356.5</v>
      </c>
      <c r="G13" s="16">
        <v>356.5</v>
      </c>
      <c r="H13" s="16">
        <v>356.5</v>
      </c>
      <c r="I13" s="16">
        <v>356.5</v>
      </c>
      <c r="J13" s="16">
        <v>356.5</v>
      </c>
      <c r="K13" s="16">
        <v>356.5</v>
      </c>
      <c r="L13" s="16">
        <v>356.5</v>
      </c>
      <c r="M13" s="16">
        <v>367.5</v>
      </c>
      <c r="N13" s="16">
        <v>367.5</v>
      </c>
      <c r="O13" s="16">
        <v>393.0</v>
      </c>
      <c r="P13" s="16">
        <v>432.0</v>
      </c>
      <c r="Q13" s="16">
        <v>450.0</v>
      </c>
      <c r="R13" s="16">
        <v>450.0</v>
      </c>
      <c r="S13" s="16">
        <v>486.0</v>
      </c>
      <c r="T13" s="16">
        <v>486.0</v>
      </c>
      <c r="U13" s="16">
        <v>486.0</v>
      </c>
      <c r="V13" s="16">
        <v>486.0</v>
      </c>
      <c r="W13" s="16">
        <v>510.0</v>
      </c>
      <c r="X13" s="16">
        <v>537.0</v>
      </c>
      <c r="Y13" s="16">
        <v>564.0</v>
      </c>
      <c r="Z13" s="16">
        <v>564.0</v>
      </c>
    </row>
    <row r="14">
      <c r="A14" s="13" t="s">
        <v>24</v>
      </c>
      <c r="F14" s="16">
        <v>356.5</v>
      </c>
      <c r="G14" s="16">
        <v>356.5</v>
      </c>
      <c r="H14" s="16">
        <v>356.5</v>
      </c>
      <c r="I14" s="16">
        <v>356.5</v>
      </c>
      <c r="J14" s="16">
        <v>356.5</v>
      </c>
      <c r="K14" s="16">
        <v>356.5</v>
      </c>
      <c r="L14" s="16">
        <v>356.5</v>
      </c>
      <c r="M14" s="16">
        <v>367.5</v>
      </c>
      <c r="N14" s="16">
        <v>367.5</v>
      </c>
      <c r="O14" s="16">
        <v>393.0</v>
      </c>
      <c r="P14" s="16">
        <v>432.0</v>
      </c>
      <c r="Q14" s="16">
        <v>450.0</v>
      </c>
      <c r="R14" s="16">
        <v>450.0</v>
      </c>
      <c r="S14" s="16">
        <v>486.0</v>
      </c>
      <c r="T14" s="16">
        <v>486.0</v>
      </c>
      <c r="U14" s="16">
        <v>486.0</v>
      </c>
      <c r="V14" s="16">
        <v>486.0</v>
      </c>
      <c r="W14" s="16">
        <v>510.0</v>
      </c>
      <c r="X14" s="16">
        <v>537.0</v>
      </c>
      <c r="Y14" s="16">
        <v>564.0</v>
      </c>
      <c r="Z14" s="16">
        <v>564.0</v>
      </c>
    </row>
    <row r="15">
      <c r="A15" s="13" t="s">
        <v>25</v>
      </c>
      <c r="F15" s="16">
        <v>356.5</v>
      </c>
      <c r="G15" s="16">
        <v>356.5</v>
      </c>
      <c r="H15" s="16">
        <v>356.5</v>
      </c>
      <c r="I15" s="16">
        <v>356.5</v>
      </c>
      <c r="J15" s="16">
        <v>356.5</v>
      </c>
      <c r="K15" s="16">
        <v>356.5</v>
      </c>
      <c r="L15" s="16">
        <v>356.5</v>
      </c>
      <c r="M15" s="16">
        <v>367.5</v>
      </c>
      <c r="N15" s="16">
        <v>367.5</v>
      </c>
      <c r="O15" s="16">
        <v>393.0</v>
      </c>
      <c r="P15" s="16">
        <v>432.0</v>
      </c>
      <c r="Q15" s="16">
        <v>450.0</v>
      </c>
      <c r="R15" s="16">
        <v>450.0</v>
      </c>
      <c r="S15" s="16">
        <v>486.0</v>
      </c>
      <c r="T15" s="16">
        <v>486.0</v>
      </c>
      <c r="U15" s="16">
        <v>486.0</v>
      </c>
      <c r="V15" s="16">
        <v>486.0</v>
      </c>
      <c r="W15" s="16">
        <v>510.0</v>
      </c>
      <c r="X15" s="16">
        <v>537.0</v>
      </c>
      <c r="Y15" s="16">
        <v>564.0</v>
      </c>
      <c r="Z15" s="16">
        <v>564.0</v>
      </c>
    </row>
    <row r="16">
      <c r="A16" s="13" t="s">
        <v>26</v>
      </c>
      <c r="F16" s="16">
        <v>356.5</v>
      </c>
      <c r="G16" s="16">
        <v>356.5</v>
      </c>
      <c r="H16" s="16">
        <v>356.5</v>
      </c>
      <c r="I16" s="16">
        <v>356.5</v>
      </c>
      <c r="J16" s="16">
        <v>356.5</v>
      </c>
      <c r="K16" s="16">
        <v>356.5</v>
      </c>
      <c r="L16" s="16">
        <v>356.5</v>
      </c>
      <c r="M16" s="16">
        <v>367.5</v>
      </c>
      <c r="N16" s="16">
        <v>367.5</v>
      </c>
      <c r="O16" s="16">
        <v>393.0</v>
      </c>
      <c r="P16" s="16">
        <v>432.0</v>
      </c>
      <c r="Q16" s="16">
        <v>450.0</v>
      </c>
      <c r="R16" s="16">
        <v>450.0</v>
      </c>
      <c r="S16" s="16">
        <v>486.0</v>
      </c>
      <c r="T16" s="16">
        <v>486.0</v>
      </c>
      <c r="U16" s="16">
        <v>486.0</v>
      </c>
      <c r="V16" s="16">
        <v>486.0</v>
      </c>
      <c r="W16" s="16">
        <v>510.0</v>
      </c>
      <c r="X16" s="16">
        <v>537.0</v>
      </c>
      <c r="Y16" s="16">
        <v>564.0</v>
      </c>
      <c r="Z16" s="16">
        <v>564.0</v>
      </c>
    </row>
    <row r="17">
      <c r="A17" s="13" t="s">
        <v>27</v>
      </c>
      <c r="F17" s="16">
        <v>356.5</v>
      </c>
      <c r="G17" s="16">
        <v>356.5</v>
      </c>
      <c r="H17" s="16">
        <v>356.5</v>
      </c>
      <c r="I17" s="16">
        <v>356.5</v>
      </c>
      <c r="J17" s="16">
        <v>356.5</v>
      </c>
      <c r="K17" s="16">
        <v>356.5</v>
      </c>
      <c r="L17" s="16">
        <v>356.5</v>
      </c>
      <c r="M17" s="16">
        <v>367.5</v>
      </c>
      <c r="N17" s="16">
        <v>367.5</v>
      </c>
      <c r="O17" s="16">
        <v>393.0</v>
      </c>
      <c r="P17" s="16">
        <v>432.0</v>
      </c>
      <c r="Q17" s="16">
        <v>450.0</v>
      </c>
      <c r="R17" s="16">
        <v>450.0</v>
      </c>
      <c r="S17" s="16">
        <v>486.0</v>
      </c>
      <c r="T17" s="16">
        <v>486.0</v>
      </c>
      <c r="U17" s="16">
        <v>486.0</v>
      </c>
      <c r="V17" s="16">
        <v>486.0</v>
      </c>
      <c r="W17" s="16">
        <v>510.0</v>
      </c>
      <c r="X17" s="16">
        <v>537.0</v>
      </c>
      <c r="Y17" s="16">
        <v>564.0</v>
      </c>
      <c r="Z17" s="16">
        <v>564.0</v>
      </c>
    </row>
    <row r="18">
      <c r="A18" s="13" t="s">
        <v>28</v>
      </c>
      <c r="F18" s="16">
        <v>356.5</v>
      </c>
      <c r="G18" s="16">
        <v>356.5</v>
      </c>
      <c r="H18" s="16">
        <v>356.5</v>
      </c>
      <c r="I18" s="16">
        <v>356.5</v>
      </c>
      <c r="J18" s="16">
        <v>356.5</v>
      </c>
      <c r="K18" s="16">
        <v>356.5</v>
      </c>
      <c r="L18" s="16">
        <v>356.5</v>
      </c>
      <c r="M18" s="16">
        <v>367.5</v>
      </c>
      <c r="N18" s="16">
        <v>367.5</v>
      </c>
      <c r="O18" s="16">
        <v>393.0</v>
      </c>
      <c r="P18" s="16">
        <v>432.0</v>
      </c>
      <c r="Q18" s="16">
        <v>450.0</v>
      </c>
      <c r="R18" s="16">
        <v>450.0</v>
      </c>
      <c r="S18" s="16">
        <v>486.0</v>
      </c>
      <c r="T18" s="16">
        <v>486.0</v>
      </c>
      <c r="U18" s="16">
        <v>486.0</v>
      </c>
      <c r="V18" s="16">
        <v>486.0</v>
      </c>
      <c r="W18" s="16">
        <v>510.0</v>
      </c>
      <c r="X18" s="16">
        <v>537.0</v>
      </c>
      <c r="Y18" s="16">
        <v>564.0</v>
      </c>
      <c r="Z18" s="16">
        <v>564.0</v>
      </c>
    </row>
    <row r="19">
      <c r="A19" s="13" t="s"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">
        <v>30</v>
      </c>
      <c r="F20" s="16">
        <v>356.5</v>
      </c>
      <c r="G20" s="16">
        <v>356.5</v>
      </c>
      <c r="H20" s="16">
        <v>356.5</v>
      </c>
      <c r="I20" s="16">
        <v>356.5</v>
      </c>
      <c r="J20" s="16">
        <v>356.5</v>
      </c>
      <c r="K20" s="16">
        <v>356.5</v>
      </c>
      <c r="L20" s="16">
        <v>356.5</v>
      </c>
      <c r="M20" s="16">
        <v>367.5</v>
      </c>
      <c r="N20" s="16">
        <v>367.5</v>
      </c>
      <c r="O20" s="16">
        <v>393.0</v>
      </c>
      <c r="P20" s="16">
        <v>432.0</v>
      </c>
      <c r="Q20" s="16">
        <v>450.0</v>
      </c>
      <c r="R20" s="16">
        <v>450.0</v>
      </c>
      <c r="S20" s="16">
        <v>486.0</v>
      </c>
      <c r="T20" s="16">
        <v>486.0</v>
      </c>
      <c r="U20" s="16">
        <v>486.0</v>
      </c>
      <c r="V20" s="16">
        <v>486.0</v>
      </c>
      <c r="W20" s="16">
        <v>510.0</v>
      </c>
      <c r="X20" s="16">
        <v>537.0</v>
      </c>
      <c r="Y20" s="16">
        <v>564.0</v>
      </c>
      <c r="Z20" s="16">
        <v>564.0</v>
      </c>
    </row>
    <row r="21">
      <c r="A21" s="13" t="s">
        <v>31</v>
      </c>
      <c r="F21" s="16">
        <v>356.5</v>
      </c>
      <c r="G21" s="16">
        <v>356.5</v>
      </c>
      <c r="H21" s="16">
        <v>356.5</v>
      </c>
      <c r="I21" s="16">
        <v>356.5</v>
      </c>
      <c r="J21" s="16">
        <v>356.5</v>
      </c>
      <c r="K21" s="16">
        <v>356.5</v>
      </c>
      <c r="L21" s="16">
        <v>356.5</v>
      </c>
      <c r="M21" s="16">
        <v>367.5</v>
      </c>
      <c r="N21" s="16">
        <v>367.5</v>
      </c>
      <c r="O21" s="16">
        <v>393.0</v>
      </c>
      <c r="P21" s="16">
        <v>432.0</v>
      </c>
      <c r="Q21" s="16">
        <v>450.0</v>
      </c>
      <c r="R21" s="16">
        <v>450.0</v>
      </c>
      <c r="S21" s="16">
        <v>486.0</v>
      </c>
      <c r="T21" s="16">
        <v>486.0</v>
      </c>
      <c r="U21" s="16">
        <v>486.0</v>
      </c>
      <c r="V21" s="16">
        <v>486.0</v>
      </c>
      <c r="W21" s="16">
        <v>510.0</v>
      </c>
      <c r="X21" s="16">
        <v>537.0</v>
      </c>
      <c r="Y21" s="16">
        <v>564.0</v>
      </c>
      <c r="Z21" s="16">
        <v>564.0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3" t="s">
        <v>40</v>
      </c>
      <c r="B1" s="13"/>
      <c r="C1" s="13"/>
      <c r="D1" s="15"/>
      <c r="E1" s="21" t="s">
        <v>45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B2" s="13">
        <v>1998.0</v>
      </c>
      <c r="C2" s="13">
        <v>1999.0</v>
      </c>
      <c r="D2" s="13">
        <v>2000.0</v>
      </c>
      <c r="E2" s="13">
        <v>2001.0</v>
      </c>
      <c r="F2" s="13">
        <v>2002.0</v>
      </c>
      <c r="G2" s="13">
        <v>2003.0</v>
      </c>
      <c r="H2" s="13">
        <v>2004.0</v>
      </c>
      <c r="I2" s="13">
        <v>2005.0</v>
      </c>
      <c r="J2" s="13">
        <v>2006.0</v>
      </c>
      <c r="K2" s="13">
        <v>2007.0</v>
      </c>
      <c r="L2" s="13">
        <v>2008.0</v>
      </c>
      <c r="M2" s="13">
        <v>2009.0</v>
      </c>
      <c r="N2" s="13">
        <v>2010.0</v>
      </c>
      <c r="O2" s="13">
        <v>2011.0</v>
      </c>
      <c r="P2" s="13">
        <v>2012.0</v>
      </c>
      <c r="Q2" s="13">
        <v>2013.0</v>
      </c>
      <c r="R2" s="13">
        <v>2014.0</v>
      </c>
      <c r="S2" s="13">
        <v>2015.0</v>
      </c>
      <c r="T2" s="13">
        <v>2016.0</v>
      </c>
      <c r="U2" s="13">
        <v>2017.0</v>
      </c>
      <c r="V2" s="13">
        <v>2018.0</v>
      </c>
      <c r="W2" s="13"/>
      <c r="X2" s="13"/>
      <c r="Y2" s="13"/>
      <c r="Z2" s="13"/>
      <c r="AA2" s="13"/>
      <c r="AB2" s="13"/>
      <c r="AC2" s="13"/>
      <c r="AD2" s="13"/>
      <c r="AE2" s="13"/>
    </row>
    <row r="3">
      <c r="A3" s="1" t="s">
        <v>12</v>
      </c>
      <c r="P3" s="2">
        <v>80.0</v>
      </c>
      <c r="Q3" s="2">
        <v>83.0</v>
      </c>
      <c r="R3" s="2">
        <v>84.0</v>
      </c>
      <c r="S3" s="2">
        <v>86.0</v>
      </c>
      <c r="T3" s="2">
        <v>87.0</v>
      </c>
      <c r="U3" s="2">
        <v>89.0</v>
      </c>
      <c r="V3" s="2">
        <v>92.0</v>
      </c>
    </row>
    <row r="4">
      <c r="A4" s="13" t="s">
        <v>14</v>
      </c>
      <c r="P4" s="2">
        <v>100.0</v>
      </c>
      <c r="Q4" s="2">
        <v>104.0</v>
      </c>
      <c r="R4" s="2">
        <v>106.0</v>
      </c>
      <c r="S4" s="2">
        <v>109.0</v>
      </c>
      <c r="T4" s="2">
        <v>111.0</v>
      </c>
      <c r="U4" s="2">
        <v>113.0</v>
      </c>
      <c r="V4" s="2">
        <v>117.0</v>
      </c>
    </row>
    <row r="5">
      <c r="A5" s="13" t="s">
        <v>15</v>
      </c>
      <c r="B5" s="7">
        <f t="shared" ref="B5:M5" si="1">15+188</f>
        <v>203</v>
      </c>
      <c r="C5" s="7">
        <f t="shared" si="1"/>
        <v>203</v>
      </c>
      <c r="D5" s="7">
        <f t="shared" si="1"/>
        <v>203</v>
      </c>
      <c r="E5" s="7">
        <f t="shared" si="1"/>
        <v>203</v>
      </c>
      <c r="F5" s="7">
        <f t="shared" si="1"/>
        <v>203</v>
      </c>
      <c r="G5" s="7">
        <f t="shared" si="1"/>
        <v>203</v>
      </c>
      <c r="H5" s="7">
        <f t="shared" si="1"/>
        <v>203</v>
      </c>
      <c r="I5" s="7">
        <f t="shared" si="1"/>
        <v>203</v>
      </c>
      <c r="J5" s="7">
        <f t="shared" si="1"/>
        <v>203</v>
      </c>
      <c r="K5" s="7">
        <f t="shared" si="1"/>
        <v>203</v>
      </c>
      <c r="L5" s="7">
        <f t="shared" si="1"/>
        <v>203</v>
      </c>
      <c r="M5" s="7">
        <f t="shared" si="1"/>
        <v>203</v>
      </c>
      <c r="N5" s="16">
        <v>15.0</v>
      </c>
      <c r="O5" s="16">
        <v>15.0</v>
      </c>
      <c r="P5" s="7">
        <f>25+15</f>
        <v>40</v>
      </c>
      <c r="Q5" s="7">
        <f t="shared" ref="Q5:R5" si="2">26+15</f>
        <v>41</v>
      </c>
      <c r="R5" s="7">
        <f t="shared" si="2"/>
        <v>41</v>
      </c>
      <c r="S5" s="7">
        <f>27+15</f>
        <v>42</v>
      </c>
      <c r="T5" s="7">
        <f>28+15</f>
        <v>43</v>
      </c>
      <c r="U5" s="7">
        <f>29+15</f>
        <v>44</v>
      </c>
      <c r="V5" s="7">
        <f>30+15</f>
        <v>45</v>
      </c>
    </row>
    <row r="6">
      <c r="A6" s="13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6">
        <v>80.0</v>
      </c>
      <c r="Q6" s="16">
        <v>83.0</v>
      </c>
      <c r="R6" s="16">
        <v>84.0</v>
      </c>
      <c r="S6" s="16">
        <v>86.0</v>
      </c>
      <c r="T6" s="16">
        <v>87.0</v>
      </c>
      <c r="U6" s="16">
        <v>89.0</v>
      </c>
      <c r="V6" s="16">
        <v>92.0</v>
      </c>
    </row>
    <row r="7">
      <c r="A7" s="13" t="s">
        <v>17</v>
      </c>
      <c r="B7" s="7">
        <f t="shared" ref="B7:M7" si="3">30.5+188</f>
        <v>218.5</v>
      </c>
      <c r="C7" s="7">
        <f t="shared" si="3"/>
        <v>218.5</v>
      </c>
      <c r="D7" s="7">
        <f t="shared" si="3"/>
        <v>218.5</v>
      </c>
      <c r="E7" s="7">
        <f t="shared" si="3"/>
        <v>218.5</v>
      </c>
      <c r="F7" s="7">
        <f t="shared" si="3"/>
        <v>218.5</v>
      </c>
      <c r="G7" s="7">
        <f t="shared" si="3"/>
        <v>218.5</v>
      </c>
      <c r="H7" s="7">
        <f t="shared" si="3"/>
        <v>218.5</v>
      </c>
      <c r="I7" s="7">
        <f t="shared" si="3"/>
        <v>218.5</v>
      </c>
      <c r="J7" s="7">
        <f t="shared" si="3"/>
        <v>218.5</v>
      </c>
      <c r="K7" s="7">
        <f t="shared" si="3"/>
        <v>218.5</v>
      </c>
      <c r="L7" s="7">
        <f t="shared" si="3"/>
        <v>218.5</v>
      </c>
      <c r="M7" s="7">
        <f t="shared" si="3"/>
        <v>218.5</v>
      </c>
      <c r="N7" s="16">
        <v>30.5</v>
      </c>
      <c r="O7" s="16">
        <v>30.5</v>
      </c>
      <c r="P7" s="7">
        <f>80+30.5</f>
        <v>110.5</v>
      </c>
      <c r="Q7" s="7">
        <f>83+30.5</f>
        <v>113.5</v>
      </c>
      <c r="R7" s="7">
        <f>84+30.5</f>
        <v>114.5</v>
      </c>
      <c r="S7" s="7">
        <f>30.5+86</f>
        <v>116.5</v>
      </c>
      <c r="T7" s="7">
        <f>30.5+87</f>
        <v>117.5</v>
      </c>
      <c r="U7" s="7">
        <f>30.5+89</f>
        <v>119.5</v>
      </c>
      <c r="V7" s="16">
        <v>30.5</v>
      </c>
    </row>
    <row r="8">
      <c r="A8" s="13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6">
        <v>80.0</v>
      </c>
      <c r="Q8" s="16">
        <v>83.0</v>
      </c>
      <c r="R8" s="16">
        <v>84.0</v>
      </c>
      <c r="S8" s="16">
        <v>86.0</v>
      </c>
      <c r="T8" s="16">
        <v>87.0</v>
      </c>
      <c r="U8" s="16">
        <v>89.0</v>
      </c>
      <c r="V8" s="16">
        <v>92.0</v>
      </c>
    </row>
    <row r="9">
      <c r="A9" s="13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6">
        <v>80.0</v>
      </c>
      <c r="Q9" s="16">
        <v>83.0</v>
      </c>
      <c r="R9" s="16">
        <v>84.0</v>
      </c>
      <c r="S9" s="16">
        <v>86.0</v>
      </c>
      <c r="T9" s="16">
        <v>87.0</v>
      </c>
      <c r="U9" s="16">
        <v>89.0</v>
      </c>
      <c r="V9" s="16">
        <v>92.0</v>
      </c>
    </row>
    <row r="10">
      <c r="A10" s="13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6">
        <v>80.0</v>
      </c>
      <c r="Q10" s="16">
        <v>83.0</v>
      </c>
      <c r="R10" s="16">
        <v>84.0</v>
      </c>
      <c r="S10" s="16">
        <v>86.0</v>
      </c>
      <c r="T10" s="16">
        <v>87.0</v>
      </c>
      <c r="U10" s="16">
        <v>89.0</v>
      </c>
      <c r="V10" s="16">
        <v>92.0</v>
      </c>
    </row>
    <row r="11">
      <c r="A11" s="13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6">
        <v>80.0</v>
      </c>
      <c r="Q11" s="16">
        <v>83.0</v>
      </c>
      <c r="R11" s="16">
        <v>84.0</v>
      </c>
      <c r="S11" s="16">
        <v>86.0</v>
      </c>
      <c r="T11" s="16">
        <v>87.0</v>
      </c>
      <c r="U11" s="16">
        <v>89.0</v>
      </c>
      <c r="V11" s="16">
        <v>92.0</v>
      </c>
    </row>
    <row r="12">
      <c r="A12" s="13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6">
        <v>80.0</v>
      </c>
      <c r="Q12" s="16">
        <v>83.0</v>
      </c>
      <c r="R12" s="16">
        <v>84.0</v>
      </c>
      <c r="S12" s="16">
        <v>86.0</v>
      </c>
      <c r="T12" s="16">
        <v>87.0</v>
      </c>
      <c r="U12" s="16">
        <v>89.0</v>
      </c>
      <c r="V12" s="16">
        <v>92.0</v>
      </c>
    </row>
    <row r="13">
      <c r="A13" s="13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6">
        <v>80.0</v>
      </c>
      <c r="Q13" s="16">
        <v>83.0</v>
      </c>
      <c r="R13" s="16">
        <v>84.0</v>
      </c>
      <c r="S13" s="16">
        <v>86.0</v>
      </c>
      <c r="T13" s="16">
        <v>87.0</v>
      </c>
      <c r="U13" s="16">
        <v>89.0</v>
      </c>
      <c r="V13" s="16">
        <v>92.0</v>
      </c>
    </row>
    <row r="14">
      <c r="A14" s="13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6">
        <v>80.0</v>
      </c>
      <c r="Q14" s="16">
        <v>83.0</v>
      </c>
      <c r="R14" s="16">
        <v>84.0</v>
      </c>
      <c r="S14" s="16">
        <v>86.0</v>
      </c>
      <c r="T14" s="16">
        <v>87.0</v>
      </c>
      <c r="U14" s="16">
        <v>89.0</v>
      </c>
      <c r="V14" s="16">
        <v>92.0</v>
      </c>
    </row>
    <row r="15">
      <c r="A15" s="13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6">
        <v>80.0</v>
      </c>
      <c r="Q15" s="16">
        <v>83.0</v>
      </c>
      <c r="R15" s="16">
        <v>84.0</v>
      </c>
      <c r="S15" s="16">
        <v>86.0</v>
      </c>
      <c r="T15" s="16">
        <v>87.0</v>
      </c>
      <c r="U15" s="16">
        <v>89.0</v>
      </c>
      <c r="V15" s="16">
        <v>92.0</v>
      </c>
    </row>
    <row r="16">
      <c r="A16" s="13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6">
        <v>80.0</v>
      </c>
      <c r="Q16" s="16">
        <v>83.0</v>
      </c>
      <c r="R16" s="16">
        <v>84.0</v>
      </c>
      <c r="S16" s="16">
        <v>86.0</v>
      </c>
      <c r="T16" s="16">
        <v>87.0</v>
      </c>
      <c r="U16" s="16">
        <v>89.0</v>
      </c>
      <c r="V16" s="16">
        <v>92.0</v>
      </c>
    </row>
    <row r="17">
      <c r="A17" s="13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v>83.0</v>
      </c>
      <c r="R17" s="16">
        <v>84.0</v>
      </c>
      <c r="S17" s="16">
        <v>86.0</v>
      </c>
      <c r="T17" s="16">
        <v>87.0</v>
      </c>
      <c r="U17" s="16">
        <v>89.0</v>
      </c>
      <c r="V17" s="16">
        <v>92.0</v>
      </c>
    </row>
    <row r="18">
      <c r="A18" s="13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6">
        <v>86.0</v>
      </c>
      <c r="T18" s="16">
        <v>87.0</v>
      </c>
      <c r="U18" s="16">
        <v>89.0</v>
      </c>
      <c r="V18" s="16">
        <v>92.0</v>
      </c>
    </row>
    <row r="19">
      <c r="A19" s="13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13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6">
        <v>87.0</v>
      </c>
      <c r="U20" s="16">
        <v>89.0</v>
      </c>
      <c r="V20" s="16">
        <v>92.0</v>
      </c>
    </row>
    <row r="21">
      <c r="A21" s="13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6">
        <v>89.0</v>
      </c>
      <c r="V21" s="16">
        <v>92.0</v>
      </c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2" t="s">
        <v>46</v>
      </c>
    </row>
    <row r="2">
      <c r="B2" s="2">
        <v>1998.0</v>
      </c>
      <c r="C2" s="2">
        <v>1999.0</v>
      </c>
      <c r="D2" s="2">
        <v>2000.0</v>
      </c>
      <c r="E2" s="2">
        <v>2001.0</v>
      </c>
      <c r="F2" s="2">
        <v>2002.0</v>
      </c>
      <c r="G2" s="2">
        <v>2003.0</v>
      </c>
      <c r="H2" s="2">
        <v>2004.0</v>
      </c>
      <c r="I2" s="2">
        <v>2005.0</v>
      </c>
      <c r="J2" s="2">
        <v>2006.0</v>
      </c>
      <c r="K2" s="2">
        <v>2007.0</v>
      </c>
      <c r="L2" s="2">
        <v>2008.0</v>
      </c>
      <c r="M2" s="2">
        <v>2009.0</v>
      </c>
      <c r="N2" s="2">
        <v>2010.0</v>
      </c>
      <c r="O2" s="2">
        <v>2011.0</v>
      </c>
      <c r="P2" s="2">
        <v>2012.0</v>
      </c>
      <c r="Q2" s="2">
        <v>2013.0</v>
      </c>
      <c r="R2" s="2">
        <v>2014.0</v>
      </c>
      <c r="S2" s="2">
        <v>2015.0</v>
      </c>
      <c r="T2" s="2">
        <v>2016.0</v>
      </c>
      <c r="U2" s="2">
        <v>2017.0</v>
      </c>
      <c r="V2" s="2">
        <v>2018.0</v>
      </c>
    </row>
    <row r="3">
      <c r="J3" s="2">
        <v>1095.0</v>
      </c>
      <c r="K3" s="2">
        <v>1110.0</v>
      </c>
      <c r="L3" s="2">
        <v>1192.0</v>
      </c>
      <c r="M3" s="2">
        <v>1185.0</v>
      </c>
      <c r="N3" s="2">
        <v>1198.0</v>
      </c>
      <c r="O3" s="2">
        <v>1244.0</v>
      </c>
      <c r="P3" s="2">
        <v>1265.0</v>
      </c>
      <c r="Q3" s="2">
        <v>1335.0</v>
      </c>
      <c r="R3" s="2">
        <v>1391.0</v>
      </c>
      <c r="S3" s="2">
        <v>1513.0</v>
      </c>
      <c r="T3" s="2">
        <v>1622.0</v>
      </c>
      <c r="U3" s="2">
        <v>1745.0</v>
      </c>
    </row>
    <row r="4">
      <c r="A4" s="2" t="s">
        <v>47</v>
      </c>
      <c r="J4" s="19"/>
      <c r="K4" s="19">
        <f t="shared" ref="K4:U4" si="1">(K3/J3)-1</f>
        <v>0.01369863014</v>
      </c>
      <c r="L4" s="19">
        <f t="shared" si="1"/>
        <v>0.07387387387</v>
      </c>
      <c r="M4" s="19">
        <f t="shared" si="1"/>
        <v>-0.005872483221</v>
      </c>
      <c r="N4" s="19">
        <f t="shared" si="1"/>
        <v>0.01097046414</v>
      </c>
      <c r="O4" s="19">
        <f t="shared" si="1"/>
        <v>0.03839732888</v>
      </c>
      <c r="P4" s="19">
        <f t="shared" si="1"/>
        <v>0.01688102894</v>
      </c>
      <c r="Q4" s="19">
        <f t="shared" si="1"/>
        <v>0.05533596838</v>
      </c>
      <c r="R4" s="19">
        <f t="shared" si="1"/>
        <v>0.04194756554</v>
      </c>
      <c r="S4" s="19">
        <f t="shared" si="1"/>
        <v>0.08770668584</v>
      </c>
      <c r="T4" s="19">
        <f t="shared" si="1"/>
        <v>0.07204230007</v>
      </c>
      <c r="U4" s="19">
        <f t="shared" si="1"/>
        <v>0.0758323058</v>
      </c>
    </row>
    <row r="5">
      <c r="A5" s="2" t="s">
        <v>48</v>
      </c>
      <c r="K5" s="19">
        <f t="shared" ref="K5:U5" si="2">(K3/$J3)-1</f>
        <v>0.01369863014</v>
      </c>
      <c r="L5" s="19">
        <f t="shared" si="2"/>
        <v>0.08858447489</v>
      </c>
      <c r="M5" s="19">
        <f t="shared" si="2"/>
        <v>0.08219178082</v>
      </c>
      <c r="N5" s="19">
        <f t="shared" si="2"/>
        <v>0.09406392694</v>
      </c>
      <c r="O5" s="19">
        <f t="shared" si="2"/>
        <v>0.1360730594</v>
      </c>
      <c r="P5" s="19">
        <f t="shared" si="2"/>
        <v>0.1552511416</v>
      </c>
      <c r="Q5" s="19">
        <f t="shared" si="2"/>
        <v>0.2191780822</v>
      </c>
      <c r="R5" s="19">
        <f t="shared" si="2"/>
        <v>0.2703196347</v>
      </c>
      <c r="S5" s="19">
        <f t="shared" si="2"/>
        <v>0.3817351598</v>
      </c>
      <c r="T5" s="19">
        <f t="shared" si="2"/>
        <v>0.4812785388</v>
      </c>
      <c r="U5" s="19">
        <f t="shared" si="2"/>
        <v>0.5936073059</v>
      </c>
    </row>
    <row r="7">
      <c r="A7" s="2" t="s">
        <v>49</v>
      </c>
    </row>
    <row r="11">
      <c r="A11" s="2" t="s">
        <v>37</v>
      </c>
      <c r="B11" s="17"/>
      <c r="C11" s="17"/>
      <c r="D11" s="18">
        <v>180.2</v>
      </c>
      <c r="E11" s="18">
        <v>189.9</v>
      </c>
      <c r="F11" s="18">
        <v>193.0</v>
      </c>
      <c r="G11" s="18">
        <v>196.4</v>
      </c>
      <c r="H11" s="18">
        <v>198.8</v>
      </c>
      <c r="I11" s="18">
        <v>202.7</v>
      </c>
      <c r="J11" s="18">
        <v>209.2</v>
      </c>
      <c r="K11" s="18">
        <v>216.048</v>
      </c>
      <c r="L11" s="18">
        <v>222.767</v>
      </c>
      <c r="M11" s="18">
        <v>224.395</v>
      </c>
      <c r="N11" s="18">
        <v>227.469</v>
      </c>
      <c r="O11" s="18">
        <v>233.39</v>
      </c>
      <c r="P11" s="18">
        <v>239.65</v>
      </c>
      <c r="Q11" s="18">
        <v>245.043</v>
      </c>
      <c r="R11" s="18">
        <v>251.985</v>
      </c>
      <c r="S11" s="18">
        <v>258.572</v>
      </c>
      <c r="T11" s="18">
        <v>266.344</v>
      </c>
      <c r="U11" s="18">
        <v>274.924</v>
      </c>
      <c r="V11" s="18">
        <v>285.55</v>
      </c>
    </row>
    <row r="12">
      <c r="A12" s="2" t="s">
        <v>38</v>
      </c>
      <c r="B12" s="7"/>
      <c r="C12" s="7"/>
      <c r="D12" s="7"/>
      <c r="E12" s="19">
        <f t="shared" ref="E12:V12" si="3">(E11/D11)-1</f>
        <v>0.0538290788</v>
      </c>
      <c r="F12" s="19">
        <f t="shared" si="3"/>
        <v>0.01632438125</v>
      </c>
      <c r="G12" s="19">
        <f t="shared" si="3"/>
        <v>0.01761658031</v>
      </c>
      <c r="H12" s="19">
        <f t="shared" si="3"/>
        <v>0.01221995927</v>
      </c>
      <c r="I12" s="19">
        <f t="shared" si="3"/>
        <v>0.01961770624</v>
      </c>
      <c r="J12" s="19">
        <f t="shared" si="3"/>
        <v>0.03206709423</v>
      </c>
      <c r="K12" s="19">
        <f t="shared" si="3"/>
        <v>0.03273422562</v>
      </c>
      <c r="L12" s="19">
        <f t="shared" si="3"/>
        <v>0.03109957047</v>
      </c>
      <c r="M12" s="19">
        <f t="shared" si="3"/>
        <v>0.007308084232</v>
      </c>
      <c r="N12" s="19">
        <f t="shared" si="3"/>
        <v>0.01369905747</v>
      </c>
      <c r="O12" s="19">
        <f t="shared" si="3"/>
        <v>0.02602992056</v>
      </c>
      <c r="P12" s="19">
        <f t="shared" si="3"/>
        <v>0.0268220575</v>
      </c>
      <c r="Q12" s="19">
        <f t="shared" si="3"/>
        <v>0.02250365116</v>
      </c>
      <c r="R12" s="19">
        <f t="shared" si="3"/>
        <v>0.02832972172</v>
      </c>
      <c r="S12" s="19">
        <f t="shared" si="3"/>
        <v>0.02614044487</v>
      </c>
      <c r="T12" s="19">
        <f t="shared" si="3"/>
        <v>0.03005739214</v>
      </c>
      <c r="U12" s="19">
        <f t="shared" si="3"/>
        <v>0.03221397891</v>
      </c>
      <c r="V12" s="19">
        <f t="shared" si="3"/>
        <v>0.03865068164</v>
      </c>
    </row>
    <row r="13">
      <c r="A13" s="2" t="s">
        <v>39</v>
      </c>
      <c r="B13" s="7"/>
      <c r="C13" s="7"/>
      <c r="D13" s="7"/>
      <c r="E13" s="20">
        <f t="shared" ref="E13:V13" si="4">(E11/$D11)-1</f>
        <v>0.0538290788</v>
      </c>
      <c r="F13" s="20">
        <f t="shared" si="4"/>
        <v>0.07103218646</v>
      </c>
      <c r="G13" s="20">
        <f t="shared" si="4"/>
        <v>0.08990011099</v>
      </c>
      <c r="H13" s="20">
        <f t="shared" si="4"/>
        <v>0.1032186459</v>
      </c>
      <c r="I13" s="20">
        <f t="shared" si="4"/>
        <v>0.1248612653</v>
      </c>
      <c r="J13" s="20">
        <f t="shared" si="4"/>
        <v>0.1609322974</v>
      </c>
      <c r="K13" s="20">
        <f t="shared" si="4"/>
        <v>0.1989345172</v>
      </c>
      <c r="L13" s="20">
        <f t="shared" si="4"/>
        <v>0.2362208657</v>
      </c>
      <c r="M13" s="20">
        <f t="shared" si="4"/>
        <v>0.2452552719</v>
      </c>
      <c r="N13" s="20">
        <f t="shared" si="4"/>
        <v>0.2623140954</v>
      </c>
      <c r="O13" s="20">
        <f t="shared" si="4"/>
        <v>0.2951720311</v>
      </c>
      <c r="P13" s="20">
        <f t="shared" si="4"/>
        <v>0.3299112098</v>
      </c>
      <c r="Q13" s="20">
        <f t="shared" si="4"/>
        <v>0.3598390677</v>
      </c>
      <c r="R13" s="20">
        <f t="shared" si="4"/>
        <v>0.3983629301</v>
      </c>
      <c r="S13" s="20">
        <f t="shared" si="4"/>
        <v>0.4349167592</v>
      </c>
      <c r="T13" s="20">
        <f t="shared" si="4"/>
        <v>0.4780466149</v>
      </c>
      <c r="U13" s="20">
        <f t="shared" si="4"/>
        <v>0.5256603774</v>
      </c>
      <c r="V13" s="20">
        <f t="shared" si="4"/>
        <v>0.5846281909</v>
      </c>
    </row>
    <row r="14">
      <c r="A14" s="2" t="s">
        <v>50</v>
      </c>
      <c r="B14" s="7"/>
      <c r="C14" s="7"/>
      <c r="D14" s="7"/>
      <c r="E14" s="7"/>
      <c r="F14" s="7"/>
      <c r="G14" s="7"/>
      <c r="H14" s="7"/>
      <c r="I14" s="7"/>
      <c r="J14" s="20">
        <f t="shared" ref="J14:V14" si="5">(J11/$I11)-1</f>
        <v>0.03206709423</v>
      </c>
      <c r="K14" s="20">
        <f t="shared" si="5"/>
        <v>0.06585101135</v>
      </c>
      <c r="L14" s="20">
        <f t="shared" si="5"/>
        <v>0.09899851998</v>
      </c>
      <c r="M14" s="20">
        <f t="shared" si="5"/>
        <v>0.1070300937</v>
      </c>
      <c r="N14" s="20">
        <f t="shared" si="5"/>
        <v>0.1221953626</v>
      </c>
      <c r="O14" s="20">
        <f t="shared" si="5"/>
        <v>0.1514060187</v>
      </c>
      <c r="P14" s="20">
        <f t="shared" si="5"/>
        <v>0.1822890972</v>
      </c>
      <c r="Q14" s="20">
        <f t="shared" si="5"/>
        <v>0.2088949186</v>
      </c>
      <c r="R14" s="20">
        <f t="shared" si="5"/>
        <v>0.2431425752</v>
      </c>
      <c r="S14" s="20">
        <f t="shared" si="5"/>
        <v>0.2756388752</v>
      </c>
      <c r="T14" s="20">
        <f t="shared" si="5"/>
        <v>0.3139812531</v>
      </c>
      <c r="U14" s="20">
        <f t="shared" si="5"/>
        <v>0.3563098175</v>
      </c>
      <c r="V14" s="20">
        <f t="shared" si="5"/>
        <v>0.4087321164</v>
      </c>
    </row>
    <row r="15">
      <c r="A15" s="2" t="s">
        <v>51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0">
        <f t="shared" ref="O15:V15" si="6">(O11/$N11)-1</f>
        <v>0.02602992056</v>
      </c>
      <c r="P15" s="20">
        <f t="shared" si="6"/>
        <v>0.05355015409</v>
      </c>
      <c r="Q15" s="20">
        <f t="shared" si="6"/>
        <v>0.07725887923</v>
      </c>
      <c r="R15" s="20">
        <f t="shared" si="6"/>
        <v>0.1077773235</v>
      </c>
      <c r="S15" s="20">
        <f t="shared" si="6"/>
        <v>0.1367351156</v>
      </c>
      <c r="T15" s="20">
        <f t="shared" si="6"/>
        <v>0.1709024087</v>
      </c>
      <c r="U15" s="20">
        <f t="shared" si="6"/>
        <v>0.2086218342</v>
      </c>
      <c r="V15" s="20">
        <f t="shared" si="6"/>
        <v>0.2553358919</v>
      </c>
    </row>
    <row r="16">
      <c r="A16" s="2" t="s">
        <v>52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0">
        <f t="shared" ref="P16:V16" si="7">(P11/$O11)-1</f>
        <v>0.0268220575</v>
      </c>
      <c r="Q16" s="20">
        <f t="shared" si="7"/>
        <v>0.04992930288</v>
      </c>
      <c r="R16" s="20">
        <f t="shared" si="7"/>
        <v>0.07967350786</v>
      </c>
      <c r="S16" s="20">
        <f t="shared" si="7"/>
        <v>0.1078966537</v>
      </c>
      <c r="T16" s="20">
        <f t="shared" si="7"/>
        <v>0.1411971378</v>
      </c>
      <c r="U16" s="20">
        <f t="shared" si="7"/>
        <v>0.1779596384</v>
      </c>
      <c r="V16" s="20">
        <f t="shared" si="7"/>
        <v>0.2234885813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3.43"/>
  </cols>
  <sheetData>
    <row r="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"/>
    </row>
    <row r="2">
      <c r="A2" s="6"/>
      <c r="B2" s="4">
        <v>1998.0</v>
      </c>
      <c r="C2" s="4">
        <v>1999.0</v>
      </c>
      <c r="D2" s="4">
        <v>2000.0</v>
      </c>
      <c r="E2" s="4">
        <v>2001.0</v>
      </c>
      <c r="F2" s="4">
        <v>2002.0</v>
      </c>
      <c r="G2" s="4">
        <v>2003.0</v>
      </c>
      <c r="H2" s="4">
        <v>2004.0</v>
      </c>
      <c r="I2" s="4">
        <v>2005.0</v>
      </c>
      <c r="J2" s="4">
        <v>2006.0</v>
      </c>
      <c r="K2" s="4">
        <v>2007.0</v>
      </c>
      <c r="L2" s="4">
        <v>2008.0</v>
      </c>
      <c r="M2" s="4">
        <v>2009.0</v>
      </c>
      <c r="N2" s="4">
        <v>2010.0</v>
      </c>
      <c r="O2" s="4">
        <v>2011.0</v>
      </c>
      <c r="P2" s="4">
        <v>2012.0</v>
      </c>
      <c r="Q2" s="4">
        <v>2013.0</v>
      </c>
      <c r="R2" s="4">
        <v>2014.0</v>
      </c>
      <c r="S2" s="4">
        <v>2015.0</v>
      </c>
      <c r="T2" s="4">
        <v>2016.0</v>
      </c>
      <c r="U2" s="4">
        <v>2017.0</v>
      </c>
      <c r="V2" s="4">
        <v>2018.0</v>
      </c>
      <c r="W2" s="4"/>
      <c r="X2" s="4"/>
      <c r="Y2" s="4"/>
      <c r="Z2" s="4"/>
      <c r="AA2" s="4"/>
    </row>
    <row r="3">
      <c r="A3" s="1" t="s">
        <v>12</v>
      </c>
      <c r="B3" s="7">
        <f>Tuition!F3+'Campus Fee'!F3+'Registration (Student Services)'!F3+'Transit Fee'!F3+'Health Insurance Fee'!F3+'Other Misc fees'!B3</f>
        <v>2204.25</v>
      </c>
      <c r="C3" s="7">
        <f>Tuition!G3+'Campus Fee'!G3+'Registration (Student Services)'!G3+'Transit Fee'!G3+'Health Insurance Fee'!G3+'Other Misc fees'!C3</f>
        <v>2134.25</v>
      </c>
      <c r="D3" s="7">
        <f>Tuition!H3+'Campus Fee'!H3+'Registration (Student Services)'!H3+'Transit Fee'!H3+'Health Insurance Fee'!H3+'Other Misc fees'!D3</f>
        <v>2134.25</v>
      </c>
      <c r="E3" s="7">
        <f>Tuition!I3+'Campus Fee'!I3+'Registration (Student Services)'!I3+'Transit Fee'!I3+'Health Insurance Fee'!I3+'Other Misc fees'!E3</f>
        <v>2174.25</v>
      </c>
      <c r="F3" s="7">
        <f>Tuition!J3+'Campus Fee'!J3+'Registration (Student Services)'!J3+'Transit Fee'!J3+'Health Insurance Fee'!J3+'Other Misc fees'!F3</f>
        <v>2350.45</v>
      </c>
      <c r="G3" s="7">
        <f>Tuition!K3+'Campus Fee'!K3+'Registration (Student Services)'!K3+'Transit Fee'!K3+'Health Insurance Fee'!K3+'Other Misc fees'!G3</f>
        <v>3084.45</v>
      </c>
      <c r="H3" s="7">
        <f>Tuition!L3+'Campus Fee'!L3+'Registration (Student Services)'!L3+'Transit Fee'!L3+'Health Insurance Fee'!L3+'Other Misc fees'!H3</f>
        <v>3728.45</v>
      </c>
      <c r="I3" s="7">
        <f>Tuition!M3+'Campus Fee'!M3+'Registration (Student Services)'!M3+'Transit Fee'!M3+'Health Insurance Fee'!M3+'Other Misc fees'!I3</f>
        <v>4219.95</v>
      </c>
      <c r="J3" s="7">
        <f>Tuition!N3+'Campus Fee'!N3+'Registration (Student Services)'!N3+'Transit Fee'!N3+'Health Insurance Fee'!N3+'Other Misc fees'!J3</f>
        <v>4433.75</v>
      </c>
      <c r="K3" s="7">
        <f>Tuition!O3+'Campus Fee'!O3+'Registration (Student Services)'!O3+'Transit Fee'!O3+'Health Insurance Fee'!O3+'Other Misc fees'!K3</f>
        <v>4788.5</v>
      </c>
      <c r="L3" s="7">
        <f>Tuition!P3+'Campus Fee'!P3+'Registration (Student Services)'!P3+'Transit Fee'!P3+'Health Insurance Fee'!P3+'Other Misc fees'!L3</f>
        <v>5106.75</v>
      </c>
      <c r="M3" s="7">
        <f>Tuition!Q3+'Campus Fee'!Q3+'Registration (Student Services)'!Q3+'Transit Fee'!Q3+'Health Insurance Fee'!Q3+'Other Misc fees'!M3</f>
        <v>5671.75</v>
      </c>
      <c r="N3" s="7">
        <f>Tuition!R3+'Campus Fee'!R3+'Registration (Student Services)'!R3+'Transit Fee'!R3+'Health Insurance Fee'!R3+'Other Misc fees'!N3</f>
        <v>6474.75</v>
      </c>
      <c r="O3" s="7">
        <f>Tuition!S3+'Campus Fee'!S3+'Registration (Student Services)'!S3+'Transit Fee'!S3+'Health Insurance Fee'!S3+'Other Misc fees'!O3</f>
        <v>7501.5</v>
      </c>
      <c r="P3" s="7">
        <f>Tuition!T3+'Campus Fee'!T3+'Registration (Student Services)'!T3+'Transit Fee'!T3+'Health Insurance Fee'!T3+'Other Misc fees'!P3</f>
        <v>7669.75</v>
      </c>
      <c r="Q3" s="7">
        <f>Tuition!U3+'Campus Fee'!U3+'Registration (Student Services)'!U3+'Transit Fee'!U3+'Health Insurance Fee'!U3+'Other Misc fees'!Q3</f>
        <v>7900.75</v>
      </c>
      <c r="R3" s="7">
        <f>Tuition!V3+'Campus Fee'!V3+'Registration (Student Services)'!V3+'Transit Fee'!V3+'Health Insurance Fee'!V3+'Other Misc fees'!R3</f>
        <v>8146.75</v>
      </c>
      <c r="S3" s="7">
        <f>Tuition!W3+'Campus Fee'!W3+'Registration (Student Services)'!W3+'Transit Fee'!W3+'Health Insurance Fee'!W3+'Other Misc fees'!S3</f>
        <v>8678.25</v>
      </c>
      <c r="T3" s="7">
        <f>Tuition!X3+'Campus Fee'!X3+'Registration (Student Services)'!X3+'Transit Fee'!X3+'Health Insurance Fee'!X3+'Other Misc fees'!T3</f>
        <v>8914.25</v>
      </c>
      <c r="U3" s="7">
        <f>Tuition!Y3+'Campus Fee'!Y3+'Registration (Student Services)'!Y3+'Transit Fee'!Y3+'Health Insurance Fee'!Y3+'Other Misc fees'!U3</f>
        <v>9404.75</v>
      </c>
      <c r="V3" s="7">
        <f>Tuition!Z3+'Campus Fee'!Z3+'Registration (Student Services)'!Z3+'Transit Fee'!Z3+'Health Insurance Fee'!Z3+'Other Misc fees'!V3</f>
        <v>9530.5</v>
      </c>
    </row>
    <row r="4">
      <c r="A4" s="13" t="s">
        <v>14</v>
      </c>
      <c r="B4" s="7">
        <f>Tuition!F4+'Campus Fee'!F4+'Registration (Student Services)'!F4+'Transit Fee'!F4+'Health Insurance Fee'!F4+PDST!F3+'Other Misc fees'!B4</f>
        <v>3704.25</v>
      </c>
      <c r="C4" s="7">
        <f>Tuition!G4+'Campus Fee'!G4+'Registration (Student Services)'!G4+'Transit Fee'!G4+'Health Insurance Fee'!G4+PDST!G3+'Other Misc fees'!C4</f>
        <v>3729.25</v>
      </c>
      <c r="D4" s="7">
        <f>Tuition!H4+'Campus Fee'!H4+'Registration (Student Services)'!H4+'Transit Fee'!H4+'Health Insurance Fee'!H4+PDST!H3+'Other Misc fees'!D4</f>
        <v>3729.25</v>
      </c>
      <c r="E4" s="7">
        <f>Tuition!I4+'Campus Fee'!I4+'Registration (Student Services)'!I4+'Transit Fee'!I4+'Health Insurance Fee'!I4+PDST!I3+'Other Misc fees'!E4</f>
        <v>3769.25</v>
      </c>
      <c r="F4" s="7">
        <f>Tuition!J4+'Campus Fee'!J4+'Registration (Student Services)'!J4+'Transit Fee'!J4+'Health Insurance Fee'!J4+PDST!J3+'Other Misc fees'!F4</f>
        <v>3945.45</v>
      </c>
      <c r="G4" s="7">
        <f>Tuition!K4+'Campus Fee'!K4+'Registration (Student Services)'!K4+'Transit Fee'!K4+'Health Insurance Fee'!K4+PDST!K3+'Other Misc fees'!G4</f>
        <v>5644.45</v>
      </c>
      <c r="H4" s="7">
        <f>Tuition!L4+'Campus Fee'!L4+'Registration (Student Services)'!L4+'Transit Fee'!L4+'Health Insurance Fee'!L4+PDST!L3+'Other Misc fees'!H4</f>
        <v>7663.45</v>
      </c>
      <c r="I4" s="7">
        <f>Tuition!M4+'Campus Fee'!M4+'Registration (Student Services)'!M4+'Transit Fee'!M4+'Health Insurance Fee'!M4+PDST!M3+'Other Misc fees'!I4</f>
        <v>9039.95</v>
      </c>
      <c r="J4" s="7">
        <f>Tuition!N4+'Campus Fee'!N4+'Registration (Student Services)'!N4+'Transit Fee'!N4+'Health Insurance Fee'!N4+PDST!N3+'Other Misc fees'!J4</f>
        <v>9327.25</v>
      </c>
      <c r="K4" s="7">
        <f>Tuition!O4+'Campus Fee'!O4+'Registration (Student Services)'!O4+'Transit Fee'!O4+'Health Insurance Fee'!O4+PDST!O3+'Other Misc fees'!K4</f>
        <v>9464.5</v>
      </c>
      <c r="L4" s="7">
        <f>Tuition!P4+'Campus Fee'!P4+'Registration (Student Services)'!P4+'Transit Fee'!P4+'Health Insurance Fee'!P4+PDST!P3+'Other Misc fees'!L4</f>
        <v>10109.75</v>
      </c>
      <c r="M4" s="7">
        <f>Tuition!Q4+'Campus Fee'!Q4+'Registration (Student Services)'!Q4+'Transit Fee'!Q4+'Health Insurance Fee'!Q4+PDST!Q3+'Other Misc fees'!M4</f>
        <v>11407.75</v>
      </c>
      <c r="N4" s="7">
        <f>Tuition!R4+'Campus Fee'!R4+'Registration (Student Services)'!R4+'Transit Fee'!R4+'Health Insurance Fee'!R4+PDST!R3+'Other Misc fees'!N4</f>
        <v>13039.75</v>
      </c>
      <c r="O4" s="7">
        <f>Tuition!S4+'Campus Fee'!S4+'Registration (Student Services)'!S4+'Transit Fee'!S4+'Health Insurance Fee'!S4+PDST!S3+'Other Misc fees'!O4</f>
        <v>14838.5</v>
      </c>
      <c r="P4" s="7">
        <f>Tuition!T4+'Campus Fee'!T4+'Registration (Student Services)'!T4+'Transit Fee'!T4+'Health Insurance Fee'!T4+PDST!T3+'Other Misc fees'!P4</f>
        <v>15907.75</v>
      </c>
      <c r="Q4" s="7">
        <f>Tuition!U4+'Campus Fee'!U4+'Registration (Student Services)'!U4+'Transit Fee'!U4+'Health Insurance Fee'!U4+PDST!U3+'Other Misc fees'!Q4</f>
        <v>16139.75</v>
      </c>
      <c r="R4" s="7">
        <f>Tuition!V4+'Campus Fee'!V4+'Registration (Student Services)'!V4+'Transit Fee'!V4+'Health Insurance Fee'!V4+PDST!V3+'Other Misc fees'!R4</f>
        <v>16386.75</v>
      </c>
      <c r="S4" s="7">
        <f>Tuition!W4+'Campus Fee'!W4+'Registration (Student Services)'!W4+'Transit Fee'!W4+'Health Insurance Fee'!W4+PDST!W3+'Other Misc fees'!S4</f>
        <v>17330.25</v>
      </c>
      <c r="T4" s="7">
        <f>Tuition!X4+'Campus Fee'!X4+'Registration (Student Services)'!X4+'Transit Fee'!X4+'Health Insurance Fee'!X4+PDST!X3+'Other Misc fees'!T4</f>
        <v>17567.25</v>
      </c>
      <c r="U4" s="7">
        <f>Tuition!Y4+'Campus Fee'!Y4+'Registration (Student Services)'!Y4+'Transit Fee'!Y4+'Health Insurance Fee'!Y4+PDST!Y3+'Other Misc fees'!U4</f>
        <v>18057.75</v>
      </c>
      <c r="V4" s="7">
        <f>Tuition!Z4+'Campus Fee'!Z4+'Registration (Student Services)'!Z4+'Transit Fee'!Z4+'Health Insurance Fee'!Z4+PDST!Z3+'Other Misc fees'!V4</f>
        <v>18615.5</v>
      </c>
    </row>
    <row r="5">
      <c r="A5" s="13" t="s">
        <v>15</v>
      </c>
      <c r="B5" s="7">
        <f>Tuition!F5+'Campus Fee'!F5+'Registration (Student Services)'!F5+'Transit Fee'!F5+'Health Insurance Fee'!F5+PDST!F4+'Other Misc fees'!B5</f>
        <v>5407.25</v>
      </c>
      <c r="C5" s="7">
        <f>Tuition!G5+'Campus Fee'!G5+'Registration (Student Services)'!G5+'Transit Fee'!G5+'Health Insurance Fee'!G5+PDST!G4+'Other Misc fees'!C5</f>
        <v>5432.25</v>
      </c>
      <c r="D5" s="7">
        <f>Tuition!H5+'Campus Fee'!H5+'Registration (Student Services)'!H5+'Transit Fee'!H5+'Health Insurance Fee'!H5+PDST!H4+'Other Misc fees'!D5</f>
        <v>5432.25</v>
      </c>
      <c r="E5" s="7">
        <f>Tuition!I5+'Campus Fee'!I5+'Registration (Student Services)'!I5+'Transit Fee'!I5+'Health Insurance Fee'!I5+PDST!I4+'Other Misc fees'!E5</f>
        <v>5472.25</v>
      </c>
      <c r="F5" s="7">
        <f>Tuition!J5+'Campus Fee'!J5+'Registration (Student Services)'!J5+'Transit Fee'!J5+'Health Insurance Fee'!J5+PDST!J4+'Other Misc fees'!F5</f>
        <v>5648.45</v>
      </c>
      <c r="G5" s="7">
        <f>Tuition!K5+'Campus Fee'!K5+'Registration (Student Services)'!K5+'Transit Fee'!K5+'Health Insurance Fee'!K5+PDST!K4+'Other Misc fees'!G5</f>
        <v>8146.95</v>
      </c>
      <c r="H5" s="7">
        <f>Tuition!L5+'Campus Fee'!L5+'Registration (Student Services)'!L5+'Transit Fee'!L5+'Health Insurance Fee'!L5+PDST!L4+'Other Misc fees'!H5</f>
        <v>10765.45</v>
      </c>
      <c r="I5" s="7">
        <f>Tuition!M5+'Campus Fee'!M5+'Registration (Student Services)'!M5+'Transit Fee'!M5+'Health Insurance Fee'!M5+PDST!M4+'Other Misc fees'!I5</f>
        <v>12529.45</v>
      </c>
      <c r="J5" s="7">
        <f>Tuition!N5+'Campus Fee'!N5+'Registration (Student Services)'!N5+'Transit Fee'!N5+'Health Insurance Fee'!N5+PDST!N4+'Other Misc fees'!J5</f>
        <v>12738.25</v>
      </c>
      <c r="K5" s="7">
        <f>Tuition!O5+'Campus Fee'!O5+'Registration (Student Services)'!O5+'Transit Fee'!O5+'Health Insurance Fee'!O5+PDST!O4+'Other Misc fees'!K5</f>
        <v>13447.5</v>
      </c>
      <c r="L5" s="7">
        <f>Tuition!P5+'Campus Fee'!P5+'Registration (Student Services)'!P5+'Transit Fee'!P5+'Health Insurance Fee'!P5+PDST!P4+'Other Misc fees'!L5</f>
        <v>15471.75</v>
      </c>
      <c r="M5" s="7">
        <f>Tuition!Q5+'Campus Fee'!Q5+'Registration (Student Services)'!Q5+'Transit Fee'!Q5+'Health Insurance Fee'!Q5+PDST!Q4+'Other Misc fees'!M5</f>
        <v>18243.25</v>
      </c>
      <c r="N5" s="7">
        <f>Tuition!R5+'Campus Fee'!R5+'Registration (Student Services)'!R5+'Transit Fee'!R5+'Health Insurance Fee'!R5+PDST!R4+'Other Misc fees'!N5</f>
        <v>22122.25</v>
      </c>
      <c r="O5" s="7">
        <f>Tuition!S5+'Campus Fee'!S5+'Registration (Student Services)'!S5+'Transit Fee'!S5+'Health Insurance Fee'!S5+PDST!S4+'Other Misc fees'!O5</f>
        <v>25090.5</v>
      </c>
      <c r="P5" s="7">
        <f>Tuition!T5+'Campus Fee'!T5+'Registration (Student Services)'!T5+'Transit Fee'!T5+'Health Insurance Fee'!T5+PDST!T4+'Other Misc fees'!P5</f>
        <v>25211.75</v>
      </c>
      <c r="Q5" s="7">
        <f>Tuition!U5+'Campus Fee'!U5+'Registration (Student Services)'!U5+'Transit Fee'!U5+'Health Insurance Fee'!U5+PDST!U4+'Other Misc fees'!Q5</f>
        <v>25440.75</v>
      </c>
      <c r="R5" s="7">
        <f>Tuition!V5+'Campus Fee'!V5+'Registration (Student Services)'!V5+'Transit Fee'!V5+'Health Insurance Fee'!V5+PDST!V4+'Other Misc fees'!R5</f>
        <v>25685.75</v>
      </c>
      <c r="S5" s="7">
        <f>Tuition!W5+'Campus Fee'!W5+'Registration (Student Services)'!W5+'Transit Fee'!W5+'Health Insurance Fee'!W5+PDST!W4+'Other Misc fees'!S5</f>
        <v>26216.25</v>
      </c>
      <c r="T5" s="7">
        <f>Tuition!X5+'Campus Fee'!X5+'Registration (Student Services)'!X5+'Transit Fee'!X5+'Health Insurance Fee'!X5+PDST!X4+'Other Misc fees'!T5</f>
        <v>26452.25</v>
      </c>
      <c r="U5" s="7">
        <f>Tuition!Y5+'Campus Fee'!Y5+'Registration (Student Services)'!Y5+'Transit Fee'!Y5+'Health Insurance Fee'!Y5+PDST!Y4+'Other Misc fees'!U5</f>
        <v>26941.75</v>
      </c>
      <c r="V5" s="7">
        <f>Tuition!Z5+'Campus Fee'!Z5+'Registration (Student Services)'!Z5+'Transit Fee'!Z5+'Health Insurance Fee'!Z5+PDST!Z4+'Other Misc fees'!V5</f>
        <v>27065.5</v>
      </c>
    </row>
    <row r="6">
      <c r="A6" s="13" t="s">
        <v>16</v>
      </c>
      <c r="B6" s="7">
        <f>Tuition!F6+'Campus Fee'!F6+'Registration (Student Services)'!F6+'Transit Fee'!F6+'Health Insurance Fee'!F6+PDST!F5+'Other Misc fees'!B6</f>
        <v>5204.25</v>
      </c>
      <c r="C6" s="7">
        <f>Tuition!G6+'Campus Fee'!G6+'Registration (Student Services)'!G6+'Transit Fee'!G6+'Health Insurance Fee'!G6+PDST!G5+'Other Misc fees'!C6</f>
        <v>5229.25</v>
      </c>
      <c r="D6" s="7">
        <f>Tuition!H6+'Campus Fee'!H6+'Registration (Student Services)'!H6+'Transit Fee'!H6+'Health Insurance Fee'!H6+PDST!H5+'Other Misc fees'!D6</f>
        <v>5229.25</v>
      </c>
      <c r="E6" s="7">
        <f>Tuition!I6+'Campus Fee'!I6+'Registration (Student Services)'!I6+'Transit Fee'!I6+'Health Insurance Fee'!I6+PDST!I5+'Other Misc fees'!E6</f>
        <v>5269.25</v>
      </c>
      <c r="F6" s="7">
        <f>Tuition!J6+'Campus Fee'!J6+'Registration (Student Services)'!J6+'Transit Fee'!J6+'Health Insurance Fee'!J6+PDST!J5+'Other Misc fees'!F6</f>
        <v>5445.45</v>
      </c>
      <c r="G6" s="7">
        <f>Tuition!K6+'Campus Fee'!K6+'Registration (Student Services)'!K6+'Transit Fee'!K6+'Health Insurance Fee'!K6+PDST!K5+'Other Misc fees'!G6</f>
        <v>7886.95</v>
      </c>
      <c r="H6" s="7">
        <f>Tuition!L6+'Campus Fee'!L6+'Registration (Student Services)'!L6+'Transit Fee'!L6+'Health Insurance Fee'!L6+PDST!L5+'Other Misc fees'!H6</f>
        <v>10755.95</v>
      </c>
      <c r="I6" s="7">
        <f>Tuition!M6+'Campus Fee'!M6+'Registration (Student Services)'!M6+'Transit Fee'!M6+'Health Insurance Fee'!M6+PDST!M5+'Other Misc fees'!I6</f>
        <v>12519.45</v>
      </c>
      <c r="J6" s="7">
        <f>Tuition!N6+'Campus Fee'!N6+'Registration (Student Services)'!N6+'Transit Fee'!N6+'Health Insurance Fee'!N6+PDST!N5+'Other Misc fees'!J6</f>
        <v>12729.25</v>
      </c>
      <c r="K6" s="7">
        <f>Tuition!O6+'Campus Fee'!O6+'Registration (Student Services)'!O6+'Transit Fee'!O6+'Health Insurance Fee'!O6+PDST!O5+'Other Misc fees'!K6</f>
        <v>13439.5</v>
      </c>
      <c r="L6" s="7">
        <f>Tuition!P6+'Campus Fee'!P6+'Registration (Student Services)'!P6+'Transit Fee'!P6+'Health Insurance Fee'!P6+PDST!P5+'Other Misc fees'!L6</f>
        <v>15462.75</v>
      </c>
      <c r="M6" s="7">
        <f>Tuition!Q6+'Campus Fee'!Q6+'Registration (Student Services)'!Q6+'Transit Fee'!Q6+'Health Insurance Fee'!Q6+PDST!Q5+'Other Misc fees'!M6</f>
        <v>18236.25</v>
      </c>
      <c r="N6" s="7">
        <f>Tuition!R6+'Campus Fee'!R6+'Registration (Student Services)'!R6+'Transit Fee'!R6+'Health Insurance Fee'!R6+PDST!R5+'Other Misc fees'!N6</f>
        <v>20839.75</v>
      </c>
      <c r="O6" s="7">
        <f>Tuition!S6+'Campus Fee'!S6+'Registration (Student Services)'!S6+'Transit Fee'!S6+'Health Insurance Fee'!S6+PDST!S5+'Other Misc fees'!O6</f>
        <v>23216.5</v>
      </c>
      <c r="P6" s="7">
        <f>Tuition!T6+'Campus Fee'!T6+'Registration (Student Services)'!T6+'Transit Fee'!T6+'Health Insurance Fee'!T6+PDST!T5+'Other Misc fees'!P6</f>
        <v>26943.75</v>
      </c>
      <c r="Q6" s="7">
        <f>Tuition!U6+'Campus Fee'!U6+'Registration (Student Services)'!U6+'Transit Fee'!U6+'Health Insurance Fee'!U6+PDST!U5+'Other Misc fees'!Q6</f>
        <v>27174.75</v>
      </c>
      <c r="R6" s="7">
        <f>Tuition!V6+'Campus Fee'!V6+'Registration (Student Services)'!V6+'Transit Fee'!V6+'Health Insurance Fee'!V6+PDST!V5+'Other Misc fees'!R6</f>
        <v>27420.75</v>
      </c>
      <c r="S6" s="7">
        <f>Tuition!W6+'Campus Fee'!W6+'Registration (Student Services)'!W6+'Transit Fee'!W6+'Health Insurance Fee'!W6+PDST!W5+'Other Misc fees'!S6</f>
        <v>28916.25</v>
      </c>
      <c r="T6" s="7">
        <f>Tuition!X6+'Campus Fee'!X6+'Registration (Student Services)'!X6+'Transit Fee'!X6+'Health Insurance Fee'!X6+PDST!X5+'Other Misc fees'!T6</f>
        <v>28164.25</v>
      </c>
      <c r="U6" s="7">
        <f>Tuition!Y6+'Campus Fee'!Y6+'Registration (Student Services)'!Y6+'Transit Fee'!Y6+'Health Insurance Fee'!Y6+PDST!Y5+'Other Misc fees'!U6</f>
        <v>31716.75</v>
      </c>
      <c r="V6" s="7">
        <f>Tuition!Z6+'Campus Fee'!Z6+'Registration (Student Services)'!Z6+'Transit Fee'!Z6+'Health Insurance Fee'!Z6+PDST!Z5+'Other Misc fees'!V6</f>
        <v>32958.5</v>
      </c>
    </row>
    <row r="7">
      <c r="A7" s="13" t="s">
        <v>33</v>
      </c>
      <c r="B7" s="7">
        <f>Tuition!F7+'Campus Fee'!F7+'Registration (Student Services)'!F7+'Transit Fee'!F7+'Health Insurance Fee'!F7+PDST!F6+'Other Misc fees'!B7</f>
        <v>4922.75</v>
      </c>
      <c r="C7" s="7">
        <f>Tuition!G7+'Campus Fee'!G7+'Registration (Student Services)'!G7+'Transit Fee'!G7+'Health Insurance Fee'!G7+PDST!G6+'Other Misc fees'!C7</f>
        <v>4947.75</v>
      </c>
      <c r="D7" s="7">
        <f>Tuition!H7+'Campus Fee'!H7+'Registration (Student Services)'!H7+'Transit Fee'!H7+'Health Insurance Fee'!H7+PDST!H6+'Other Misc fees'!D7</f>
        <v>4947.75</v>
      </c>
      <c r="E7" s="7">
        <f>Tuition!I7+'Campus Fee'!I7+'Registration (Student Services)'!I7+'Transit Fee'!I7+'Health Insurance Fee'!I7+PDST!I6+'Other Misc fees'!E7</f>
        <v>4987.75</v>
      </c>
      <c r="F7" s="7">
        <f>Tuition!J7+'Campus Fee'!J7+'Registration (Student Services)'!J7+'Transit Fee'!J7+'Health Insurance Fee'!J7+PDST!J6+'Other Misc fees'!F7</f>
        <v>5163.95</v>
      </c>
      <c r="G7" s="7">
        <f>Tuition!K7+'Campus Fee'!K7+'Registration (Student Services)'!K7+'Transit Fee'!K7+'Health Insurance Fee'!K7+PDST!K6+'Other Misc fees'!G7</f>
        <v>7511.95</v>
      </c>
      <c r="H7" s="7">
        <f>Tuition!L7+'Campus Fee'!L7+'Registration (Student Services)'!L7+'Transit Fee'!L7+'Health Insurance Fee'!L7+PDST!L6+'Other Misc fees'!H7</f>
        <v>9880.95</v>
      </c>
      <c r="I7" s="7">
        <f>Tuition!M7+'Campus Fee'!M7+'Registration (Student Services)'!M7+'Transit Fee'!M7+'Health Insurance Fee'!M7+PDST!M6+'Other Misc fees'!I7</f>
        <v>10917.95</v>
      </c>
      <c r="J7" s="7">
        <f>Tuition!N7+'Campus Fee'!N7+'Registration (Student Services)'!N7+'Transit Fee'!N7+'Health Insurance Fee'!N7+PDST!N6+'Other Misc fees'!J7</f>
        <v>11306.75</v>
      </c>
      <c r="K7" s="7">
        <f>Tuition!O7+'Campus Fee'!O7+'Registration (Student Services)'!O7+'Transit Fee'!O7+'Health Insurance Fee'!O7+PDST!O6+'Other Misc fees'!K7</f>
        <v>11580</v>
      </c>
      <c r="L7" s="7">
        <f>Tuition!P7+'Campus Fee'!P7+'Registration (Student Services)'!P7+'Transit Fee'!P7+'Health Insurance Fee'!P7+PDST!P6+'Other Misc fees'!L7</f>
        <v>12358.25</v>
      </c>
      <c r="M7" s="7">
        <f>Tuition!Q7+'Campus Fee'!Q7+'Registration (Student Services)'!Q7+'Transit Fee'!Q7+'Health Insurance Fee'!Q7+PDST!Q6+'Other Misc fees'!M7</f>
        <v>13109.25</v>
      </c>
      <c r="N7" s="7">
        <f>Tuition!R7+'Campus Fee'!R7+'Registration (Student Services)'!R7+'Transit Fee'!R7+'Health Insurance Fee'!R7+PDST!R6+'Other Misc fees'!N7</f>
        <v>15225.75</v>
      </c>
      <c r="O7" s="7">
        <f>Tuition!S7+'Campus Fee'!S7+'Registration (Student Services)'!S7+'Transit Fee'!S7+'Health Insurance Fee'!S7+PDST!S6+'Other Misc fees'!O7</f>
        <v>16850</v>
      </c>
      <c r="P7" s="7">
        <f>Tuition!T7+'Campus Fee'!T7+'Registration (Student Services)'!T7+'Transit Fee'!T7+'Health Insurance Fee'!T7+PDST!T6</f>
        <v>17546.75</v>
      </c>
      <c r="Q7" s="7">
        <f>Tuition!U7+'Campus Fee'!U7+'Registration (Student Services)'!U7+'Transit Fee'!U7+'Health Insurance Fee'!U7+PDST!U6</f>
        <v>17774.75</v>
      </c>
      <c r="R7" s="7">
        <f>Tuition!V7+'Campus Fee'!V7+'Registration (Student Services)'!V7+'Transit Fee'!V7+'Health Insurance Fee'!V7+PDST!V6</f>
        <v>18019.75</v>
      </c>
      <c r="S7" s="7">
        <f>Tuition!W7+'Campus Fee'!W7+'Registration (Student Services)'!W7+'Transit Fee'!W7+'Health Insurance Fee'!W7+PDST!W6</f>
        <v>18847.25</v>
      </c>
      <c r="T7" s="7">
        <f>Tuition!X7+'Campus Fee'!X7+'Registration (Student Services)'!X7+'Transit Fee'!X7+'Health Insurance Fee'!X7+PDST!X6</f>
        <v>19390.25</v>
      </c>
      <c r="U7" s="7">
        <f>Tuition!Y7+'Campus Fee'!Y7+'Registration (Student Services)'!Y7+'Transit Fee'!Y7+'Health Insurance Fee'!Y7+PDST!Y6</f>
        <v>20193.75</v>
      </c>
      <c r="V7" s="7">
        <f>Tuition!Z7+'Campus Fee'!Z7+'Registration (Student Services)'!Z7+'Transit Fee'!Z7+'Health Insurance Fee'!Z7+PDST!Z6</f>
        <v>20642.5</v>
      </c>
    </row>
    <row r="8">
      <c r="A8" s="13" t="s">
        <v>18</v>
      </c>
      <c r="B8" s="7"/>
      <c r="C8" s="7"/>
      <c r="D8" s="7"/>
      <c r="E8" s="7"/>
      <c r="F8" s="7"/>
      <c r="G8" s="7"/>
      <c r="H8" s="7"/>
      <c r="I8" s="7">
        <f>Tuition!M8+'Campus Fee'!M8+'Registration (Student Services)'!M8+'Transit Fee'!M8+'Health Insurance Fee'!M8+PDST!M7+'Other Misc fees'!I8</f>
        <v>6219.95</v>
      </c>
      <c r="J8" s="7">
        <f>Tuition!N8+'Campus Fee'!N8+'Registration (Student Services)'!N8+'Transit Fee'!N8+'Health Insurance Fee'!N8+PDST!N7+'Other Misc fees'!J8</f>
        <v>6433.75</v>
      </c>
      <c r="K8" s="7">
        <f>Tuition!O8+'Campus Fee'!O8+'Registration (Student Services)'!O8+'Transit Fee'!O8+'Health Insurance Fee'!O8+PDST!O7+'Other Misc fees'!K8</f>
        <v>6930.5</v>
      </c>
      <c r="L8" s="7">
        <f>Tuition!P8+'Campus Fee'!P8+'Registration (Student Services)'!P8+'Transit Fee'!P8+'Health Insurance Fee'!P8+PDST!P7+'Other Misc fees'!L8</f>
        <v>7377.25</v>
      </c>
      <c r="M8" s="7">
        <f>Tuition!Q8+'Campus Fee'!Q8+'Registration (Student Services)'!Q8+'Transit Fee'!Q8+'Health Insurance Fee'!Q8+PDST!Q7+'Other Misc fees'!M8</f>
        <v>8372.75</v>
      </c>
      <c r="N8" s="7">
        <f>Tuition!R8+'Campus Fee'!R8+'Registration (Student Services)'!R8+'Transit Fee'!R8+'Health Insurance Fee'!R8+PDST!R7+'Other Misc fees'!N8</f>
        <v>10257.25</v>
      </c>
      <c r="O8" s="7">
        <f>Tuition!S8+'Campus Fee'!S8+'Registration (Student Services)'!S8+'Transit Fee'!S8+'Health Insurance Fee'!S8+PDST!S7+'Other Misc fees'!O8</f>
        <v>10880.5</v>
      </c>
      <c r="P8" s="7">
        <f>Tuition!T8+'Campus Fee'!T8+'Registration (Student Services)'!T8+'Transit Fee'!T8+'Health Insurance Fee'!T8+PDST!T7+'Other Misc fees'!P8</f>
        <v>11285.75</v>
      </c>
      <c r="Q8" s="7">
        <f>Tuition!U8+'Campus Fee'!U8+'Registration (Student Services)'!U8+'Transit Fee'!U8+'Health Insurance Fee'!U8+PDST!U7+'Other Misc fees'!Q8</f>
        <v>11516.75</v>
      </c>
      <c r="R8" s="7">
        <f>Tuition!V8+'Campus Fee'!V8+'Registration (Student Services)'!V8+'Transit Fee'!V8+'Health Insurance Fee'!V8+PDST!V7+'Other Misc fees'!R8</f>
        <v>11762.75</v>
      </c>
      <c r="S8" s="7">
        <f>Tuition!W8+'Campus Fee'!W8+'Registration (Student Services)'!W8+'Transit Fee'!W8+'Health Insurance Fee'!W8+PDST!W7+'Other Misc fees'!S8</f>
        <v>12475.25</v>
      </c>
      <c r="T8" s="7">
        <f>Tuition!X8+'Campus Fee'!X8+'Registration (Student Services)'!X8+'Transit Fee'!X8+'Health Insurance Fee'!X8+PDST!X7+'Other Misc fees'!T8</f>
        <v>12901.25</v>
      </c>
      <c r="U8" s="7">
        <f>Tuition!Y8+'Campus Fee'!Y8+'Registration (Student Services)'!Y8+'Transit Fee'!Y8+'Health Insurance Fee'!Y8+PDST!Y7+'Other Misc fees'!U8</f>
        <v>13590.75</v>
      </c>
      <c r="V8" s="7">
        <f>Tuition!Z8+'Campus Fee'!Z8+'Registration (Student Services)'!Z8+'Transit Fee'!Z8+'Health Insurance Fee'!Z8+PDST!Z7+'Other Misc fees'!V8</f>
        <v>13925.5</v>
      </c>
    </row>
    <row r="9">
      <c r="A9" s="13" t="s">
        <v>19</v>
      </c>
      <c r="B9" s="7"/>
      <c r="C9" s="7"/>
      <c r="D9" s="7"/>
      <c r="E9" s="7"/>
      <c r="F9" s="7"/>
      <c r="G9" s="7"/>
      <c r="H9" s="7"/>
      <c r="I9" s="7">
        <f>Tuition!M9+'Campus Fee'!M9+'Registration (Student Services)'!M9+'Transit Fee'!M9+'Health Insurance Fee'!M9+PDST!M8+'Other Misc fees'!I9</f>
        <v>6219.95</v>
      </c>
      <c r="J9" s="7">
        <f>Tuition!N9+'Campus Fee'!N9+'Registration (Student Services)'!N9+'Transit Fee'!N9+'Health Insurance Fee'!N9+PDST!N8+'Other Misc fees'!J9</f>
        <v>6433.75</v>
      </c>
      <c r="K9" s="7">
        <f>Tuition!O9+'Campus Fee'!O9+'Registration (Student Services)'!O9+'Transit Fee'!O9+'Health Insurance Fee'!O9+PDST!O8+'Other Misc fees'!K9</f>
        <v>6930.5</v>
      </c>
      <c r="L9" s="7">
        <f>Tuition!P9+'Campus Fee'!P9+'Registration (Student Services)'!P9+'Transit Fee'!P9+'Health Insurance Fee'!P9+PDST!P8+'Other Misc fees'!L9</f>
        <v>7377.25</v>
      </c>
      <c r="M9" s="7">
        <f>Tuition!Q9+'Campus Fee'!Q9+'Registration (Student Services)'!Q9+'Transit Fee'!Q9+'Health Insurance Fee'!Q9+PDST!Q8+'Other Misc fees'!M9</f>
        <v>8440.75</v>
      </c>
      <c r="N9" s="7">
        <f>Tuition!R9+'Campus Fee'!R9+'Registration (Student Services)'!R9+'Transit Fee'!R9+'Health Insurance Fee'!R9+PDST!R8+'Other Misc fees'!N9</f>
        <v>9845.75</v>
      </c>
      <c r="O9" s="7">
        <f>Tuition!S9+'Campus Fee'!S9+'Registration (Student Services)'!S9+'Transit Fee'!S9+'Health Insurance Fee'!S9+PDST!S8+'Other Misc fees'!O9</f>
        <v>11146.5</v>
      </c>
      <c r="P9" s="7">
        <f>Tuition!T9+'Campus Fee'!T9+'Registration (Student Services)'!T9+'Transit Fee'!T9+'Health Insurance Fee'!T9+PDST!T8+'Other Misc fees'!P9</f>
        <v>11679.75</v>
      </c>
      <c r="Q9" s="7">
        <f>Tuition!U9+'Campus Fee'!U9+'Registration (Student Services)'!U9+'Transit Fee'!U9+'Health Insurance Fee'!U9+PDST!U8+'Other Misc fees'!Q9</f>
        <v>11910.75</v>
      </c>
      <c r="R9" s="7">
        <f>Tuition!V9+'Campus Fee'!V9+'Registration (Student Services)'!V9+'Transit Fee'!V9+'Health Insurance Fee'!V9+PDST!V8+'Other Misc fees'!R9</f>
        <v>12156.75</v>
      </c>
      <c r="S9" s="7">
        <f>Tuition!W9+'Campus Fee'!W9+'Registration (Student Services)'!W9+'Transit Fee'!W9+'Health Insurance Fee'!W9+PDST!W8+'Other Misc fees'!S9</f>
        <v>12889.25</v>
      </c>
      <c r="T9" s="7">
        <f>Tuition!X9+'Campus Fee'!X9+'Registration (Student Services)'!X9+'Transit Fee'!X9+'Health Insurance Fee'!X9+PDST!X8+'Other Misc fees'!T9</f>
        <v>13335.25</v>
      </c>
      <c r="U9" s="7">
        <f>Tuition!Y9+'Campus Fee'!Y9+'Registration (Student Services)'!Y9+'Transit Fee'!Y9+'Health Insurance Fee'!Y9+PDST!Y8+'Other Misc fees'!U9</f>
        <v>14046.75</v>
      </c>
      <c r="V9" s="7">
        <f>Tuition!Z9+'Campus Fee'!Z9+'Registration (Student Services)'!Z9+'Transit Fee'!Z9+'Health Insurance Fee'!Z9+PDST!Z8+'Other Misc fees'!V9</f>
        <v>14405.5</v>
      </c>
    </row>
    <row r="10">
      <c r="A10" s="13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Tuition!S10+'Campus Fee'!S10+'Registration (Student Services)'!S10+'Transit Fee'!S10+'Health Insurance Fee'!S10+PDST!S9+'Other Misc fees'!O10</f>
        <v>22501.5</v>
      </c>
      <c r="P10" s="7">
        <f>Tuition!T10+'Campus Fee'!T10+'Registration (Student Services)'!T10+'Transit Fee'!T10+'Health Insurance Fee'!T10+PDST!T9+'Other Misc fees'!P10</f>
        <v>23869.75</v>
      </c>
      <c r="Q10" s="7">
        <f>Tuition!U10+'Campus Fee'!U10+'Registration (Student Services)'!U10+'Transit Fee'!U10+'Health Insurance Fee'!U10+PDST!U9+'Other Misc fees'!Q10</f>
        <v>24100.75</v>
      </c>
      <c r="R10" s="7">
        <f>Tuition!V10+'Campus Fee'!V10+'Registration (Student Services)'!V10+'Transit Fee'!V10+'Health Insurance Fee'!V10+PDST!V9+'Other Misc fees'!R10</f>
        <v>24346.75</v>
      </c>
      <c r="S10" s="7">
        <f>Tuition!W10+'Campus Fee'!W10+'Registration (Student Services)'!W10+'Transit Fee'!W10+'Health Insurance Fee'!W10+PDST!W9+'Other Misc fees'!S10</f>
        <v>25528.25</v>
      </c>
      <c r="T10" s="7">
        <f>Tuition!X10+'Campus Fee'!X10+'Registration (Student Services)'!X10+'Transit Fee'!X10+'Health Insurance Fee'!X10+PDST!X9+'Other Misc fees'!T10</f>
        <v>25764.25</v>
      </c>
      <c r="U10" s="7">
        <f>Tuition!Y10+'Campus Fee'!Y10+'Registration (Student Services)'!Y10+'Transit Fee'!Y10+'Health Insurance Fee'!Y10+PDST!Y9+'Other Misc fees'!U10</f>
        <v>26254.75</v>
      </c>
      <c r="V10" s="7">
        <f>Tuition!Z10+'Campus Fee'!Z10+'Registration (Student Services)'!Z10+'Transit Fee'!Z10+'Health Insurance Fee'!Z10+PDST!Z9+'Other Misc fees'!V10</f>
        <v>26380.5</v>
      </c>
    </row>
    <row r="11">
      <c r="A11" s="13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>Tuition!R11+'Campus Fee'!R11+'Registration (Student Services)'!R11+'Transit Fee'!R11+'Health Insurance Fee'!R11+PDST!R10+'Other Misc fees'!N11</f>
        <v>9474.75</v>
      </c>
      <c r="O11" s="7">
        <f>Tuition!S11+'Campus Fee'!S11+'Registration (Student Services)'!S11+'Transit Fee'!S11+'Health Insurance Fee'!S11+PDST!S10+'Other Misc fees'!O11</f>
        <v>10501.5</v>
      </c>
      <c r="P11" s="7">
        <f>Tuition!T11+'Campus Fee'!T11+'Registration (Student Services)'!T11+'Transit Fee'!T11+'Health Insurance Fee'!T11+PDST!T10+'Other Misc fees'!P11</f>
        <v>10819.75</v>
      </c>
      <c r="Q11" s="7">
        <f>Tuition!U11+'Campus Fee'!U11+'Registration (Student Services)'!U11+'Transit Fee'!U11+'Health Insurance Fee'!U11+PDST!U10+'Other Misc fees'!Q11</f>
        <v>10900.75</v>
      </c>
      <c r="R11" s="7">
        <f>Tuition!V11+'Campus Fee'!V11+'Registration (Student Services)'!V11+'Transit Fee'!V11+'Health Insurance Fee'!V11+PDST!V10+'Other Misc fees'!R11</f>
        <v>11146.75</v>
      </c>
      <c r="S11" s="7">
        <f>Tuition!W11+'Campus Fee'!W11+'Registration (Student Services)'!W11+'Transit Fee'!W11+'Health Insurance Fee'!W11+PDST!W10+'Other Misc fees'!S11</f>
        <v>11678.25</v>
      </c>
      <c r="T11" s="7">
        <f>Tuition!X11+'Campus Fee'!X11+'Registration (Student Services)'!X11+'Transit Fee'!X11+'Health Insurance Fee'!X11+PDST!X10+'Other Misc fees'!T11</f>
        <v>12064.25</v>
      </c>
      <c r="U11" s="7">
        <f>Tuition!Y11+'Campus Fee'!Y11+'Registration (Student Services)'!Y11+'Transit Fee'!Y11+'Health Insurance Fee'!Y11+PDST!Y10+'Other Misc fees'!U11</f>
        <v>12711.75</v>
      </c>
      <c r="V11" s="7">
        <f>Tuition!Z11+'Campus Fee'!Z11+'Registration (Student Services)'!Z11+'Transit Fee'!Z11+'Health Insurance Fee'!Z11+PDST!Z10+'Other Misc fees'!V11</f>
        <v>13003.5</v>
      </c>
    </row>
    <row r="12">
      <c r="A12" s="13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Tuition!R12+'Campus Fee'!R12+'Registration (Student Services)'!R12+'Transit Fee'!R12+'Health Insurance Fee'!R12+PDST!R11+'Other Misc fees'!N12</f>
        <v>8474.75</v>
      </c>
      <c r="O12" s="7">
        <f>Tuition!S12+'Campus Fee'!S12+'Registration (Student Services)'!S12+'Transit Fee'!S12+'Health Insurance Fee'!S12+PDST!S11+'Other Misc fees'!O12</f>
        <v>9501.5</v>
      </c>
      <c r="P12" s="7">
        <f>Tuition!T12+'Campus Fee'!T12+'Registration (Student Services)'!T12+'Transit Fee'!T12+'Health Insurance Fee'!T12+PDST!T11+'Other Misc fees'!P12</f>
        <v>9669.75</v>
      </c>
      <c r="Q12" s="7">
        <f>Tuition!U12+'Campus Fee'!U12+'Registration (Student Services)'!U12+'Transit Fee'!U12+'Health Insurance Fee'!U12+PDST!U11+'Other Misc fees'!Q12</f>
        <v>9900.75</v>
      </c>
      <c r="R12" s="7">
        <f>Tuition!V12+'Campus Fee'!V12+'Registration (Student Services)'!V12+'Transit Fee'!V12+'Health Insurance Fee'!V12+PDST!V11+'Other Misc fees'!R12</f>
        <v>10146.75</v>
      </c>
      <c r="S12" s="7">
        <f>Tuition!W12+'Campus Fee'!W12+'Registration (Student Services)'!W12+'Transit Fee'!W12+'Health Insurance Fee'!W12+PDST!W11+'Other Misc fees'!S12</f>
        <v>10778.25</v>
      </c>
      <c r="T12" s="7">
        <f>Tuition!X12+'Campus Fee'!X12+'Registration (Student Services)'!X12+'Transit Fee'!X12+'Health Insurance Fee'!X12+PDST!X11+'Other Misc fees'!T12</f>
        <v>11113.25</v>
      </c>
      <c r="U12" s="7">
        <f>Tuition!Y12+'Campus Fee'!Y12+'Registration (Student Services)'!Y12+'Transit Fee'!Y12+'Health Insurance Fee'!Y12+PDST!Y11+'Other Misc fees'!U12</f>
        <v>11713.75</v>
      </c>
      <c r="V12" s="7">
        <f>Tuition!Z12+'Campus Fee'!Z12+'Registration (Student Services)'!Z12+'Transit Fee'!Z12+'Health Insurance Fee'!Z12+PDST!Z11+'Other Misc fees'!V12</f>
        <v>11954.5</v>
      </c>
    </row>
    <row r="13">
      <c r="A13" s="13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>Tuition!R13+'Campus Fee'!R13+'Registration (Student Services)'!R13+'Transit Fee'!R13+'Health Insurance Fee'!R13+PDST!R12+'Other Misc fees'!N13</f>
        <v>9474.75</v>
      </c>
      <c r="O13" s="7">
        <f>Tuition!S13+'Campus Fee'!S13+'Registration (Student Services)'!S13+'Transit Fee'!S13+'Health Insurance Fee'!S13+PDST!S12+'Other Misc fees'!O13</f>
        <v>10701.5</v>
      </c>
      <c r="P13" s="7">
        <f>Tuition!T13+'Campus Fee'!T13+'Registration (Student Services)'!T13+'Transit Fee'!T13+'Health Insurance Fee'!T13+PDST!T12+'Other Misc fees'!P13</f>
        <v>11069.75</v>
      </c>
      <c r="Q13" s="7">
        <f>Tuition!U13+'Campus Fee'!U13+'Registration (Student Services)'!U13+'Transit Fee'!U13+'Health Insurance Fee'!U13+PDST!U12+'Other Misc fees'!Q13</f>
        <v>11300.75</v>
      </c>
      <c r="R13" s="7">
        <f>Tuition!V13+'Campus Fee'!V13+'Registration (Student Services)'!V13+'Transit Fee'!V13+'Health Insurance Fee'!V13+PDST!V12+'Other Misc fees'!R13</f>
        <v>11546.75</v>
      </c>
      <c r="S13" s="7">
        <f>Tuition!W13+'Campus Fee'!W13+'Registration (Student Services)'!W13+'Transit Fee'!W13+'Health Insurance Fee'!W13+PDST!W12+'Other Misc fees'!S13</f>
        <v>12248.25</v>
      </c>
      <c r="T13" s="7">
        <f>Tuition!X13+'Campus Fee'!X13+'Registration (Student Services)'!X13+'Transit Fee'!X13+'Health Insurance Fee'!X13+PDST!X12+'Other Misc fees'!T13</f>
        <v>12484.25</v>
      </c>
      <c r="U13" s="7">
        <f>Tuition!Y13+'Campus Fee'!Y13+'Registration (Student Services)'!Y13+'Transit Fee'!Y13+'Health Insurance Fee'!Y13+PDST!Y12+'Other Misc fees'!U13</f>
        <v>13152.75</v>
      </c>
      <c r="V13" s="7">
        <f>Tuition!Z13+'Campus Fee'!Z13+'Registration (Student Services)'!Z13+'Transit Fee'!Z13+'Health Insurance Fee'!Z13+PDST!Z12+'Other Misc fees'!V13</f>
        <v>13466.5</v>
      </c>
    </row>
    <row r="14">
      <c r="A14" s="13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f>Tuition!T14+'Campus Fee'!T14+'Registration (Student Services)'!T14+'Transit Fee'!T14+'Health Insurance Fee'!T14+PDST!T13+'Other Misc fees'!P14</f>
        <v>18669.75</v>
      </c>
      <c r="Q14" s="7">
        <f>Tuition!U14+'Campus Fee'!U14+'Registration (Student Services)'!U14+'Transit Fee'!U14+'Health Insurance Fee'!U14+PDST!U13+'Other Misc fees'!Q14</f>
        <v>18900.75</v>
      </c>
      <c r="R14" s="7">
        <f>Tuition!V14+'Campus Fee'!V14+'Registration (Student Services)'!V14+'Transit Fee'!V14+'Health Insurance Fee'!V14+PDST!V13+'Other Misc fees'!R14</f>
        <v>19146.75</v>
      </c>
      <c r="S14" s="7">
        <f>Tuition!W14+'Campus Fee'!W14+'Registration (Student Services)'!W14+'Transit Fee'!W14+'Health Insurance Fee'!W14+PDST!W13+'Other Misc fees'!S14</f>
        <v>20228.25</v>
      </c>
      <c r="T14" s="7">
        <f>Tuition!X14+'Campus Fee'!X14+'Registration (Student Services)'!X14+'Transit Fee'!X14+'Health Insurance Fee'!X14+PDST!X13+'Other Misc fees'!T14</f>
        <v>21041.25</v>
      </c>
      <c r="U14" s="7">
        <f>Tuition!Y14+'Campus Fee'!Y14+'Registration (Student Services)'!Y14+'Transit Fee'!Y14+'Health Insurance Fee'!Y14+PDST!Y13+'Other Misc fees'!U14</f>
        <v>22137.75</v>
      </c>
      <c r="V14" s="7">
        <f>Tuition!Z14+'Campus Fee'!Z14+'Registration (Student Services)'!Z14+'Transit Fee'!Z14+'Health Insurance Fee'!Z14+PDST!Z13+'Other Misc fees'!V14</f>
        <v>23530.5</v>
      </c>
    </row>
    <row r="15">
      <c r="A15" s="13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f>Tuition!T15+'Campus Fee'!T15+'Registration (Student Services)'!T15+'Transit Fee'!T15+'Health Insurance Fee'!T15+PDST!T14+'Other Misc fees'!P15</f>
        <v>15169.75</v>
      </c>
      <c r="Q15" s="7">
        <f>Tuition!U15+'Campus Fee'!U15+'Registration (Student Services)'!U15+'Transit Fee'!U15+'Health Insurance Fee'!U15+PDST!U14+'Other Misc fees'!Q15</f>
        <v>15400.75</v>
      </c>
      <c r="R15" s="7">
        <f>Tuition!V15+'Campus Fee'!V15+'Registration (Student Services)'!V15+'Transit Fee'!V15+'Health Insurance Fee'!V15+PDST!V14+'Other Misc fees'!R15</f>
        <v>15646.75</v>
      </c>
      <c r="S15" s="7">
        <f>Tuition!W15+'Campus Fee'!W15+'Registration (Student Services)'!W15+'Transit Fee'!W15+'Health Insurance Fee'!W15+PDST!W14+'Other Misc fees'!S15</f>
        <v>16553.25</v>
      </c>
      <c r="T15" s="7">
        <f>Tuition!X15+'Campus Fee'!X15+'Registration (Student Services)'!X15+'Transit Fee'!X15+'Health Insurance Fee'!X15+PDST!X14+'Other Misc fees'!T15</f>
        <v>17543.25</v>
      </c>
      <c r="U15" s="7">
        <f>Tuition!Y15+'Campus Fee'!Y15+'Registration (Student Services)'!Y15+'Transit Fee'!Y15+'Health Insurance Fee'!Y15+PDST!Y14+'Other Misc fees'!U15</f>
        <v>18086.75</v>
      </c>
      <c r="V15" s="7">
        <f>Tuition!Z15+'Campus Fee'!Z15+'Registration (Student Services)'!Z15+'Transit Fee'!Z15+'Health Insurance Fee'!Z15+PDST!Z14+'Other Misc fees'!V15</f>
        <v>18646.5</v>
      </c>
    </row>
    <row r="16">
      <c r="A16" s="13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f>Tuition!T16+'Campus Fee'!T16+'Registration (Student Services)'!T16+'Transit Fee'!T16+'Health Insurance Fee'!T16+PDST!T15+'Other Misc fees'!P16</f>
        <v>16861.75</v>
      </c>
      <c r="Q16" s="7">
        <f>Tuition!U16+'Campus Fee'!U16+'Registration (Student Services)'!U16+'Transit Fee'!U16+'Health Insurance Fee'!U16+PDST!U15+'Other Misc fees'!Q16</f>
        <v>17092.75</v>
      </c>
      <c r="R16" s="7">
        <f>Tuition!V16+'Campus Fee'!V16+'Registration (Student Services)'!V16+'Transit Fee'!V16+'Health Insurance Fee'!V16+PDST!V15+'Other Misc fees'!R16</f>
        <v>17338.75</v>
      </c>
      <c r="S16" s="7">
        <f>Tuition!W16+'Campus Fee'!W16+'Registration (Student Services)'!W16+'Transit Fee'!W16+'Health Insurance Fee'!W16+PDST!W15+'Other Misc fees'!S16</f>
        <v>17978.25</v>
      </c>
      <c r="T16" s="7">
        <f>Tuition!X16+'Campus Fee'!X16+'Registration (Student Services)'!X16+'Transit Fee'!X16+'Health Insurance Fee'!X16+PDST!X15+'Other Misc fees'!T16</f>
        <v>18214.25</v>
      </c>
      <c r="U16" s="7">
        <f>Tuition!Y16+'Campus Fee'!Y16+'Registration (Student Services)'!Y16+'Transit Fee'!Y16+'Health Insurance Fee'!Y16+PDST!Y15+'Other Misc fees'!U16</f>
        <v>18704.75</v>
      </c>
      <c r="V16" s="7">
        <f>Tuition!Z16+'Campus Fee'!Z16+'Registration (Student Services)'!Z16+'Transit Fee'!Z16+'Health Insurance Fee'!Z16+PDST!Z15+'Other Misc fees'!V16</f>
        <v>19202.5</v>
      </c>
    </row>
    <row r="17">
      <c r="A17" s="13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f>Tuition!V17+'Campus Fee'!V17+'Registration (Student Services)'!V17+'Transit Fee'!V17+'Health Insurance Fee'!V17+PDST!V16+'Other Misc fees'!R17</f>
        <v>23311.75</v>
      </c>
      <c r="S17" s="7">
        <f>Tuition!W17+'Campus Fee'!W17+'Registration (Student Services)'!W17+'Transit Fee'!W17+'Health Insurance Fee'!W17+PDST!W16+'Other Misc fees'!S17</f>
        <v>24449.25</v>
      </c>
      <c r="T17" s="7">
        <f>Tuition!X17+'Campus Fee'!X17+'Registration (Student Services)'!X17+'Transit Fee'!X17+'Health Insurance Fee'!X17+PDST!X16+'Other Misc fees'!T17</f>
        <v>25315.25</v>
      </c>
      <c r="U17" s="7">
        <f>Tuition!Y17+'Campus Fee'!Y17+'Registration (Student Services)'!Y17+'Transit Fee'!Y17+'Health Insurance Fee'!Y17+PDST!Y16+'Other Misc fees'!U17</f>
        <v>26132.75</v>
      </c>
      <c r="V17" s="7">
        <f>Tuition!Z17+'Campus Fee'!Z17+'Registration (Student Services)'!Z17+'Transit Fee'!Z17+'Health Insurance Fee'!Z17+PDST!Z16+'Other Misc fees'!V17</f>
        <v>26258.5</v>
      </c>
    </row>
    <row r="18">
      <c r="A18" s="13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>Tuition!W18+'Campus Fee'!W18+'Registration (Student Services)'!W18+'Transit Fee'!W18+'Health Insurance Fee'!W18+PDST!W17+'Other Misc fees'!S18</f>
        <v>11678.25</v>
      </c>
      <c r="T18" s="7">
        <f>Tuition!X18+'Campus Fee'!X18+'Registration (Student Services)'!X18+'Transit Fee'!X18+'Health Insurance Fee'!X18+PDST!X17+'Other Misc fees'!T18</f>
        <v>11914.25</v>
      </c>
      <c r="U18" s="7">
        <f>Tuition!Y18+'Campus Fee'!Y18+'Registration (Student Services)'!Y18+'Transit Fee'!Y18+'Health Insurance Fee'!Y18+PDST!Y17+'Other Misc fees'!U18</f>
        <v>12404.75</v>
      </c>
      <c r="V18" s="7">
        <f>Tuition!Z18+'Campus Fee'!Z18+'Registration (Student Services)'!Z18+'Transit Fee'!Z18+'Health Insurance Fee'!Z18+PDST!Z17+'Other Misc fees'!V18</f>
        <v>12530.5</v>
      </c>
    </row>
    <row r="19">
      <c r="A19" s="13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13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f>Tuition!X20+'Campus Fee'!X20+'Registration (Student Services)'!X20+'Transit Fee'!X20+'Health Insurance Fee'!X20+PDST!X19+'Other Misc fees'!T20</f>
        <v>12664.25</v>
      </c>
      <c r="U20" s="7">
        <f>Tuition!Y20+'Campus Fee'!Y20+'Registration (Student Services)'!Y20+'Transit Fee'!Y20+'Health Insurance Fee'!Y20+PDST!Y19+'Other Misc fees'!U20</f>
        <v>13154.75</v>
      </c>
      <c r="V20" s="7">
        <f>Tuition!Z20+'Campus Fee'!Z20+'Registration (Student Services)'!Z20+'Transit Fee'!Z20+'Health Insurance Fee'!Z20+PDST!Z19+'Other Misc fees'!V20</f>
        <v>13280.5</v>
      </c>
    </row>
    <row r="21">
      <c r="A21" s="13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f>Tuition!Y21+'Campus Fee'!Y21+'Registration (Student Services)'!Y21+'Transit Fee'!Y21+'Health Insurance Fee'!Y21+PDST!Y20+'Other Misc fees'!U21</f>
        <v>12404.75</v>
      </c>
      <c r="V21" s="7">
        <f>Tuition!Z21+'Campus Fee'!Z21+'Registration (Student Services)'!Z21+'Transit Fee'!Z21+'Health Insurance Fee'!Z21+PDST!Z20+'Other Misc fees'!V21</f>
        <v>12650.5</v>
      </c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3.86"/>
  </cols>
  <sheetData>
    <row r="1">
      <c r="A1" s="1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4">
        <v>1998.0</v>
      </c>
      <c r="C2" s="4">
        <v>1999.0</v>
      </c>
      <c r="D2" s="4">
        <v>2000.0</v>
      </c>
      <c r="E2" s="4">
        <v>2001.0</v>
      </c>
      <c r="F2" s="4">
        <v>2002.0</v>
      </c>
      <c r="G2" s="4">
        <v>2003.0</v>
      </c>
      <c r="H2" s="4">
        <v>2004.0</v>
      </c>
      <c r="I2" s="4">
        <v>2005.0</v>
      </c>
      <c r="J2" s="4">
        <v>2006.0</v>
      </c>
      <c r="K2" s="4">
        <v>2007.0</v>
      </c>
      <c r="L2" s="4">
        <v>2008.0</v>
      </c>
      <c r="M2" s="4">
        <v>2009.0</v>
      </c>
      <c r="N2" s="4">
        <v>2010.0</v>
      </c>
      <c r="O2" s="4">
        <v>2011.0</v>
      </c>
      <c r="P2" s="4">
        <v>2012.0</v>
      </c>
      <c r="Q2" s="4">
        <v>2013.0</v>
      </c>
      <c r="R2" s="4">
        <v>2014.0</v>
      </c>
      <c r="S2" s="4">
        <v>2015.0</v>
      </c>
      <c r="T2" s="4">
        <v>2016.0</v>
      </c>
      <c r="U2" s="4">
        <v>2017.0</v>
      </c>
      <c r="V2" s="4">
        <v>2018.0</v>
      </c>
      <c r="W2" s="4"/>
      <c r="X2" s="4"/>
      <c r="Y2" s="4"/>
      <c r="Z2" s="4"/>
      <c r="AA2" s="4"/>
    </row>
    <row r="3">
      <c r="A3" s="1" t="s">
        <v>12</v>
      </c>
      <c r="B3" s="7">
        <f>'Total In-State'!B3+NRST!F3</f>
        <v>6896.25</v>
      </c>
      <c r="C3" s="7">
        <f>'Total In-State'!C3+NRST!G3</f>
        <v>7131.25</v>
      </c>
      <c r="D3" s="7">
        <f>'Total In-State'!D3+NRST!H3</f>
        <v>7131.25</v>
      </c>
      <c r="E3" s="7">
        <f>'Total In-State'!E3+NRST!I3</f>
        <v>7621.25</v>
      </c>
      <c r="F3" s="7">
        <f>'Total In-State'!F3+NRST!J3</f>
        <v>8011.45</v>
      </c>
      <c r="G3" s="7">
        <f>'Total In-State'!G3+NRST!K3</f>
        <v>9329.95</v>
      </c>
      <c r="H3" s="7">
        <f>'Total In-State'!H3+NRST!L3</f>
        <v>9973.45</v>
      </c>
      <c r="I3" s="7">
        <f>'Total In-State'!I3+NRST!M3</f>
        <v>11700.45</v>
      </c>
      <c r="J3" s="7">
        <f>'Total In-State'!J3+NRST!N3</f>
        <v>11914.25</v>
      </c>
      <c r="K3" s="7">
        <f>'Total In-State'!K3+NRST!O3</f>
        <v>12282.5</v>
      </c>
      <c r="L3" s="7">
        <f>'Total In-State'!L3+NRST!P3</f>
        <v>12609.75</v>
      </c>
      <c r="M3" s="7">
        <f>'Total In-State'!M3+NRST!Q3</f>
        <v>13018.5</v>
      </c>
      <c r="N3" s="7">
        <f>'Total In-State'!N3+NRST!R3</f>
        <v>14025.75</v>
      </c>
      <c r="O3" s="7">
        <f>'Total In-State'!O3+NRST!S3</f>
        <v>15052.5</v>
      </c>
      <c r="P3" s="7">
        <f>'Total In-State'!P3+NRST!T3</f>
        <v>15220.75</v>
      </c>
      <c r="Q3" s="7">
        <f>'Total In-State'!Q3+NRST!U3</f>
        <v>15451.75</v>
      </c>
      <c r="R3" s="7">
        <f>'Total In-State'!R3+NRST!V3</f>
        <v>15697.75</v>
      </c>
      <c r="S3" s="7">
        <f>'Total In-State'!S3+NRST!W3</f>
        <v>16229.25</v>
      </c>
      <c r="T3" s="7">
        <f>'Total In-State'!T3+NRST!X3</f>
        <v>16465.25</v>
      </c>
      <c r="U3" s="7">
        <f>'Total In-State'!U3+NRST!Y3</f>
        <v>16955.75</v>
      </c>
      <c r="V3" s="7">
        <f>'Total In-State'!V3+NRST!Z3</f>
        <v>17081.5</v>
      </c>
    </row>
    <row r="4">
      <c r="A4" s="13" t="s">
        <v>14</v>
      </c>
      <c r="B4" s="7">
        <f>'Total In-State'!B4+NRST!F4</f>
        <v>8396.25</v>
      </c>
      <c r="C4" s="7">
        <f>'Total In-State'!C4+NRST!G4</f>
        <v>8631.25</v>
      </c>
      <c r="D4" s="7">
        <f>'Total In-State'!D4+NRST!H4</f>
        <v>8631.25</v>
      </c>
      <c r="E4" s="7">
        <f>'Total In-State'!E4+NRST!I4</f>
        <v>9121.25</v>
      </c>
      <c r="F4" s="7">
        <f>'Total In-State'!F4+NRST!J4</f>
        <v>9511.45</v>
      </c>
      <c r="G4" s="7">
        <f>'Total In-State'!G4+NRST!K4</f>
        <v>11767.45</v>
      </c>
      <c r="H4" s="7">
        <f>'Total In-State'!H4+NRST!L4</f>
        <v>13785.95</v>
      </c>
      <c r="I4" s="7">
        <f>'Total In-State'!I4+NRST!M4</f>
        <v>15162.45</v>
      </c>
      <c r="J4" s="7">
        <f>'Total In-State'!J4+NRST!N4</f>
        <v>15449.75</v>
      </c>
      <c r="K4" s="7">
        <f>'Total In-State'!K4+NRST!O4</f>
        <v>15587</v>
      </c>
      <c r="L4" s="7">
        <f>'Total In-State'!L4+NRST!P4</f>
        <v>16232.25</v>
      </c>
      <c r="M4" s="7">
        <f>'Total In-State'!M4+NRST!Q4</f>
        <v>17530.25</v>
      </c>
      <c r="N4" s="7">
        <f>'Total In-State'!N4+NRST!R4</f>
        <v>19162.25</v>
      </c>
      <c r="O4" s="7">
        <f>'Total In-State'!O4+NRST!S4</f>
        <v>20961</v>
      </c>
      <c r="P4" s="7">
        <f>'Total In-State'!P4+NRST!T4</f>
        <v>22030.25</v>
      </c>
      <c r="Q4" s="7">
        <f>'Total In-State'!Q4+NRST!U4</f>
        <v>22262.25</v>
      </c>
      <c r="R4" s="7">
        <f>'Total In-State'!R4+NRST!V4</f>
        <v>22509.25</v>
      </c>
      <c r="S4" s="7">
        <f>'Total In-State'!S4+NRST!W4</f>
        <v>23452.75</v>
      </c>
      <c r="T4" s="7">
        <f>'Total In-State'!T4+NRST!X4</f>
        <v>23278.75</v>
      </c>
      <c r="U4" s="7">
        <f>'Total In-State'!U4+NRST!Y4</f>
        <v>24180.25</v>
      </c>
      <c r="V4" s="7">
        <f>'Total In-State'!V4+NRST!Z4</f>
        <v>24389</v>
      </c>
    </row>
    <row r="5">
      <c r="A5" s="13" t="s">
        <v>15</v>
      </c>
      <c r="B5" s="7">
        <f>'Total In-State'!B5+NRST!F5</f>
        <v>10099.25</v>
      </c>
      <c r="C5" s="7">
        <f>'Total In-State'!C5+NRST!G5</f>
        <v>10334.25</v>
      </c>
      <c r="D5" s="7">
        <f>'Total In-State'!D5+NRST!H5</f>
        <v>10334.25</v>
      </c>
      <c r="E5" s="7">
        <f>'Total In-State'!E5+NRST!I5</f>
        <v>10824.25</v>
      </c>
      <c r="F5" s="7">
        <f>'Total In-State'!F5+NRST!J5</f>
        <v>11214.45</v>
      </c>
      <c r="G5" s="7">
        <f>'Total In-State'!G5+NRST!K5</f>
        <v>14269.95</v>
      </c>
      <c r="H5" s="7">
        <f>'Total In-State'!H5+NRST!L5</f>
        <v>16887.95</v>
      </c>
      <c r="I5" s="7">
        <f>'Total In-State'!I5+NRST!M5</f>
        <v>18651.95</v>
      </c>
      <c r="J5" s="7">
        <f>'Total In-State'!J5+NRST!N5</f>
        <v>18860.75</v>
      </c>
      <c r="K5" s="7">
        <f>'Total In-State'!K5+NRST!O5</f>
        <v>19570</v>
      </c>
      <c r="L5" s="7">
        <f>'Total In-State'!L5+NRST!P5</f>
        <v>21594.25</v>
      </c>
      <c r="M5" s="7">
        <f>'Total In-State'!M5+NRST!Q5</f>
        <v>24365.75</v>
      </c>
      <c r="N5" s="7">
        <f>'Total In-State'!N5+NRST!R5</f>
        <v>28244.75</v>
      </c>
      <c r="O5" s="7">
        <f>'Total In-State'!O5+NRST!S5</f>
        <v>31213</v>
      </c>
      <c r="P5" s="7">
        <f>'Total In-State'!P5+NRST!T5</f>
        <v>27187.25</v>
      </c>
      <c r="Q5" s="7">
        <f>'Total In-State'!Q5+NRST!U5</f>
        <v>27416.25</v>
      </c>
      <c r="R5" s="7">
        <f>'Total In-State'!R5+NRST!V5</f>
        <v>27661.25</v>
      </c>
      <c r="S5" s="7">
        <f>'Total In-State'!S5+NRST!W5</f>
        <v>28191.75</v>
      </c>
      <c r="T5" s="7">
        <f>'Total In-State'!T5+NRST!X5</f>
        <v>28427.75</v>
      </c>
      <c r="U5" s="7">
        <f>'Total In-State'!U5+NRST!Y5</f>
        <v>28917.25</v>
      </c>
      <c r="V5" s="7">
        <f>'Total In-State'!V5+NRST!Z5</f>
        <v>29041</v>
      </c>
    </row>
    <row r="6">
      <c r="A6" s="13" t="s">
        <v>16</v>
      </c>
      <c r="B6" s="7">
        <f>'Total In-State'!B6+NRST!F6</f>
        <v>9896.25</v>
      </c>
      <c r="C6" s="7">
        <f>'Total In-State'!C6+NRST!G6</f>
        <v>10131.25</v>
      </c>
      <c r="D6" s="7">
        <f>'Total In-State'!D6+NRST!H6</f>
        <v>10131.25</v>
      </c>
      <c r="E6" s="7">
        <f>'Total In-State'!E6+NRST!I6</f>
        <v>10621.25</v>
      </c>
      <c r="F6" s="7">
        <f>'Total In-State'!F6+NRST!J6</f>
        <v>11011.45</v>
      </c>
      <c r="G6" s="7">
        <f>'Total In-State'!G6+NRST!K6</f>
        <v>14009.95</v>
      </c>
      <c r="H6" s="7">
        <f>'Total In-State'!H6+NRST!L6</f>
        <v>16878.45</v>
      </c>
      <c r="I6" s="7">
        <f>'Total In-State'!I6+NRST!M6</f>
        <v>18641.95</v>
      </c>
      <c r="J6" s="7">
        <f>'Total In-State'!J6+NRST!N6</f>
        <v>18851.75</v>
      </c>
      <c r="K6" s="7">
        <f>'Total In-State'!K6+NRST!O6</f>
        <v>19562</v>
      </c>
      <c r="L6" s="7">
        <f>'Total In-State'!L6+NRST!P6</f>
        <v>21585.25</v>
      </c>
      <c r="M6" s="7">
        <f>'Total In-State'!M6+NRST!Q6</f>
        <v>24358.75</v>
      </c>
      <c r="N6" s="7">
        <f>'Total In-State'!N6+NRST!R6</f>
        <v>26962.25</v>
      </c>
      <c r="O6" s="7">
        <f>'Total In-State'!O6+NRST!S6</f>
        <v>29339</v>
      </c>
      <c r="P6" s="7">
        <f>'Total In-State'!P6+NRST!T6</f>
        <v>28217.25</v>
      </c>
      <c r="Q6" s="7">
        <f>'Total In-State'!Q6+NRST!U6</f>
        <v>28448.25</v>
      </c>
      <c r="R6" s="7">
        <f>'Total In-State'!R6+NRST!V6</f>
        <v>28694.25</v>
      </c>
      <c r="S6" s="7">
        <f>'Total In-State'!S6+NRST!W6</f>
        <v>29946.75</v>
      </c>
      <c r="T6" s="7">
        <f>'Total In-State'!T6+NRST!X6</f>
        <v>28939.75</v>
      </c>
      <c r="U6" s="7">
        <f>'Total In-State'!U6+NRST!Y6</f>
        <v>32225.25</v>
      </c>
      <c r="V6" s="7">
        <f>'Total In-State'!V6+NRST!Z6</f>
        <v>33186</v>
      </c>
    </row>
    <row r="7">
      <c r="A7" s="13" t="s">
        <v>33</v>
      </c>
      <c r="B7" s="7">
        <f>'Total In-State'!B7+NRST!F7</f>
        <v>9614.75</v>
      </c>
      <c r="C7" s="7">
        <f>'Total In-State'!C7+NRST!G7</f>
        <v>9849.75</v>
      </c>
      <c r="D7" s="7">
        <f>'Total In-State'!D7+NRST!H7</f>
        <v>9849.75</v>
      </c>
      <c r="E7" s="7">
        <f>'Total In-State'!E7+NRST!I7</f>
        <v>10339.75</v>
      </c>
      <c r="F7" s="7">
        <f>'Total In-State'!F7+NRST!J7</f>
        <v>10729.95</v>
      </c>
      <c r="G7" s="7">
        <f>'Total In-State'!G7+NRST!K7</f>
        <v>13634.95</v>
      </c>
      <c r="H7" s="7">
        <f>'Total In-State'!H7+NRST!L7</f>
        <v>16003.45</v>
      </c>
      <c r="I7" s="7">
        <f>'Total In-State'!I7+NRST!M7</f>
        <v>17040.45</v>
      </c>
      <c r="J7" s="7">
        <f>'Total In-State'!J7+NRST!N7</f>
        <v>17429.25</v>
      </c>
      <c r="K7" s="7">
        <f>'Total In-State'!K7+NRST!O7</f>
        <v>17702.5</v>
      </c>
      <c r="L7" s="7">
        <f>'Total In-State'!L7+NRST!P7</f>
        <v>18480.75</v>
      </c>
      <c r="M7" s="7">
        <f>'Total In-State'!M7+NRST!Q7</f>
        <v>19231.75</v>
      </c>
      <c r="N7" s="7">
        <f>'Total In-State'!N7+NRST!R7</f>
        <v>21348.25</v>
      </c>
      <c r="O7" s="7">
        <f>'Total In-State'!O7+NRST!S7</f>
        <v>22972.5</v>
      </c>
      <c r="P7" s="7">
        <f>'Total In-State'!P7+NRST!T7</f>
        <v>23669.25</v>
      </c>
      <c r="Q7" s="7">
        <f>'Total In-State'!Q7+NRST!U7</f>
        <v>25325.75</v>
      </c>
      <c r="R7" s="7">
        <f>'Total In-State'!R7+NRST!V7</f>
        <v>25570.75</v>
      </c>
      <c r="S7" s="7">
        <f>'Total In-State'!S7+NRST!W7</f>
        <v>24969.75</v>
      </c>
      <c r="T7" s="7">
        <f>'Total In-State'!T7+NRST!X7</f>
        <v>25512.75</v>
      </c>
      <c r="U7" s="7">
        <f>'Total In-State'!U7+NRST!Y7</f>
        <v>26316.25</v>
      </c>
      <c r="V7" s="7">
        <f>'Total In-State'!V7+NRST!Z7</f>
        <v>26765</v>
      </c>
    </row>
    <row r="8">
      <c r="A8" s="13" t="s">
        <v>18</v>
      </c>
      <c r="B8" s="7"/>
      <c r="C8" s="7"/>
      <c r="D8" s="7"/>
      <c r="E8" s="7"/>
      <c r="F8" s="7"/>
      <c r="G8" s="7"/>
      <c r="H8" s="7"/>
      <c r="I8" s="7">
        <f>'Total In-State'!I8+NRST!M8</f>
        <v>12475.95</v>
      </c>
      <c r="J8" s="7">
        <f>'Total In-State'!J8+NRST!N8</f>
        <v>12689.75</v>
      </c>
      <c r="K8" s="7">
        <f>'Total In-State'!K8+NRST!O8</f>
        <v>13200</v>
      </c>
      <c r="L8" s="7">
        <f>'Total In-State'!L8+NRST!P8</f>
        <v>13655.75</v>
      </c>
      <c r="M8" s="7">
        <f>'Total In-State'!M8+NRST!Q8</f>
        <v>14679.75</v>
      </c>
      <c r="N8" s="7">
        <f>'Total In-State'!N8+NRST!R8</f>
        <v>16607.75</v>
      </c>
      <c r="O8" s="7">
        <f>'Total In-State'!O8+NRST!S8</f>
        <v>17003</v>
      </c>
      <c r="P8" s="7">
        <f>'Total In-State'!P8+NRST!T8</f>
        <v>17408.25</v>
      </c>
      <c r="Q8" s="7">
        <f>'Total In-State'!Q8+NRST!U8</f>
        <v>17639.25</v>
      </c>
      <c r="R8" s="7">
        <f>'Total In-State'!R8+NRST!V8</f>
        <v>17885.25</v>
      </c>
      <c r="S8" s="7">
        <f>'Total In-State'!S8+NRST!W8</f>
        <v>18597.75</v>
      </c>
      <c r="T8" s="7">
        <f>'Total In-State'!T8+NRST!X8</f>
        <v>19023.75</v>
      </c>
      <c r="U8" s="7">
        <f>'Total In-State'!U8+NRST!Y8</f>
        <v>19713.25</v>
      </c>
      <c r="V8" s="7">
        <f>'Total In-State'!V8+NRST!Z8</f>
        <v>20048</v>
      </c>
    </row>
    <row r="9">
      <c r="A9" s="13" t="s">
        <v>19</v>
      </c>
      <c r="B9" s="7"/>
      <c r="C9" s="7"/>
      <c r="D9" s="7"/>
      <c r="E9" s="7"/>
      <c r="F9" s="7"/>
      <c r="G9" s="7"/>
      <c r="H9" s="7"/>
      <c r="I9" s="7">
        <f>'Total In-State'!I9+NRST!M9</f>
        <v>12475.95</v>
      </c>
      <c r="J9" s="7">
        <f>'Total In-State'!J9+NRST!N9</f>
        <v>12689.75</v>
      </c>
      <c r="K9" s="7">
        <f>'Total In-State'!K9+NRST!O9</f>
        <v>13200</v>
      </c>
      <c r="L9" s="7">
        <f>'Total In-State'!L9+NRST!P9</f>
        <v>13655.75</v>
      </c>
      <c r="M9" s="7">
        <f>'Total In-State'!M9+NRST!Q9</f>
        <v>14747.75</v>
      </c>
      <c r="N9" s="7">
        <f>'Total In-State'!N9+NRST!R9</f>
        <v>16196.25</v>
      </c>
      <c r="O9" s="7">
        <f>'Total In-State'!O9+NRST!S9</f>
        <v>17497</v>
      </c>
      <c r="P9" s="7">
        <f>'Total In-State'!P9+NRST!T9</f>
        <v>18053.25</v>
      </c>
      <c r="Q9" s="7">
        <f>'Total In-State'!Q9+NRST!U9</f>
        <v>18284.25</v>
      </c>
      <c r="R9" s="7">
        <f>'Total In-State'!R9+NRST!V9</f>
        <v>18530.25</v>
      </c>
      <c r="S9" s="7">
        <f>'Total In-State'!S9+NRST!W9</f>
        <v>19274.75</v>
      </c>
      <c r="T9" s="7">
        <f>'Total In-State'!T9+NRST!X9</f>
        <v>19733.75</v>
      </c>
      <c r="U9" s="7">
        <f>'Total In-State'!U9+NRST!Y9</f>
        <v>20459.25</v>
      </c>
      <c r="V9" s="7">
        <f>'Total In-State'!V9+NRST!Z9</f>
        <v>20832</v>
      </c>
    </row>
    <row r="10">
      <c r="A10" s="13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'Total In-State'!O10+NRST!S10</f>
        <v>28624</v>
      </c>
      <c r="P10" s="7">
        <f>'Total In-State'!P10+NRST!T10</f>
        <v>25672.25</v>
      </c>
      <c r="Q10" s="7">
        <f>'Total In-State'!Q10+NRST!U10</f>
        <v>25903.25</v>
      </c>
      <c r="R10" s="7">
        <f>'Total In-State'!R10+NRST!V10</f>
        <v>26149.25</v>
      </c>
      <c r="S10" s="7">
        <f>'Total In-State'!S10+NRST!W10</f>
        <v>27150.75</v>
      </c>
      <c r="T10" s="7">
        <f>'Total In-State'!T10+NRST!X10</f>
        <v>27386.75</v>
      </c>
      <c r="U10" s="7">
        <f>'Total In-State'!U10+NRST!Y10</f>
        <v>27877.25</v>
      </c>
      <c r="V10" s="7">
        <f>'Total In-State'!V10+NRST!Z10</f>
        <v>28603</v>
      </c>
    </row>
    <row r="11">
      <c r="A11" s="13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>'Total In-State'!N11+NRST!R11</f>
        <v>15801.25</v>
      </c>
      <c r="O11" s="7">
        <f>'Total In-State'!O11+NRST!S11</f>
        <v>16624</v>
      </c>
      <c r="P11" s="7">
        <f>'Total In-State'!P11+NRST!T11</f>
        <v>16942.25</v>
      </c>
      <c r="Q11" s="7">
        <f>'Total In-State'!Q11+NRST!U11</f>
        <v>17023.25</v>
      </c>
      <c r="R11" s="7">
        <f>'Total In-State'!R11+NRST!V11</f>
        <v>17269.25</v>
      </c>
      <c r="S11" s="7">
        <f>'Total In-State'!S11+NRST!W11</f>
        <v>17800.75</v>
      </c>
      <c r="T11" s="7">
        <f>'Total In-State'!T11+NRST!X11</f>
        <v>18186.75</v>
      </c>
      <c r="U11" s="7">
        <f>'Total In-State'!U11+NRST!Y11</f>
        <v>18834.25</v>
      </c>
      <c r="V11" s="7">
        <f>'Total In-State'!V11+NRST!Z11</f>
        <v>19126</v>
      </c>
    </row>
    <row r="12">
      <c r="A12" s="13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'Total In-State'!N12+NRST!R12</f>
        <v>14801.25</v>
      </c>
      <c r="O12" s="7">
        <f>'Total In-State'!O12+NRST!S12</f>
        <v>15624</v>
      </c>
      <c r="P12" s="7">
        <f>'Total In-State'!P12+NRST!T12</f>
        <v>15792.25</v>
      </c>
      <c r="Q12" s="7">
        <f>'Total In-State'!Q12+NRST!U12</f>
        <v>16023.25</v>
      </c>
      <c r="R12" s="7">
        <f>'Total In-State'!R12+NRST!V12</f>
        <v>16269.25</v>
      </c>
      <c r="S12" s="7">
        <f>'Total In-State'!S12+NRST!W12</f>
        <v>16900.75</v>
      </c>
      <c r="T12" s="7">
        <f>'Total In-State'!T12+NRST!X12</f>
        <v>17235.75</v>
      </c>
      <c r="U12" s="7">
        <f>'Total In-State'!U12+NRST!Y12</f>
        <v>17836.25</v>
      </c>
      <c r="V12" s="7">
        <f>'Total In-State'!V12+NRST!Z12</f>
        <v>18077</v>
      </c>
    </row>
    <row r="13">
      <c r="A13" s="13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f>'Total In-State'!N13+NRST!R13</f>
        <v>15801.25</v>
      </c>
      <c r="O13" s="7">
        <f>'Total In-State'!O13+NRST!S13</f>
        <v>16824</v>
      </c>
      <c r="P13" s="7">
        <f>'Total In-State'!P13+NRST!T13</f>
        <v>17192.25</v>
      </c>
      <c r="Q13" s="7">
        <f>'Total In-State'!Q13+NRST!U13</f>
        <v>17423.25</v>
      </c>
      <c r="R13" s="7">
        <f>'Total In-State'!R13+NRST!V13</f>
        <v>17669.25</v>
      </c>
      <c r="S13" s="7">
        <f>'Total In-State'!S13+NRST!W13</f>
        <v>18370.75</v>
      </c>
      <c r="T13" s="7">
        <f>'Total In-State'!T13+NRST!X13</f>
        <v>18606.75</v>
      </c>
      <c r="U13" s="7">
        <f>'Total In-State'!U13+NRST!Y13</f>
        <v>19275.25</v>
      </c>
      <c r="V13" s="7">
        <f>'Total In-State'!V13+NRST!Z13</f>
        <v>19589</v>
      </c>
    </row>
    <row r="14">
      <c r="A14" s="13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f>'Total In-State'!P14+NRST!T14</f>
        <v>21792.25</v>
      </c>
      <c r="Q14" s="7">
        <f>'Total In-State'!Q14+NRST!U14</f>
        <v>22023.25</v>
      </c>
      <c r="R14" s="7">
        <f>'Total In-State'!R14+NRST!V14</f>
        <v>22269.25</v>
      </c>
      <c r="S14" s="7">
        <f>'Total In-State'!S14+NRST!W14</f>
        <v>23200.75</v>
      </c>
      <c r="T14" s="7">
        <f>'Total In-State'!T14+NRST!X14</f>
        <v>23856.75</v>
      </c>
      <c r="U14" s="7">
        <f>'Total In-State'!U14+NRST!Y14</f>
        <v>24788.25</v>
      </c>
      <c r="V14" s="7">
        <f>'Total In-State'!V14+NRST!Z14</f>
        <v>29653</v>
      </c>
    </row>
    <row r="15">
      <c r="A15" s="13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f>'Total In-State'!P15+NRST!T15</f>
        <v>21292.25</v>
      </c>
      <c r="Q15" s="7">
        <f>'Total In-State'!Q15+NRST!U15</f>
        <v>21523.25</v>
      </c>
      <c r="R15" s="7">
        <f>'Total In-State'!R15+NRST!V15</f>
        <v>21769.25</v>
      </c>
      <c r="S15" s="7">
        <f>'Total In-State'!S15+NRST!W15</f>
        <v>22675.75</v>
      </c>
      <c r="T15" s="7">
        <f>'Total In-State'!T15+NRST!X15</f>
        <v>23665.75</v>
      </c>
      <c r="U15" s="7">
        <f>'Total In-State'!U15+NRST!Y15</f>
        <v>24209.25</v>
      </c>
      <c r="V15" s="7">
        <f>'Total In-State'!V15+NRST!Z15</f>
        <v>24769</v>
      </c>
    </row>
    <row r="16">
      <c r="A16" s="13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f>'Total In-State'!P16+NRST!T16</f>
        <v>22984.25</v>
      </c>
      <c r="Q16" s="7">
        <f>'Total In-State'!Q16+NRST!U16</f>
        <v>23215.25</v>
      </c>
      <c r="R16" s="7">
        <f>'Total In-State'!R16+NRST!V16</f>
        <v>23461.25</v>
      </c>
      <c r="S16" s="7">
        <f>'Total In-State'!S16+NRST!W16</f>
        <v>24100.75</v>
      </c>
      <c r="T16" s="7">
        <f>'Total In-State'!T16+NRST!X16</f>
        <v>24336.75</v>
      </c>
      <c r="U16" s="7">
        <f>'Total In-State'!U16+NRST!Y16</f>
        <v>24827.25</v>
      </c>
      <c r="V16" s="7">
        <f>'Total In-State'!V16+NRST!Z16</f>
        <v>25325</v>
      </c>
    </row>
    <row r="17">
      <c r="A17" s="13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f>'Total In-State'!R17+NRST!V17</f>
        <v>29434.25</v>
      </c>
      <c r="S17" s="7">
        <f>'Total In-State'!S17+NRST!W17</f>
        <v>30571.75</v>
      </c>
      <c r="T17" s="7">
        <f>'Total In-State'!T17+NRST!X17</f>
        <v>31437.75</v>
      </c>
      <c r="U17" s="7">
        <f>'Total In-State'!U17+NRST!Y17</f>
        <v>32255.25</v>
      </c>
      <c r="V17" s="7">
        <f>'Total In-State'!V17+NRST!Z17</f>
        <v>32381</v>
      </c>
    </row>
    <row r="18">
      <c r="A18" s="13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>'Total In-State'!S18+NRST!W18</f>
        <v>17800.75</v>
      </c>
      <c r="T18" s="7">
        <f>'Total In-State'!T18+NRST!X18</f>
        <v>18036.75</v>
      </c>
      <c r="U18" s="7">
        <f>'Total In-State'!U18+NRST!Y18</f>
        <v>18527.25</v>
      </c>
      <c r="V18" s="7">
        <f>'Total In-State'!V18+NRST!Z18</f>
        <v>18653</v>
      </c>
    </row>
    <row r="19">
      <c r="A19" s="13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13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f>'Total In-State'!T20+NRST!X20</f>
        <v>18786.75</v>
      </c>
      <c r="U20" s="7">
        <f>'Total In-State'!U20+NRST!Y20</f>
        <v>19277.25</v>
      </c>
      <c r="V20" s="7">
        <f>'Total In-State'!V20+NRST!Z20</f>
        <v>19403</v>
      </c>
    </row>
    <row r="21">
      <c r="A21" s="13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f>'Total In-State'!U21+NRST!Y21</f>
        <v>21377.25</v>
      </c>
      <c r="V21" s="7">
        <f>'Total In-State'!V21+NRST!Z21</f>
        <v>21737</v>
      </c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8" t="s">
        <v>13</v>
      </c>
      <c r="B1" s="9"/>
      <c r="C1" s="9"/>
      <c r="D1" s="10"/>
      <c r="E1" s="10"/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6"/>
      <c r="B2" s="4">
        <v>1994.0</v>
      </c>
      <c r="C2" s="4">
        <v>1995.0</v>
      </c>
      <c r="D2" s="4">
        <v>1996.0</v>
      </c>
      <c r="E2" s="4">
        <v>1997.0</v>
      </c>
      <c r="F2" s="4">
        <v>1998.0</v>
      </c>
      <c r="G2" s="4">
        <v>1999.0</v>
      </c>
      <c r="H2" s="4">
        <v>2000.0</v>
      </c>
      <c r="I2" s="4">
        <v>2001.0</v>
      </c>
      <c r="J2" s="4">
        <v>2002.0</v>
      </c>
      <c r="K2" s="4">
        <v>2003.0</v>
      </c>
      <c r="L2" s="4">
        <v>2004.0</v>
      </c>
      <c r="M2" s="4">
        <v>2005.0</v>
      </c>
      <c r="N2" s="4">
        <v>2006.0</v>
      </c>
      <c r="O2" s="4">
        <v>2007.0</v>
      </c>
      <c r="P2" s="4">
        <v>2008.0</v>
      </c>
      <c r="Q2" s="4">
        <v>2009.0</v>
      </c>
      <c r="R2" s="4">
        <v>2010.0</v>
      </c>
      <c r="S2" s="4">
        <v>2011.0</v>
      </c>
      <c r="T2" s="4">
        <v>2012.0</v>
      </c>
      <c r="U2" s="4">
        <v>2013.0</v>
      </c>
      <c r="V2" s="4">
        <v>2014.0</v>
      </c>
      <c r="W2" s="4">
        <v>2015.0</v>
      </c>
      <c r="X2" s="4">
        <v>2016.0</v>
      </c>
      <c r="Y2" s="4">
        <v>2017.0</v>
      </c>
      <c r="Z2" s="4">
        <v>2018.0</v>
      </c>
      <c r="AA2" s="4">
        <v>2019.0</v>
      </c>
      <c r="AB2" s="4">
        <v>2020.0</v>
      </c>
      <c r="AC2" s="4">
        <v>2021.0</v>
      </c>
      <c r="AD2" s="4">
        <v>2022.0</v>
      </c>
      <c r="AE2" s="4">
        <v>2023.0</v>
      </c>
    </row>
    <row r="3">
      <c r="A3" s="1" t="s">
        <v>12</v>
      </c>
      <c r="B3" s="6"/>
      <c r="C3" s="6"/>
      <c r="D3" s="6"/>
      <c r="E3" s="6"/>
      <c r="F3" s="11">
        <v>1543.0</v>
      </c>
      <c r="G3" s="12">
        <v>1448.0</v>
      </c>
      <c r="H3" s="12">
        <v>1448.0</v>
      </c>
      <c r="I3" s="12">
        <v>1448.0</v>
      </c>
      <c r="J3" s="12">
        <v>1583.0</v>
      </c>
      <c r="K3" s="12">
        <v>2253.0</v>
      </c>
      <c r="L3" s="12">
        <v>2778.0</v>
      </c>
      <c r="M3" s="12">
        <v>3081.0</v>
      </c>
      <c r="N3" s="12">
        <v>3081.0</v>
      </c>
      <c r="O3" s="12">
        <v>3327.0</v>
      </c>
      <c r="P3" s="12">
        <v>3561.0</v>
      </c>
      <c r="Q3" s="12">
        <f>(3918+4029)/2</f>
        <v>3973.5</v>
      </c>
      <c r="R3" s="12">
        <v>4701.0</v>
      </c>
      <c r="S3" s="12">
        <v>5610.0</v>
      </c>
      <c r="T3" s="12">
        <v>5610.0</v>
      </c>
      <c r="U3" s="12">
        <v>5610.0</v>
      </c>
      <c r="V3" s="12">
        <v>5610.0</v>
      </c>
      <c r="W3" s="12">
        <v>5610.0</v>
      </c>
      <c r="X3" s="12">
        <v>5610.0</v>
      </c>
      <c r="Y3" s="12">
        <v>5751.0</v>
      </c>
      <c r="Z3" s="12">
        <v>5721.0</v>
      </c>
      <c r="AA3" s="6"/>
      <c r="AB3" s="6"/>
      <c r="AC3" s="6"/>
      <c r="AD3" s="6"/>
      <c r="AE3" s="6"/>
    </row>
    <row r="4">
      <c r="A4" s="13" t="s">
        <v>14</v>
      </c>
      <c r="B4" s="6"/>
      <c r="C4" s="6"/>
      <c r="D4" s="6"/>
      <c r="E4" s="6"/>
      <c r="F4" s="11">
        <v>1543.0</v>
      </c>
      <c r="G4" s="12">
        <v>1543.0</v>
      </c>
      <c r="H4" s="12">
        <v>1543.0</v>
      </c>
      <c r="I4" s="12">
        <v>1543.0</v>
      </c>
      <c r="J4" s="12">
        <v>1678.0</v>
      </c>
      <c r="K4" s="12">
        <v>2375.5</v>
      </c>
      <c r="L4" s="12">
        <v>2375.5</v>
      </c>
      <c r="M4" s="12">
        <v>3028.5</v>
      </c>
      <c r="N4" s="12">
        <v>3203.5</v>
      </c>
      <c r="O4" s="12">
        <v>2898.0</v>
      </c>
      <c r="P4" s="12">
        <v>3102.0</v>
      </c>
      <c r="Q4" s="6">
        <f t="shared" ref="Q4:Q7" si="1">(3411+3990)/2</f>
        <v>3700.5</v>
      </c>
      <c r="R4" s="12">
        <v>4656.0</v>
      </c>
      <c r="S4" s="12">
        <v>5610.0</v>
      </c>
      <c r="T4" s="12">
        <v>5610.0</v>
      </c>
      <c r="U4" s="12">
        <v>5610.0</v>
      </c>
      <c r="V4" s="12">
        <v>5610.0</v>
      </c>
      <c r="W4" s="12">
        <v>5610.0</v>
      </c>
      <c r="X4" s="12">
        <v>5610.0</v>
      </c>
      <c r="Y4" s="12">
        <v>5751.0</v>
      </c>
      <c r="Z4" s="12">
        <v>5721.0</v>
      </c>
      <c r="AA4" s="6"/>
      <c r="AB4" s="6"/>
      <c r="AC4" s="6"/>
      <c r="AD4" s="6"/>
      <c r="AE4" s="6"/>
    </row>
    <row r="5">
      <c r="A5" s="13" t="s">
        <v>15</v>
      </c>
      <c r="F5" s="11">
        <v>1543.0</v>
      </c>
      <c r="G5" s="12">
        <v>1543.0</v>
      </c>
      <c r="H5" s="12">
        <v>1543.0</v>
      </c>
      <c r="I5" s="12">
        <v>1543.0</v>
      </c>
      <c r="J5" s="12">
        <v>1678.0</v>
      </c>
      <c r="K5" s="12">
        <v>2375.5</v>
      </c>
      <c r="L5" s="12">
        <v>2375.5</v>
      </c>
      <c r="M5" s="2">
        <v>3028.5</v>
      </c>
      <c r="N5" s="12">
        <v>3203.5</v>
      </c>
      <c r="O5" s="12">
        <v>2898.0</v>
      </c>
      <c r="P5" s="12">
        <v>3102.0</v>
      </c>
      <c r="Q5" s="6">
        <f t="shared" si="1"/>
        <v>3700.5</v>
      </c>
      <c r="R5" s="12">
        <v>4656.0</v>
      </c>
      <c r="S5" s="12">
        <v>5610.0</v>
      </c>
      <c r="T5" s="12">
        <v>5610.0</v>
      </c>
      <c r="U5" s="12">
        <v>5610.0</v>
      </c>
      <c r="V5" s="12">
        <v>5610.0</v>
      </c>
      <c r="W5" s="12">
        <v>5610.0</v>
      </c>
      <c r="X5" s="12">
        <v>5610.0</v>
      </c>
      <c r="Y5" s="12">
        <v>5751.0</v>
      </c>
      <c r="Z5" s="12">
        <v>5721.0</v>
      </c>
    </row>
    <row r="6">
      <c r="A6" s="13" t="s">
        <v>16</v>
      </c>
      <c r="F6" s="11">
        <v>1543.0</v>
      </c>
      <c r="G6" s="12">
        <v>1543.0</v>
      </c>
      <c r="H6" s="12">
        <v>1543.0</v>
      </c>
      <c r="I6" s="12">
        <v>1543.0</v>
      </c>
      <c r="J6" s="12">
        <v>1678.0</v>
      </c>
      <c r="K6" s="12">
        <v>2375.5</v>
      </c>
      <c r="L6" s="12">
        <v>2375.5</v>
      </c>
      <c r="M6" s="2">
        <v>3028.5</v>
      </c>
      <c r="N6" s="12">
        <v>3203.5</v>
      </c>
      <c r="O6" s="12">
        <v>2898.0</v>
      </c>
      <c r="P6" s="12">
        <v>3102.0</v>
      </c>
      <c r="Q6" s="6">
        <f t="shared" si="1"/>
        <v>3700.5</v>
      </c>
      <c r="R6" s="12">
        <v>4656.0</v>
      </c>
      <c r="S6" s="12">
        <v>5610.0</v>
      </c>
      <c r="T6" s="12">
        <v>5610.0</v>
      </c>
      <c r="U6" s="12">
        <v>5610.0</v>
      </c>
      <c r="V6" s="12">
        <v>5610.0</v>
      </c>
      <c r="W6" s="12">
        <v>5610.0</v>
      </c>
      <c r="X6" s="12">
        <v>5610.0</v>
      </c>
      <c r="Y6" s="12">
        <v>5751.0</v>
      </c>
      <c r="Z6" s="12">
        <v>5721.0</v>
      </c>
    </row>
    <row r="7">
      <c r="A7" s="13" t="s">
        <v>17</v>
      </c>
      <c r="F7" s="11">
        <v>1543.0</v>
      </c>
      <c r="G7" s="12">
        <v>1543.0</v>
      </c>
      <c r="H7" s="12">
        <v>1543.0</v>
      </c>
      <c r="I7" s="12">
        <v>1543.0</v>
      </c>
      <c r="J7" s="12">
        <v>1678.0</v>
      </c>
      <c r="K7" s="12">
        <v>2375.5</v>
      </c>
      <c r="L7" s="12">
        <v>2375.5</v>
      </c>
      <c r="M7" s="2">
        <v>3028.5</v>
      </c>
      <c r="N7" s="12">
        <v>3203.5</v>
      </c>
      <c r="O7" s="12">
        <v>2898.0</v>
      </c>
      <c r="P7" s="12">
        <v>3102.0</v>
      </c>
      <c r="Q7" s="6">
        <f t="shared" si="1"/>
        <v>3700.5</v>
      </c>
      <c r="R7" s="12">
        <v>4656.0</v>
      </c>
      <c r="S7" s="12">
        <v>5610.0</v>
      </c>
      <c r="T7" s="12">
        <v>5610.0</v>
      </c>
      <c r="U7" s="12">
        <v>5610.0</v>
      </c>
      <c r="V7" s="12">
        <v>5610.0</v>
      </c>
      <c r="W7" s="12">
        <v>5610.0</v>
      </c>
      <c r="X7" s="12">
        <v>5610.0</v>
      </c>
      <c r="Y7" s="12">
        <v>5751.0</v>
      </c>
      <c r="Z7" s="12">
        <v>5721.0</v>
      </c>
    </row>
    <row r="8">
      <c r="A8" s="13" t="s">
        <v>18</v>
      </c>
      <c r="M8" s="2">
        <v>3081.0</v>
      </c>
      <c r="N8" s="2">
        <v>3081.0</v>
      </c>
      <c r="O8" s="2">
        <v>3327.0</v>
      </c>
      <c r="P8" s="2">
        <v>3561.0</v>
      </c>
      <c r="Q8" s="12">
        <f t="shared" ref="Q8:Q9" si="2">(3918+4572)/2</f>
        <v>4245</v>
      </c>
      <c r="R8" s="2">
        <v>5325.0</v>
      </c>
      <c r="S8" s="12">
        <v>5610.0</v>
      </c>
      <c r="T8" s="12">
        <v>5610.0</v>
      </c>
      <c r="U8" s="12">
        <v>5610.0</v>
      </c>
      <c r="V8" s="12">
        <v>5610.0</v>
      </c>
      <c r="W8" s="12">
        <v>5610.0</v>
      </c>
      <c r="X8" s="12">
        <v>5610.0</v>
      </c>
      <c r="Y8" s="12">
        <v>5751.0</v>
      </c>
      <c r="Z8" s="12">
        <v>5721.0</v>
      </c>
    </row>
    <row r="9">
      <c r="A9" s="13" t="s">
        <v>19</v>
      </c>
      <c r="M9" s="2">
        <v>3081.0</v>
      </c>
      <c r="N9" s="2">
        <v>3081.0</v>
      </c>
      <c r="O9" s="2">
        <v>3327.0</v>
      </c>
      <c r="P9" s="2">
        <v>3561.0</v>
      </c>
      <c r="Q9" s="12">
        <f t="shared" si="2"/>
        <v>4245</v>
      </c>
      <c r="R9" s="2">
        <v>5325.0</v>
      </c>
      <c r="S9" s="12">
        <v>5610.0</v>
      </c>
      <c r="T9" s="12">
        <v>5610.0</v>
      </c>
      <c r="U9" s="12">
        <v>5610.0</v>
      </c>
      <c r="V9" s="12">
        <v>5610.0</v>
      </c>
      <c r="W9" s="12">
        <v>5610.0</v>
      </c>
      <c r="X9" s="12">
        <v>5610.0</v>
      </c>
      <c r="Y9" s="12">
        <v>5751.0</v>
      </c>
      <c r="Z9" s="12">
        <v>5721.0</v>
      </c>
    </row>
    <row r="10">
      <c r="A10" s="13" t="s">
        <v>20</v>
      </c>
      <c r="S10" s="12">
        <v>5610.0</v>
      </c>
      <c r="T10" s="12">
        <v>5610.0</v>
      </c>
      <c r="U10" s="12">
        <v>5610.0</v>
      </c>
      <c r="V10" s="12">
        <v>5610.0</v>
      </c>
      <c r="W10" s="12">
        <v>5610.0</v>
      </c>
      <c r="X10" s="12">
        <v>5610.0</v>
      </c>
      <c r="Y10" s="12">
        <v>5751.0</v>
      </c>
      <c r="Z10" s="12">
        <v>5721.0</v>
      </c>
    </row>
    <row r="11">
      <c r="A11" s="13" t="s">
        <v>21</v>
      </c>
      <c r="R11" s="2">
        <v>4701.0</v>
      </c>
      <c r="S11" s="12">
        <v>5610.0</v>
      </c>
      <c r="T11" s="12">
        <v>5610.0</v>
      </c>
      <c r="U11" s="12">
        <v>5610.0</v>
      </c>
      <c r="V11" s="12">
        <v>5610.0</v>
      </c>
      <c r="W11" s="12">
        <v>5610.0</v>
      </c>
      <c r="X11" s="12">
        <v>5610.0</v>
      </c>
      <c r="Y11" s="12">
        <v>5751.0</v>
      </c>
      <c r="Z11" s="12">
        <v>5721.0</v>
      </c>
    </row>
    <row r="12">
      <c r="A12" s="13" t="s">
        <v>22</v>
      </c>
      <c r="R12" s="2">
        <v>4701.0</v>
      </c>
      <c r="S12" s="12">
        <v>5610.0</v>
      </c>
      <c r="T12" s="12">
        <v>5610.0</v>
      </c>
      <c r="U12" s="12">
        <v>5610.0</v>
      </c>
      <c r="V12" s="12">
        <v>5610.0</v>
      </c>
      <c r="W12" s="12">
        <v>5610.0</v>
      </c>
      <c r="X12" s="12">
        <v>5610.0</v>
      </c>
      <c r="Y12" s="12">
        <v>5751.0</v>
      </c>
      <c r="Z12" s="12">
        <v>5721.0</v>
      </c>
    </row>
    <row r="13">
      <c r="A13" s="13" t="s">
        <v>23</v>
      </c>
      <c r="R13" s="2">
        <v>4701.0</v>
      </c>
      <c r="S13" s="12">
        <v>5610.0</v>
      </c>
      <c r="T13" s="12">
        <v>5610.0</v>
      </c>
      <c r="U13" s="12">
        <v>5610.0</v>
      </c>
      <c r="V13" s="12">
        <v>5610.0</v>
      </c>
      <c r="W13" s="12">
        <v>5610.0</v>
      </c>
      <c r="X13" s="12">
        <v>5610.0</v>
      </c>
      <c r="Y13" s="12">
        <v>5751.0</v>
      </c>
      <c r="Z13" s="12">
        <v>5721.0</v>
      </c>
    </row>
    <row r="14">
      <c r="A14" s="13" t="s">
        <v>24</v>
      </c>
      <c r="T14" s="12">
        <v>5610.0</v>
      </c>
      <c r="U14" s="12">
        <v>5610.0</v>
      </c>
      <c r="V14" s="12">
        <v>5610.0</v>
      </c>
      <c r="W14" s="12">
        <v>5610.0</v>
      </c>
      <c r="X14" s="12">
        <v>5610.0</v>
      </c>
      <c r="Y14" s="12">
        <v>5751.0</v>
      </c>
      <c r="Z14" s="12">
        <v>5721.0</v>
      </c>
    </row>
    <row r="15">
      <c r="A15" s="13" t="s">
        <v>25</v>
      </c>
      <c r="T15" s="12">
        <v>5610.0</v>
      </c>
      <c r="U15" s="12">
        <v>5610.0</v>
      </c>
      <c r="V15" s="12">
        <v>5610.0</v>
      </c>
      <c r="W15" s="12">
        <v>5610.0</v>
      </c>
      <c r="X15" s="12">
        <v>5610.0</v>
      </c>
      <c r="Y15" s="12">
        <v>5751.0</v>
      </c>
      <c r="Z15" s="12">
        <v>5721.0</v>
      </c>
    </row>
    <row r="16">
      <c r="A16" s="13" t="s">
        <v>26</v>
      </c>
      <c r="T16" s="12">
        <v>5610.0</v>
      </c>
      <c r="U16" s="12">
        <v>5610.0</v>
      </c>
      <c r="V16" s="12">
        <v>5610.0</v>
      </c>
      <c r="W16" s="12">
        <v>5610.0</v>
      </c>
      <c r="X16" s="12">
        <v>5610.0</v>
      </c>
      <c r="Y16" s="12">
        <v>5751.0</v>
      </c>
      <c r="Z16" s="12">
        <v>5721.0</v>
      </c>
    </row>
    <row r="17">
      <c r="A17" s="13" t="s">
        <v>27</v>
      </c>
      <c r="U17" s="12">
        <v>5610.0</v>
      </c>
      <c r="V17" s="12">
        <v>5610.0</v>
      </c>
      <c r="W17" s="12">
        <v>5610.0</v>
      </c>
      <c r="X17" s="12">
        <v>5610.0</v>
      </c>
      <c r="Y17" s="12">
        <v>5751.0</v>
      </c>
      <c r="Z17" s="12">
        <v>5721.0</v>
      </c>
    </row>
    <row r="18">
      <c r="A18" s="13" t="s">
        <v>28</v>
      </c>
      <c r="W18" s="12">
        <v>5610.0</v>
      </c>
      <c r="X18" s="12">
        <v>5610.0</v>
      </c>
      <c r="Y18" s="12">
        <v>5751.0</v>
      </c>
      <c r="Z18" s="12">
        <v>5721.0</v>
      </c>
    </row>
    <row r="19">
      <c r="A19" s="13" t="s">
        <v>29</v>
      </c>
      <c r="Y19" s="12"/>
      <c r="Z19" s="12"/>
    </row>
    <row r="20">
      <c r="A20" s="13" t="s">
        <v>30</v>
      </c>
      <c r="W20" s="12"/>
      <c r="X20" s="12">
        <v>5610.0</v>
      </c>
      <c r="Y20" s="12">
        <v>5751.0</v>
      </c>
      <c r="Z20" s="12">
        <v>5721.0</v>
      </c>
    </row>
    <row r="21">
      <c r="A21" s="13" t="s">
        <v>31</v>
      </c>
      <c r="Y21" s="12">
        <v>5751.0</v>
      </c>
      <c r="Z21" s="12">
        <v>5721.0</v>
      </c>
    </row>
    <row r="22">
      <c r="A2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8" t="s">
        <v>32</v>
      </c>
      <c r="B1" s="9"/>
      <c r="C1" s="9"/>
      <c r="D1" s="10"/>
      <c r="E1" s="10"/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6"/>
      <c r="B2" s="4">
        <v>1994.0</v>
      </c>
      <c r="C2" s="4">
        <v>1995.0</v>
      </c>
      <c r="D2" s="4">
        <v>1996.0</v>
      </c>
      <c r="E2" s="4">
        <v>1997.0</v>
      </c>
      <c r="F2" s="4">
        <v>1998.0</v>
      </c>
      <c r="G2" s="4">
        <v>1999.0</v>
      </c>
      <c r="H2" s="4">
        <v>2000.0</v>
      </c>
      <c r="I2" s="4">
        <v>2001.0</v>
      </c>
      <c r="J2" s="4">
        <v>2002.0</v>
      </c>
      <c r="K2" s="4">
        <v>2003.0</v>
      </c>
      <c r="L2" s="4">
        <v>2004.0</v>
      </c>
      <c r="M2" s="4">
        <v>2005.0</v>
      </c>
      <c r="N2" s="4">
        <v>2006.0</v>
      </c>
      <c r="O2" s="4">
        <v>2007.0</v>
      </c>
      <c r="P2" s="4">
        <v>2008.0</v>
      </c>
      <c r="Q2" s="4">
        <v>2009.0</v>
      </c>
      <c r="R2" s="4">
        <v>2010.0</v>
      </c>
      <c r="S2" s="4">
        <v>2011.0</v>
      </c>
      <c r="T2" s="4">
        <v>2012.0</v>
      </c>
      <c r="U2" s="4">
        <v>2013.0</v>
      </c>
      <c r="V2" s="4">
        <v>2014.0</v>
      </c>
      <c r="W2" s="4">
        <v>2015.0</v>
      </c>
      <c r="X2" s="4">
        <v>2016.0</v>
      </c>
      <c r="Y2" s="4">
        <v>2017.0</v>
      </c>
      <c r="Z2" s="4">
        <v>2018.0</v>
      </c>
      <c r="AA2" s="4">
        <v>2019.0</v>
      </c>
      <c r="AB2" s="4">
        <v>2020.0</v>
      </c>
      <c r="AC2" s="4">
        <v>2021.0</v>
      </c>
      <c r="AD2" s="4">
        <v>2022.0</v>
      </c>
      <c r="AE2" s="4">
        <v>2023.0</v>
      </c>
    </row>
    <row r="3">
      <c r="A3" s="1" t="s">
        <v>12</v>
      </c>
      <c r="B3" s="6"/>
      <c r="C3" s="6"/>
      <c r="D3" s="6"/>
      <c r="E3" s="6"/>
      <c r="F3" s="11">
        <v>4692.0</v>
      </c>
      <c r="G3" s="12">
        <f t="shared" ref="G3:H3" si="1">4902+(1543-1448)</f>
        <v>4997</v>
      </c>
      <c r="H3" s="12">
        <f t="shared" si="1"/>
        <v>4997</v>
      </c>
      <c r="I3" s="6">
        <f>5352+(1543-1448)</f>
        <v>5447</v>
      </c>
      <c r="J3" s="6">
        <f>5566+(1678-1583)</f>
        <v>5661</v>
      </c>
      <c r="K3" s="6">
        <f>6123+(2375.5-2253)</f>
        <v>6245.5</v>
      </c>
      <c r="L3" s="12">
        <f>6122.5+(2900.5-2778)</f>
        <v>6245</v>
      </c>
      <c r="M3" s="6">
        <f t="shared" ref="M3:N3" si="2">7347+(3214.5-3081)</f>
        <v>7480.5</v>
      </c>
      <c r="N3" s="6">
        <f t="shared" si="2"/>
        <v>7480.5</v>
      </c>
      <c r="O3" s="6">
        <f>7347+(3474-3327)</f>
        <v>7494</v>
      </c>
      <c r="P3" s="6">
        <f>7347+(3717-3561)</f>
        <v>7503</v>
      </c>
      <c r="Q3" s="6">
        <f>7347+(3973.5-3973.75)</f>
        <v>7346.75</v>
      </c>
      <c r="R3" s="6">
        <f>7347+(4905-4701)</f>
        <v>7551</v>
      </c>
      <c r="S3" s="12">
        <v>7551.0</v>
      </c>
      <c r="T3" s="12">
        <v>7551.0</v>
      </c>
      <c r="U3" s="12">
        <v>7551.0</v>
      </c>
      <c r="V3" s="12">
        <v>7551.0</v>
      </c>
      <c r="W3" s="12">
        <v>7551.0</v>
      </c>
      <c r="X3" s="12">
        <v>7551.0</v>
      </c>
      <c r="Y3" s="12">
        <v>7551.0</v>
      </c>
      <c r="Z3" s="12">
        <v>7551.0</v>
      </c>
      <c r="AA3" s="6"/>
      <c r="AB3" s="6"/>
      <c r="AC3" s="6"/>
      <c r="AD3" s="6"/>
      <c r="AE3" s="6"/>
    </row>
    <row r="4">
      <c r="A4" s="13" t="s">
        <v>14</v>
      </c>
      <c r="B4" s="6"/>
      <c r="C4" s="6"/>
      <c r="D4" s="6"/>
      <c r="E4" s="6"/>
      <c r="F4" s="11">
        <v>4692.0</v>
      </c>
      <c r="G4" s="12">
        <v>4902.0</v>
      </c>
      <c r="H4" s="12">
        <v>4902.0</v>
      </c>
      <c r="I4" s="12">
        <v>5352.0</v>
      </c>
      <c r="J4" s="12">
        <v>5566.0</v>
      </c>
      <c r="K4" s="12">
        <v>6123.0</v>
      </c>
      <c r="L4" s="12">
        <v>6122.5</v>
      </c>
      <c r="M4" s="12">
        <v>6122.5</v>
      </c>
      <c r="N4" s="12">
        <v>6122.5</v>
      </c>
      <c r="O4" s="12">
        <v>6122.5</v>
      </c>
      <c r="P4" s="12">
        <v>6122.5</v>
      </c>
      <c r="Q4" s="12">
        <v>6122.5</v>
      </c>
      <c r="R4" s="12">
        <v>6122.5</v>
      </c>
      <c r="S4" s="12">
        <v>6122.5</v>
      </c>
      <c r="T4" s="12">
        <v>6122.5</v>
      </c>
      <c r="U4" s="12">
        <v>6122.5</v>
      </c>
      <c r="V4" s="12">
        <v>6122.5</v>
      </c>
      <c r="W4" s="12">
        <v>6122.5</v>
      </c>
      <c r="X4" s="6">
        <f>6122.5+(8218-8629)</f>
        <v>5711.5</v>
      </c>
      <c r="Y4" s="12">
        <v>6122.5</v>
      </c>
      <c r="Z4" s="6">
        <f>6122.5+8711-9060</f>
        <v>5773.5</v>
      </c>
      <c r="AA4" s="6"/>
      <c r="AB4" s="6"/>
      <c r="AC4" s="6"/>
      <c r="AD4" s="6"/>
      <c r="AE4" s="6"/>
    </row>
    <row r="5">
      <c r="A5" s="13" t="s">
        <v>15</v>
      </c>
      <c r="F5" s="11">
        <v>4692.0</v>
      </c>
      <c r="G5" s="12">
        <v>4902.0</v>
      </c>
      <c r="H5" s="12">
        <v>4902.0</v>
      </c>
      <c r="I5" s="12">
        <v>5352.0</v>
      </c>
      <c r="J5" s="12">
        <v>5566.0</v>
      </c>
      <c r="K5" s="12">
        <v>6123.0</v>
      </c>
      <c r="L5" s="12">
        <v>6122.5</v>
      </c>
      <c r="M5" s="12">
        <v>6122.5</v>
      </c>
      <c r="N5" s="12">
        <v>6122.5</v>
      </c>
      <c r="O5" s="12">
        <v>6122.5</v>
      </c>
      <c r="P5" s="12">
        <v>6122.5</v>
      </c>
      <c r="Q5" s="12">
        <v>6122.5</v>
      </c>
      <c r="R5" s="12">
        <v>6122.5</v>
      </c>
      <c r="S5" s="12">
        <v>6122.5</v>
      </c>
      <c r="T5" s="12">
        <f t="shared" ref="T5:Y5" si="3">6122.5+(13435-17582)</f>
        <v>1975.5</v>
      </c>
      <c r="U5" s="14">
        <f t="shared" si="3"/>
        <v>1975.5</v>
      </c>
      <c r="V5" s="14">
        <f t="shared" si="3"/>
        <v>1975.5</v>
      </c>
      <c r="W5" s="14">
        <f t="shared" si="3"/>
        <v>1975.5</v>
      </c>
      <c r="X5" s="14">
        <f t="shared" si="3"/>
        <v>1975.5</v>
      </c>
      <c r="Y5" s="14">
        <f t="shared" si="3"/>
        <v>1975.5</v>
      </c>
      <c r="Z5" s="14">
        <f>6122.5+13435-17582</f>
        <v>1975.5</v>
      </c>
    </row>
    <row r="6">
      <c r="A6" s="13" t="s">
        <v>16</v>
      </c>
      <c r="F6" s="11">
        <v>4692.0</v>
      </c>
      <c r="G6" s="12">
        <v>4902.0</v>
      </c>
      <c r="H6" s="12">
        <v>4902.0</v>
      </c>
      <c r="I6" s="12">
        <v>5352.0</v>
      </c>
      <c r="J6" s="12">
        <v>5566.0</v>
      </c>
      <c r="K6" s="12">
        <v>6123.0</v>
      </c>
      <c r="L6" s="12">
        <v>6122.5</v>
      </c>
      <c r="M6" s="12">
        <v>6122.5</v>
      </c>
      <c r="N6" s="12">
        <v>6122.5</v>
      </c>
      <c r="O6" s="12">
        <v>6122.5</v>
      </c>
      <c r="P6" s="12">
        <v>6122.5</v>
      </c>
      <c r="Q6" s="12">
        <v>6122.5</v>
      </c>
      <c r="R6" s="12">
        <v>6122.5</v>
      </c>
      <c r="S6" s="12">
        <v>6122.5</v>
      </c>
      <c r="T6" s="12">
        <f t="shared" ref="T6:V6" si="4">6122.5+(14425-19274)</f>
        <v>1273.5</v>
      </c>
      <c r="U6" s="14">
        <f t="shared" si="4"/>
        <v>1273.5</v>
      </c>
      <c r="V6" s="14">
        <f t="shared" si="4"/>
        <v>1273.5</v>
      </c>
      <c r="W6" s="14">
        <f>6122.5+(15146-20238)</f>
        <v>1030.5</v>
      </c>
      <c r="X6" s="14">
        <f>6122.5+(13903-19250)</f>
        <v>775.5</v>
      </c>
      <c r="Y6" s="14">
        <f>6122.5+(16698-22312)</f>
        <v>508.5</v>
      </c>
      <c r="Z6" s="14">
        <f>6122.5+(17533-23428)</f>
        <v>227.5</v>
      </c>
    </row>
    <row r="7">
      <c r="A7" s="13" t="s">
        <v>17</v>
      </c>
      <c r="F7" s="11">
        <v>4692.0</v>
      </c>
      <c r="G7" s="12">
        <v>4902.0</v>
      </c>
      <c r="H7" s="12">
        <v>4902.0</v>
      </c>
      <c r="I7" s="12">
        <v>5352.0</v>
      </c>
      <c r="J7" s="12">
        <v>5566.0</v>
      </c>
      <c r="K7" s="12">
        <v>6123.0</v>
      </c>
      <c r="L7" s="12">
        <v>6122.5</v>
      </c>
      <c r="M7" s="12">
        <v>6122.5</v>
      </c>
      <c r="N7" s="12">
        <v>6122.5</v>
      </c>
      <c r="O7" s="12">
        <v>6122.5</v>
      </c>
      <c r="P7" s="12">
        <v>6122.5</v>
      </c>
      <c r="Q7" s="12">
        <v>6122.5</v>
      </c>
      <c r="R7" s="12">
        <v>6122.5</v>
      </c>
      <c r="S7" s="12">
        <v>6122.5</v>
      </c>
      <c r="T7" s="12">
        <v>6122.5</v>
      </c>
      <c r="U7" s="2">
        <v>7551.0</v>
      </c>
      <c r="V7" s="2">
        <v>7551.0</v>
      </c>
      <c r="W7" s="12">
        <v>6122.5</v>
      </c>
      <c r="X7" s="12">
        <v>6122.5</v>
      </c>
      <c r="Y7" s="12">
        <v>6122.5</v>
      </c>
      <c r="Z7" s="12">
        <v>6122.5</v>
      </c>
    </row>
    <row r="8">
      <c r="A8" s="13" t="s">
        <v>18</v>
      </c>
      <c r="M8" s="12">
        <f t="shared" ref="M8:N8" si="5">6122.5+(3214.5-3081)</f>
        <v>6256</v>
      </c>
      <c r="N8" s="14">
        <f t="shared" si="5"/>
        <v>6256</v>
      </c>
      <c r="O8" s="14">
        <f t="shared" ref="O8:O9" si="7">6122.5+(3474-3327)</f>
        <v>6269.5</v>
      </c>
      <c r="P8" s="14">
        <f t="shared" ref="P8:P9" si="8">6122.5+(3717-3561)</f>
        <v>6278.5</v>
      </c>
      <c r="Q8" s="14">
        <f t="shared" ref="Q8:Q9" si="9">6122.5+(((4089+4770)/2)-(3918+4572)/2)</f>
        <v>6307</v>
      </c>
      <c r="R8" s="14">
        <f t="shared" ref="R8:R9" si="10">6122.5+(5553-5325)</f>
        <v>6350.5</v>
      </c>
      <c r="S8" s="12">
        <v>6122.5</v>
      </c>
      <c r="T8" s="12">
        <v>6122.5</v>
      </c>
      <c r="U8" s="12">
        <v>6122.5</v>
      </c>
      <c r="V8" s="12">
        <v>6122.5</v>
      </c>
      <c r="W8" s="2">
        <v>6122.5</v>
      </c>
      <c r="X8" s="12">
        <v>6122.5</v>
      </c>
      <c r="Y8" s="12">
        <v>6122.5</v>
      </c>
      <c r="Z8" s="12">
        <v>6122.5</v>
      </c>
    </row>
    <row r="9">
      <c r="A9" s="13" t="s">
        <v>19</v>
      </c>
      <c r="M9" s="12">
        <f t="shared" ref="M9:N9" si="6">6122.5+(3214.5-3081)</f>
        <v>6256</v>
      </c>
      <c r="N9" s="14">
        <f t="shared" si="6"/>
        <v>6256</v>
      </c>
      <c r="O9" s="14">
        <f t="shared" si="7"/>
        <v>6269.5</v>
      </c>
      <c r="P9" s="14">
        <f t="shared" si="8"/>
        <v>6278.5</v>
      </c>
      <c r="Q9" s="14">
        <f t="shared" si="9"/>
        <v>6307</v>
      </c>
      <c r="R9" s="14">
        <f t="shared" si="10"/>
        <v>6350.5</v>
      </c>
      <c r="S9" s="14">
        <f>6122.5+(3873-3645)</f>
        <v>6350.5</v>
      </c>
      <c r="T9" s="14">
        <f t="shared" ref="T9:V9" si="11">6122.5+(4261-4010)</f>
        <v>6373.5</v>
      </c>
      <c r="U9" s="14">
        <f t="shared" si="11"/>
        <v>6373.5</v>
      </c>
      <c r="V9" s="14">
        <f t="shared" si="11"/>
        <v>6373.5</v>
      </c>
      <c r="W9" s="14">
        <f>6122.5+(4474-4211)</f>
        <v>6385.5</v>
      </c>
      <c r="X9" s="14">
        <f>6122.5+(4697-4421)</f>
        <v>6398.5</v>
      </c>
      <c r="Y9" s="14">
        <f>6122.5+(4932-4642)</f>
        <v>6412.5</v>
      </c>
      <c r="Z9" s="14">
        <f>6122.5+5179-4875</f>
        <v>6426.5</v>
      </c>
    </row>
    <row r="10">
      <c r="A10" s="13" t="s">
        <v>20</v>
      </c>
      <c r="S10" s="12">
        <v>6122.5</v>
      </c>
      <c r="T10" s="14">
        <f t="shared" ref="T10:V10" si="12">6122.5+(11880-16200)</f>
        <v>1802.5</v>
      </c>
      <c r="U10" s="14">
        <f t="shared" si="12"/>
        <v>1802.5</v>
      </c>
      <c r="V10" s="14">
        <f t="shared" si="12"/>
        <v>1802.5</v>
      </c>
      <c r="W10" s="14">
        <f t="shared" ref="W10:Y10" si="13">6122.5+(12350-16850)</f>
        <v>1622.5</v>
      </c>
      <c r="X10" s="14">
        <f t="shared" si="13"/>
        <v>1622.5</v>
      </c>
      <c r="Y10" s="14">
        <f t="shared" si="13"/>
        <v>1622.5</v>
      </c>
      <c r="Z10" s="14">
        <f>6122.5+12950-16850</f>
        <v>2222.5</v>
      </c>
    </row>
    <row r="11">
      <c r="A11" s="13" t="s">
        <v>21</v>
      </c>
      <c r="R11" s="14">
        <f t="shared" ref="R11:R13" si="14">6122.5+(4905-4701)</f>
        <v>6326.5</v>
      </c>
      <c r="S11" s="12">
        <v>6122.5</v>
      </c>
      <c r="T11" s="12">
        <v>6122.5</v>
      </c>
      <c r="U11" s="12">
        <v>6122.5</v>
      </c>
      <c r="V11" s="12">
        <v>6122.5</v>
      </c>
      <c r="W11" s="12">
        <v>6122.5</v>
      </c>
      <c r="X11" s="12">
        <v>6122.5</v>
      </c>
      <c r="Y11" s="12">
        <v>6122.5</v>
      </c>
      <c r="Z11" s="12">
        <v>6122.5</v>
      </c>
    </row>
    <row r="12">
      <c r="A12" s="13" t="s">
        <v>22</v>
      </c>
      <c r="R12" s="14">
        <f t="shared" si="14"/>
        <v>6326.5</v>
      </c>
      <c r="S12" s="12">
        <v>6122.5</v>
      </c>
      <c r="T12" s="12">
        <v>6122.5</v>
      </c>
      <c r="U12" s="12">
        <v>6122.5</v>
      </c>
      <c r="V12" s="12">
        <v>6122.5</v>
      </c>
      <c r="W12" s="12">
        <v>6122.5</v>
      </c>
      <c r="X12" s="12">
        <v>6122.5</v>
      </c>
      <c r="Y12" s="12">
        <v>6122.5</v>
      </c>
      <c r="Z12" s="12">
        <v>6122.5</v>
      </c>
    </row>
    <row r="13">
      <c r="A13" s="13" t="s">
        <v>23</v>
      </c>
      <c r="R13" s="14">
        <f t="shared" si="14"/>
        <v>6326.5</v>
      </c>
      <c r="S13" s="12">
        <v>6122.5</v>
      </c>
      <c r="T13" s="12">
        <v>6122.5</v>
      </c>
      <c r="U13" s="12">
        <v>6122.5</v>
      </c>
      <c r="V13" s="12">
        <v>6122.5</v>
      </c>
      <c r="W13" s="12">
        <v>6122.5</v>
      </c>
      <c r="X13" s="12">
        <v>6122.5</v>
      </c>
      <c r="Y13" s="12">
        <v>6122.5</v>
      </c>
      <c r="Z13" s="12">
        <v>6122.5</v>
      </c>
    </row>
    <row r="14">
      <c r="A14" s="13" t="s">
        <v>24</v>
      </c>
      <c r="T14" s="14">
        <f t="shared" ref="T14:V14" si="15">6122.5+(8000-11000)</f>
        <v>3122.5</v>
      </c>
      <c r="U14" s="14">
        <f t="shared" si="15"/>
        <v>3122.5</v>
      </c>
      <c r="V14" s="14">
        <f t="shared" si="15"/>
        <v>3122.5</v>
      </c>
      <c r="W14" s="14">
        <f>6122.5+(8400-11550)</f>
        <v>2972.5</v>
      </c>
      <c r="X14" s="14">
        <f>6122.5+(8820-12127)</f>
        <v>2815.5</v>
      </c>
      <c r="Y14" s="14">
        <f>6122.5+(9261-12733)</f>
        <v>2650.5</v>
      </c>
      <c r="Z14" s="12">
        <v>6122.5</v>
      </c>
    </row>
    <row r="15">
      <c r="A15" s="13" t="s">
        <v>25</v>
      </c>
      <c r="T15" s="2">
        <v>6122.5</v>
      </c>
      <c r="U15" s="2">
        <v>6122.5</v>
      </c>
      <c r="V15" s="2">
        <v>6122.5</v>
      </c>
      <c r="W15" s="2">
        <v>6122.5</v>
      </c>
      <c r="X15" s="12">
        <v>6122.5</v>
      </c>
      <c r="Y15" s="12">
        <v>6122.5</v>
      </c>
      <c r="Z15" s="12">
        <v>6122.5</v>
      </c>
    </row>
    <row r="16">
      <c r="A16" s="13" t="s">
        <v>26</v>
      </c>
      <c r="T16" s="2">
        <v>6122.5</v>
      </c>
      <c r="U16" s="2">
        <v>6122.5</v>
      </c>
      <c r="V16" s="2">
        <v>6122.5</v>
      </c>
      <c r="W16" s="12">
        <v>6122.5</v>
      </c>
      <c r="X16" s="12">
        <v>6122.5</v>
      </c>
      <c r="Y16" s="12">
        <v>6122.5</v>
      </c>
      <c r="Z16" s="12">
        <v>6122.5</v>
      </c>
    </row>
    <row r="17">
      <c r="A17" s="13" t="s">
        <v>27</v>
      </c>
      <c r="U17" s="2">
        <v>6122.5</v>
      </c>
      <c r="V17" s="2">
        <v>6122.5</v>
      </c>
      <c r="W17" s="2">
        <v>6122.5</v>
      </c>
      <c r="X17" s="12">
        <v>6122.5</v>
      </c>
      <c r="Y17" s="12">
        <v>6122.5</v>
      </c>
      <c r="Z17" s="12">
        <v>6122.5</v>
      </c>
    </row>
    <row r="18">
      <c r="A18" s="13" t="s">
        <v>28</v>
      </c>
      <c r="W18" s="12">
        <v>6122.5</v>
      </c>
      <c r="X18" s="12">
        <v>6122.5</v>
      </c>
      <c r="Y18" s="12">
        <v>6122.5</v>
      </c>
      <c r="Z18" s="12">
        <v>6122.5</v>
      </c>
    </row>
    <row r="19">
      <c r="A19" s="13" t="s">
        <v>29</v>
      </c>
      <c r="Z19" s="12"/>
    </row>
    <row r="20">
      <c r="A20" s="13" t="s">
        <v>30</v>
      </c>
      <c r="X20" s="12">
        <v>6122.5</v>
      </c>
      <c r="Y20" s="12">
        <v>6122.5</v>
      </c>
      <c r="Z20" s="12">
        <v>6122.5</v>
      </c>
    </row>
    <row r="21">
      <c r="A21" s="13" t="s">
        <v>31</v>
      </c>
      <c r="Y21" s="14">
        <f>6122.5+(5850-3000)</f>
        <v>8972.5</v>
      </c>
      <c r="Z21" s="14">
        <f>6122.5+6084-3120</f>
        <v>9086.5</v>
      </c>
    </row>
    <row r="22">
      <c r="A22" s="1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4.86"/>
    <col customWidth="1" min="11" max="11" width="19.86"/>
  </cols>
  <sheetData>
    <row r="1">
      <c r="A1" s="13" t="s">
        <v>34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>
      <c r="A2" s="1"/>
      <c r="B2" s="13">
        <v>1994.0</v>
      </c>
      <c r="C2" s="13">
        <v>1995.0</v>
      </c>
      <c r="D2" s="13">
        <v>1996.0</v>
      </c>
      <c r="E2" s="13">
        <v>1997.0</v>
      </c>
      <c r="F2" s="13">
        <v>1998.0</v>
      </c>
      <c r="G2" s="13">
        <v>1999.0</v>
      </c>
      <c r="H2" s="13">
        <v>2000.0</v>
      </c>
      <c r="I2" s="13">
        <v>2001.0</v>
      </c>
      <c r="J2" s="13">
        <v>2002.0</v>
      </c>
      <c r="K2" s="13">
        <v>2003.0</v>
      </c>
      <c r="L2" s="13">
        <v>2004.0</v>
      </c>
      <c r="M2" s="13">
        <v>2005.0</v>
      </c>
      <c r="N2" s="13">
        <v>2006.0</v>
      </c>
      <c r="O2" s="13">
        <v>2007.0</v>
      </c>
      <c r="P2" s="13">
        <v>2008.0</v>
      </c>
      <c r="Q2" s="13">
        <v>2009.0</v>
      </c>
      <c r="R2" s="13">
        <v>2010.0</v>
      </c>
      <c r="S2" s="13">
        <v>2011.0</v>
      </c>
      <c r="T2" s="13">
        <v>2012.0</v>
      </c>
      <c r="U2" s="13">
        <v>2013.0</v>
      </c>
      <c r="V2" s="13">
        <v>2014.0</v>
      </c>
      <c r="W2" s="13">
        <v>2015.0</v>
      </c>
      <c r="X2" s="13">
        <v>2016.0</v>
      </c>
      <c r="Y2" s="13">
        <v>2017.0</v>
      </c>
      <c r="Z2" s="13">
        <v>2018.0</v>
      </c>
      <c r="AA2" s="13">
        <v>2019.0</v>
      </c>
      <c r="AB2" s="13">
        <v>2020.0</v>
      </c>
      <c r="AC2" s="13">
        <v>2021.0</v>
      </c>
      <c r="AD2" s="13">
        <v>2022.0</v>
      </c>
      <c r="AE2" s="13">
        <v>2023.0</v>
      </c>
      <c r="AF2" s="13"/>
      <c r="AG2" s="13"/>
      <c r="AH2" s="13"/>
      <c r="AI2" s="13"/>
    </row>
    <row r="3">
      <c r="A3" s="13" t="s">
        <v>14</v>
      </c>
      <c r="B3" s="16"/>
      <c r="C3" s="16"/>
      <c r="D3" s="16">
        <v>1000.0</v>
      </c>
      <c r="E3" s="16">
        <v>1500.0</v>
      </c>
      <c r="F3" s="16">
        <v>1500.0</v>
      </c>
      <c r="G3" s="16">
        <v>1500.0</v>
      </c>
      <c r="H3" s="16">
        <v>1500.0</v>
      </c>
      <c r="I3" s="16">
        <v>1500.0</v>
      </c>
      <c r="J3" s="16">
        <v>1500.0</v>
      </c>
      <c r="K3" s="16">
        <v>2437.5</v>
      </c>
      <c r="L3" s="16">
        <v>4337.5</v>
      </c>
      <c r="M3" s="16">
        <v>4872.5</v>
      </c>
      <c r="N3" s="16">
        <v>4771.0</v>
      </c>
      <c r="O3" s="16">
        <v>5105.0</v>
      </c>
      <c r="P3" s="16">
        <v>5462.0</v>
      </c>
      <c r="Q3" s="16">
        <v>6009.0</v>
      </c>
      <c r="R3" s="16">
        <v>6610.0</v>
      </c>
      <c r="S3" s="16">
        <v>7337.0</v>
      </c>
      <c r="T3" s="16">
        <v>8218.0</v>
      </c>
      <c r="U3" s="16">
        <v>8218.0</v>
      </c>
      <c r="V3" s="16">
        <v>8218.0</v>
      </c>
      <c r="W3" s="16">
        <v>8629.0</v>
      </c>
      <c r="X3" s="16">
        <v>8629.0</v>
      </c>
      <c r="Y3" s="16">
        <v>8629.0</v>
      </c>
      <c r="Z3" s="16">
        <v>9060.0</v>
      </c>
      <c r="AA3" s="7">
        <f>19026/2</f>
        <v>9513</v>
      </c>
      <c r="AB3" s="7">
        <f>19976/2</f>
        <v>9988</v>
      </c>
      <c r="AC3" s="7">
        <f>20974/2</f>
        <v>10487</v>
      </c>
      <c r="AD3" s="7">
        <f>22022/2</f>
        <v>11011</v>
      </c>
      <c r="AE3" s="7"/>
      <c r="AF3" s="7"/>
      <c r="AG3" s="7"/>
      <c r="AH3" s="7"/>
      <c r="AI3" s="7"/>
    </row>
    <row r="4">
      <c r="A4" s="13" t="s">
        <v>15</v>
      </c>
      <c r="B4" s="16">
        <v>1000.0</v>
      </c>
      <c r="C4" s="16">
        <v>2000.0</v>
      </c>
      <c r="D4" s="16">
        <v>3000.0</v>
      </c>
      <c r="E4" s="16">
        <v>3000.0</v>
      </c>
      <c r="F4" s="16">
        <v>3000.0</v>
      </c>
      <c r="G4" s="16">
        <v>3000.0</v>
      </c>
      <c r="H4" s="16">
        <v>3000.0</v>
      </c>
      <c r="I4" s="16">
        <v>3000.0</v>
      </c>
      <c r="J4" s="16">
        <v>3000.0</v>
      </c>
      <c r="K4" s="16">
        <v>4737.0</v>
      </c>
      <c r="L4" s="16">
        <v>7236.5</v>
      </c>
      <c r="M4" s="16">
        <v>8159.0</v>
      </c>
      <c r="N4" s="16">
        <v>7979.0</v>
      </c>
      <c r="O4" s="16">
        <v>8885.0</v>
      </c>
      <c r="P4" s="16">
        <v>10621.0</v>
      </c>
      <c r="Q4" s="16">
        <v>12641.5</v>
      </c>
      <c r="R4" s="16">
        <v>15677.5</v>
      </c>
      <c r="S4" s="16">
        <v>17574.0</v>
      </c>
      <c r="T4" s="16">
        <v>17582.0</v>
      </c>
      <c r="U4" s="16">
        <v>17582.0</v>
      </c>
      <c r="V4" s="16">
        <v>17582.0</v>
      </c>
      <c r="W4" s="16">
        <v>17582.0</v>
      </c>
      <c r="X4" s="16">
        <v>17582.0</v>
      </c>
      <c r="Y4" s="16">
        <v>17582.0</v>
      </c>
      <c r="Z4" s="16">
        <v>17582.0</v>
      </c>
      <c r="AA4" s="7">
        <f>37800/2</f>
        <v>18900</v>
      </c>
      <c r="AB4" s="7">
        <f>40636/2</f>
        <v>20318</v>
      </c>
      <c r="AC4" s="7"/>
      <c r="AD4" s="7"/>
      <c r="AE4" s="7"/>
      <c r="AF4" s="7"/>
      <c r="AG4" s="7"/>
      <c r="AH4" s="7"/>
      <c r="AI4" s="7"/>
    </row>
    <row r="5">
      <c r="A5" s="13" t="s">
        <v>16</v>
      </c>
      <c r="B5" s="16">
        <v>1000.0</v>
      </c>
      <c r="C5" s="16">
        <v>2000.0</v>
      </c>
      <c r="D5" s="16">
        <v>3000.0</v>
      </c>
      <c r="E5" s="16">
        <v>3000.0</v>
      </c>
      <c r="F5" s="16">
        <v>3000.0</v>
      </c>
      <c r="G5" s="16">
        <v>3000.0</v>
      </c>
      <c r="H5" s="16">
        <v>3000.0</v>
      </c>
      <c r="I5" s="16">
        <v>3000.0</v>
      </c>
      <c r="J5" s="16">
        <v>3000.0</v>
      </c>
      <c r="K5" s="16">
        <v>4680.0</v>
      </c>
      <c r="L5" s="16">
        <v>7430.0</v>
      </c>
      <c r="M5" s="16">
        <v>8352.0</v>
      </c>
      <c r="N5" s="16">
        <v>8173.0</v>
      </c>
      <c r="O5" s="16">
        <v>9080.0</v>
      </c>
      <c r="P5" s="16">
        <v>10815.0</v>
      </c>
      <c r="Q5" s="16">
        <v>12837.5</v>
      </c>
      <c r="R5" s="16">
        <v>14410.0</v>
      </c>
      <c r="S5" s="16">
        <v>15715.0</v>
      </c>
      <c r="T5" s="16">
        <v>19274.0</v>
      </c>
      <c r="U5" s="16">
        <v>19274.0</v>
      </c>
      <c r="V5" s="16">
        <v>19274.0</v>
      </c>
      <c r="W5" s="16">
        <v>20238.0</v>
      </c>
      <c r="X5" s="16">
        <v>19250.0</v>
      </c>
      <c r="Y5" s="16">
        <v>22312.0</v>
      </c>
      <c r="Z5" s="16">
        <v>23428.0</v>
      </c>
      <c r="AA5" s="7">
        <f>48262/2</f>
        <v>24131</v>
      </c>
      <c r="AB5" s="7">
        <f>49710/2</f>
        <v>24855</v>
      </c>
      <c r="AC5" s="7">
        <f>51200/2</f>
        <v>25600</v>
      </c>
      <c r="AD5" s="7">
        <f>52736/2</f>
        <v>26368</v>
      </c>
      <c r="AE5" s="7">
        <f>54318/2</f>
        <v>27159</v>
      </c>
      <c r="AF5" s="7"/>
      <c r="AG5" s="7"/>
      <c r="AH5" s="7"/>
      <c r="AI5" s="7"/>
    </row>
    <row r="6">
      <c r="A6" s="13" t="s">
        <v>17</v>
      </c>
      <c r="B6" s="16">
        <v>1000.0</v>
      </c>
      <c r="C6" s="16">
        <v>1500.0</v>
      </c>
      <c r="D6" s="16">
        <v>2000.0</v>
      </c>
      <c r="E6" s="16">
        <v>2500.0</v>
      </c>
      <c r="F6" s="16">
        <v>2500.0</v>
      </c>
      <c r="G6" s="16">
        <v>2500.0</v>
      </c>
      <c r="H6" s="16">
        <v>2500.0</v>
      </c>
      <c r="I6" s="16">
        <v>2500.0</v>
      </c>
      <c r="J6" s="16">
        <v>2500.0</v>
      </c>
      <c r="K6" s="16">
        <v>4086.5</v>
      </c>
      <c r="L6" s="16">
        <v>6336.5</v>
      </c>
      <c r="M6" s="16">
        <v>6532.0</v>
      </c>
      <c r="N6" s="16">
        <v>6532.0</v>
      </c>
      <c r="O6" s="16">
        <v>7002.0</v>
      </c>
      <c r="P6" s="16">
        <v>7492.0</v>
      </c>
      <c r="Q6" s="16">
        <v>7492.0</v>
      </c>
      <c r="R6" s="16">
        <v>8765.5</v>
      </c>
      <c r="S6" s="16">
        <v>9318.0</v>
      </c>
      <c r="T6" s="16">
        <v>9957.0</v>
      </c>
      <c r="U6" s="16">
        <v>9957.0</v>
      </c>
      <c r="V6" s="16">
        <v>9957.0</v>
      </c>
      <c r="W6" s="16">
        <v>10255.0</v>
      </c>
      <c r="X6" s="16">
        <v>10563.0</v>
      </c>
      <c r="Y6" s="16">
        <v>10878.0</v>
      </c>
      <c r="Z6" s="16">
        <v>11204.0</v>
      </c>
      <c r="AA6" s="7">
        <f>23079/2</f>
        <v>11539.5</v>
      </c>
      <c r="AB6" s="7">
        <f>23722/2</f>
        <v>11861</v>
      </c>
      <c r="AC6" s="7">
        <f>24486/2</f>
        <v>12243</v>
      </c>
      <c r="AD6" s="7"/>
      <c r="AE6" s="7"/>
      <c r="AF6" s="7"/>
      <c r="AG6" s="7"/>
      <c r="AH6" s="7"/>
      <c r="AI6" s="7"/>
    </row>
    <row r="7">
      <c r="A7" s="13" t="s">
        <v>18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6">
        <v>2000.0</v>
      </c>
      <c r="N7" s="16">
        <v>2000.0</v>
      </c>
      <c r="O7" s="16">
        <v>2142.0</v>
      </c>
      <c r="P7" s="16">
        <v>2270.5</v>
      </c>
      <c r="Q7" s="16">
        <v>2429.5</v>
      </c>
      <c r="R7" s="16">
        <v>3158.5</v>
      </c>
      <c r="S7" s="16">
        <v>3379.0</v>
      </c>
      <c r="T7" s="16">
        <v>3616.0</v>
      </c>
      <c r="U7" s="16">
        <v>3616.0</v>
      </c>
      <c r="V7" s="16">
        <v>3616.0</v>
      </c>
      <c r="W7" s="16">
        <v>3797.0</v>
      </c>
      <c r="X7" s="16">
        <v>3987.0</v>
      </c>
      <c r="Y7" s="16">
        <v>4186.0</v>
      </c>
      <c r="Z7" s="16">
        <v>4395.0</v>
      </c>
      <c r="AA7" s="7">
        <f>9230/2</f>
        <v>4615</v>
      </c>
      <c r="AB7" s="7">
        <f>9692/2</f>
        <v>4846</v>
      </c>
      <c r="AC7" s="7">
        <f>10176/2</f>
        <v>5088</v>
      </c>
      <c r="AD7" s="7"/>
      <c r="AE7" s="7"/>
      <c r="AF7" s="7"/>
      <c r="AG7" s="7"/>
      <c r="AH7" s="7"/>
      <c r="AI7" s="7"/>
    </row>
    <row r="8">
      <c r="A8" s="13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6">
        <v>2000.0</v>
      </c>
      <c r="N8" s="16">
        <v>2000.0</v>
      </c>
      <c r="O8" s="16">
        <v>2142.0</v>
      </c>
      <c r="P8" s="16">
        <v>2270.5</v>
      </c>
      <c r="Q8" s="16">
        <v>2497.5</v>
      </c>
      <c r="R8" s="16">
        <v>2747.0</v>
      </c>
      <c r="S8" s="16">
        <v>3645.0</v>
      </c>
      <c r="T8" s="16">
        <v>4010.0</v>
      </c>
      <c r="U8" s="16">
        <v>4010.0</v>
      </c>
      <c r="V8" s="16">
        <v>4010.0</v>
      </c>
      <c r="W8" s="16">
        <v>4211.0</v>
      </c>
      <c r="X8" s="16">
        <v>4421.0</v>
      </c>
      <c r="Y8" s="16">
        <v>4642.0</v>
      </c>
      <c r="Z8" s="16">
        <v>4875.0</v>
      </c>
      <c r="AA8" s="7">
        <f>10236/2</f>
        <v>5118</v>
      </c>
      <c r="AB8" s="7">
        <f>10748/2</f>
        <v>5374</v>
      </c>
      <c r="AC8" s="7">
        <f>11286/2</f>
        <v>5643</v>
      </c>
      <c r="AD8" s="7">
        <f>11850/2</f>
        <v>5925</v>
      </c>
      <c r="AE8" s="7">
        <f>12422/2</f>
        <v>6211</v>
      </c>
      <c r="AF8" s="7"/>
      <c r="AG8" s="7"/>
      <c r="AH8" s="7"/>
      <c r="AI8" s="7"/>
    </row>
    <row r="9">
      <c r="A9" s="13" t="s">
        <v>20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6">
        <v>15000.0</v>
      </c>
      <c r="T9" s="16">
        <v>16200.0</v>
      </c>
      <c r="U9" s="16">
        <v>16200.0</v>
      </c>
      <c r="V9" s="16">
        <v>16200.0</v>
      </c>
      <c r="W9" s="16">
        <v>16850.0</v>
      </c>
      <c r="X9" s="16">
        <v>16850.0</v>
      </c>
      <c r="Y9" s="16">
        <v>16850.0</v>
      </c>
      <c r="Z9" s="16">
        <v>16850.0</v>
      </c>
      <c r="AA9" s="7">
        <f t="shared" ref="AA9:AD9" si="1">33700/2</f>
        <v>16850</v>
      </c>
      <c r="AB9" s="7">
        <f t="shared" si="1"/>
        <v>16850</v>
      </c>
      <c r="AC9" s="7">
        <f t="shared" si="1"/>
        <v>16850</v>
      </c>
      <c r="AD9" s="7">
        <f t="shared" si="1"/>
        <v>16850</v>
      </c>
      <c r="AE9" s="7"/>
      <c r="AF9" s="7"/>
      <c r="AG9" s="7"/>
      <c r="AH9" s="7"/>
      <c r="AI9" s="7"/>
    </row>
    <row r="10">
      <c r="A10" s="13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6">
        <v>3000.0</v>
      </c>
      <c r="S10" s="16">
        <v>3000.0</v>
      </c>
      <c r="T10" s="16">
        <v>3150.0</v>
      </c>
      <c r="U10" s="16">
        <v>3000.0</v>
      </c>
      <c r="V10" s="16">
        <v>3000.0</v>
      </c>
      <c r="W10" s="16">
        <v>3000.0</v>
      </c>
      <c r="X10" s="16">
        <v>3150.0</v>
      </c>
      <c r="Y10" s="16">
        <v>3307.0</v>
      </c>
      <c r="Z10" s="16">
        <v>3473.0</v>
      </c>
      <c r="AA10" s="7">
        <f>7190/2</f>
        <v>3595</v>
      </c>
      <c r="AB10" s="7">
        <f>7442/2</f>
        <v>3721</v>
      </c>
      <c r="AC10" s="7">
        <f>7702/2</f>
        <v>3851</v>
      </c>
      <c r="AD10" s="7">
        <f>7972/2</f>
        <v>3986</v>
      </c>
      <c r="AE10" s="7">
        <f>8252/2</f>
        <v>4126</v>
      </c>
      <c r="AF10" s="7"/>
      <c r="AG10" s="7"/>
      <c r="AH10" s="7"/>
      <c r="AI10" s="7"/>
    </row>
    <row r="11">
      <c r="A11" s="13" t="s">
        <v>22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6">
        <v>2000.0</v>
      </c>
      <c r="S11" s="16">
        <v>2000.0</v>
      </c>
      <c r="T11" s="16">
        <v>2000.0</v>
      </c>
      <c r="U11" s="16">
        <v>2000.0</v>
      </c>
      <c r="V11" s="16">
        <v>2000.0</v>
      </c>
      <c r="W11" s="16">
        <v>2100.0</v>
      </c>
      <c r="X11" s="16">
        <v>2199.0</v>
      </c>
      <c r="Y11" s="16">
        <v>2309.0</v>
      </c>
      <c r="Z11" s="16">
        <v>2424.0</v>
      </c>
      <c r="AA11" s="7">
        <f>5090/2</f>
        <v>2545</v>
      </c>
      <c r="AB11" s="7">
        <f>5344/2</f>
        <v>2672</v>
      </c>
      <c r="AC11" s="7">
        <f>5612/2</f>
        <v>2806</v>
      </c>
      <c r="AD11" s="7">
        <f>5892/2</f>
        <v>2946</v>
      </c>
      <c r="AE11" s="7">
        <f>6186/2</f>
        <v>3093</v>
      </c>
      <c r="AF11" s="7"/>
      <c r="AG11" s="7"/>
      <c r="AH11" s="7"/>
      <c r="AI11" s="7"/>
    </row>
    <row r="12">
      <c r="A12" s="13" t="s">
        <v>23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6">
        <v>3000.0</v>
      </c>
      <c r="S12" s="16">
        <v>3200.0</v>
      </c>
      <c r="T12" s="16">
        <v>3400.0</v>
      </c>
      <c r="U12" s="16">
        <v>3400.0</v>
      </c>
      <c r="V12" s="16">
        <v>3400.0</v>
      </c>
      <c r="W12" s="16">
        <v>3570.0</v>
      </c>
      <c r="X12" s="16">
        <v>3570.0</v>
      </c>
      <c r="Y12" s="16">
        <v>3748.0</v>
      </c>
      <c r="Z12" s="16">
        <v>3936.0</v>
      </c>
      <c r="AA12" s="7">
        <f>8264/2</f>
        <v>4132</v>
      </c>
      <c r="AB12" s="7"/>
      <c r="AC12" s="7"/>
      <c r="AD12" s="7"/>
      <c r="AE12" s="7"/>
      <c r="AF12" s="7"/>
      <c r="AG12" s="7"/>
      <c r="AH12" s="7"/>
      <c r="AI12" s="7"/>
    </row>
    <row r="13">
      <c r="A13" s="13" t="s">
        <v>24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6">
        <v>11000.0</v>
      </c>
      <c r="U13" s="16">
        <v>11000.0</v>
      </c>
      <c r="V13" s="16">
        <v>11000.0</v>
      </c>
      <c r="W13" s="16">
        <v>11550.0</v>
      </c>
      <c r="X13" s="16">
        <v>12127.0</v>
      </c>
      <c r="Y13" s="16">
        <v>12733.0</v>
      </c>
      <c r="Z13" s="16">
        <v>14000.0</v>
      </c>
      <c r="AA13" s="7">
        <f>29400/2</f>
        <v>14700</v>
      </c>
      <c r="AB13" s="7">
        <f>30870/2</f>
        <v>15435</v>
      </c>
      <c r="AC13" s="7"/>
      <c r="AD13" s="7"/>
      <c r="AE13" s="7"/>
      <c r="AF13" s="7"/>
      <c r="AG13" s="7"/>
      <c r="AH13" s="7"/>
      <c r="AI13" s="7"/>
    </row>
    <row r="14">
      <c r="A14" s="13" t="s">
        <v>25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6">
        <v>7500.0</v>
      </c>
      <c r="U14" s="16">
        <v>7500.0</v>
      </c>
      <c r="V14" s="16">
        <v>7500.0</v>
      </c>
      <c r="W14" s="16">
        <v>7875.0</v>
      </c>
      <c r="X14" s="16">
        <v>8629.0</v>
      </c>
      <c r="Y14" s="16">
        <v>8682.0</v>
      </c>
      <c r="Z14" s="16">
        <v>9116.0</v>
      </c>
      <c r="AA14" s="7">
        <f>19144/2</f>
        <v>9572</v>
      </c>
      <c r="AB14" s="16">
        <v>10050.0</v>
      </c>
      <c r="AC14" s="7">
        <f>21104/2</f>
        <v>10552</v>
      </c>
      <c r="AD14" s="7">
        <f>22160/2</f>
        <v>11080</v>
      </c>
      <c r="AE14" s="7">
        <f>23268/2</f>
        <v>11634</v>
      </c>
      <c r="AF14" s="7"/>
      <c r="AG14" s="7"/>
      <c r="AH14" s="7"/>
      <c r="AI14" s="7"/>
    </row>
    <row r="15">
      <c r="A15" s="1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6">
        <v>9192.0</v>
      </c>
      <c r="U15" s="16">
        <v>9192.0</v>
      </c>
      <c r="V15" s="16">
        <v>9192.0</v>
      </c>
      <c r="W15" s="16">
        <v>9300.0</v>
      </c>
      <c r="X15" s="16">
        <v>9300.0</v>
      </c>
      <c r="Y15" s="16">
        <v>9300.0</v>
      </c>
      <c r="Z15" s="16">
        <v>9672.0</v>
      </c>
      <c r="AA15" s="7">
        <f>19924/2</f>
        <v>9962</v>
      </c>
      <c r="AB15" s="7">
        <f>20522/2</f>
        <v>10261</v>
      </c>
      <c r="AC15" s="7">
        <f>21138/2</f>
        <v>10569</v>
      </c>
      <c r="AD15" s="7">
        <f>21172/2</f>
        <v>10586</v>
      </c>
      <c r="AE15" s="7"/>
      <c r="AF15" s="7"/>
      <c r="AG15" s="7"/>
      <c r="AH15" s="7"/>
      <c r="AI15" s="7"/>
    </row>
    <row r="16">
      <c r="A16" s="13" t="s">
        <v>27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6">
        <v>15165.0</v>
      </c>
      <c r="W16" s="16">
        <v>15771.0</v>
      </c>
      <c r="X16" s="16">
        <v>16401.0</v>
      </c>
      <c r="Y16" s="16">
        <v>16728.0</v>
      </c>
      <c r="Z16" s="16">
        <v>16728.0</v>
      </c>
      <c r="AA16" s="7">
        <f>34464/2</f>
        <v>17232</v>
      </c>
      <c r="AB16" s="7">
        <f>35496/2</f>
        <v>17748</v>
      </c>
      <c r="AC16" s="7"/>
      <c r="AD16" s="7"/>
      <c r="AE16" s="7"/>
      <c r="AF16" s="7"/>
      <c r="AG16" s="7"/>
      <c r="AH16" s="7"/>
      <c r="AI16" s="7"/>
    </row>
    <row r="17">
      <c r="A17" s="13" t="s">
        <v>28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>
        <v>3000.0</v>
      </c>
      <c r="X17" s="16">
        <v>3000.0</v>
      </c>
      <c r="Y17" s="16">
        <v>3000.0</v>
      </c>
      <c r="Z17" s="16">
        <v>3000.0</v>
      </c>
      <c r="AA17" s="16">
        <v>3000.0</v>
      </c>
      <c r="AB17" s="16">
        <v>3000.0</v>
      </c>
      <c r="AC17" s="16">
        <v>3000.0</v>
      </c>
      <c r="AD17" s="16">
        <v>3000.0</v>
      </c>
      <c r="AE17" s="7"/>
      <c r="AF17" s="7"/>
      <c r="AG17" s="7"/>
      <c r="AH17" s="7"/>
      <c r="AI17" s="7"/>
    </row>
    <row r="18">
      <c r="A18" s="13" t="s">
        <v>29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6"/>
      <c r="AB18" s="7"/>
      <c r="AC18" s="7"/>
      <c r="AD18" s="7"/>
      <c r="AE18" s="7"/>
    </row>
    <row r="19">
      <c r="A19" s="13" t="s">
        <v>30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6">
        <v>3750.0</v>
      </c>
      <c r="Y19" s="16">
        <v>3750.0</v>
      </c>
      <c r="Z19" s="16">
        <v>3750.0</v>
      </c>
      <c r="AA19" s="7">
        <f t="shared" ref="AA19:AC19" si="2">7876/2</f>
        <v>3938</v>
      </c>
      <c r="AB19" s="7">
        <f t="shared" si="2"/>
        <v>3938</v>
      </c>
      <c r="AC19" s="7">
        <f t="shared" si="2"/>
        <v>3938</v>
      </c>
      <c r="AD19" s="7">
        <f>8270/2</f>
        <v>4135</v>
      </c>
      <c r="AE19" s="7"/>
      <c r="AF19" s="7"/>
      <c r="AG19" s="7"/>
      <c r="AH19" s="7"/>
      <c r="AI19" s="7"/>
    </row>
    <row r="20">
      <c r="A20" s="13" t="s">
        <v>31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6">
        <v>3000.0</v>
      </c>
      <c r="Z20" s="16">
        <v>3120.0</v>
      </c>
      <c r="AA20" s="7">
        <f>6490/2</f>
        <v>3245</v>
      </c>
      <c r="AB20" s="7"/>
      <c r="AC20" s="7"/>
      <c r="AD20" s="7"/>
      <c r="AE20" s="7"/>
      <c r="AF20" s="7"/>
      <c r="AG20" s="7"/>
      <c r="AH20" s="7"/>
      <c r="AI20" s="7"/>
    </row>
    <row r="21">
      <c r="A21" s="13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7"/>
      <c r="T21" s="7"/>
      <c r="U21" s="7"/>
      <c r="V21" s="7"/>
      <c r="W21" s="7"/>
      <c r="X21" s="7"/>
      <c r="Y21" s="16"/>
      <c r="Z21" s="16"/>
      <c r="AA21" s="7"/>
      <c r="AB21" s="7"/>
      <c r="AC21" s="7"/>
      <c r="AD21" s="7"/>
      <c r="AE21" s="7"/>
      <c r="AF21" s="7"/>
      <c r="AG21" s="7"/>
      <c r="AH21" s="7"/>
      <c r="AI21" s="7"/>
    </row>
    <row r="22">
      <c r="A22" s="15"/>
      <c r="B22" s="16" t="s">
        <v>35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>
      <c r="A23" s="15"/>
      <c r="B23" s="16" t="s">
        <v>36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>
      <c r="A24" s="13" t="s">
        <v>37</v>
      </c>
      <c r="B24" s="17"/>
      <c r="C24" s="17"/>
      <c r="D24" s="17"/>
      <c r="E24" s="17"/>
      <c r="F24" s="17"/>
      <c r="G24" s="17"/>
      <c r="H24" s="18">
        <v>180.2</v>
      </c>
      <c r="I24" s="18">
        <v>189.9</v>
      </c>
      <c r="J24" s="18">
        <v>193.0</v>
      </c>
      <c r="K24" s="18">
        <v>196.4</v>
      </c>
      <c r="L24" s="18">
        <v>198.8</v>
      </c>
      <c r="M24" s="18">
        <v>202.7</v>
      </c>
      <c r="N24" s="18">
        <v>209.2</v>
      </c>
      <c r="O24" s="18">
        <v>216.048</v>
      </c>
      <c r="P24" s="18">
        <v>222.767</v>
      </c>
      <c r="Q24" s="18">
        <v>224.395</v>
      </c>
      <c r="R24" s="18">
        <v>227.469</v>
      </c>
      <c r="S24" s="18">
        <v>233.39</v>
      </c>
      <c r="T24" s="18">
        <v>239.65</v>
      </c>
      <c r="U24" s="18">
        <v>245.043</v>
      </c>
      <c r="V24" s="18">
        <v>251.985</v>
      </c>
      <c r="W24" s="18">
        <v>258.572</v>
      </c>
      <c r="X24" s="18">
        <v>266.344</v>
      </c>
      <c r="Y24" s="18">
        <v>274.924</v>
      </c>
      <c r="Z24" s="18">
        <v>285.55</v>
      </c>
      <c r="AA24" s="7"/>
      <c r="AB24" s="7"/>
      <c r="AC24" s="7"/>
      <c r="AD24" s="7"/>
      <c r="AE24" s="7"/>
      <c r="AF24" s="7"/>
      <c r="AG24" s="7"/>
      <c r="AH24" s="7"/>
      <c r="AI24" s="7"/>
    </row>
    <row r="25">
      <c r="A25" s="13" t="s">
        <v>38</v>
      </c>
      <c r="B25" s="7"/>
      <c r="C25" s="7"/>
      <c r="D25" s="7"/>
      <c r="E25" s="7"/>
      <c r="F25" s="7"/>
      <c r="G25" s="7"/>
      <c r="H25" s="7"/>
      <c r="I25" s="19">
        <f t="shared" ref="I25:Z25" si="3">(I24/H24)-1</f>
        <v>0.0538290788</v>
      </c>
      <c r="J25" s="19">
        <f t="shared" si="3"/>
        <v>0.01632438125</v>
      </c>
      <c r="K25" s="19">
        <f t="shared" si="3"/>
        <v>0.01761658031</v>
      </c>
      <c r="L25" s="19">
        <f t="shared" si="3"/>
        <v>0.01221995927</v>
      </c>
      <c r="M25" s="19">
        <f t="shared" si="3"/>
        <v>0.01961770624</v>
      </c>
      <c r="N25" s="19">
        <f t="shared" si="3"/>
        <v>0.03206709423</v>
      </c>
      <c r="O25" s="19">
        <f t="shared" si="3"/>
        <v>0.03273422562</v>
      </c>
      <c r="P25" s="19">
        <f t="shared" si="3"/>
        <v>0.03109957047</v>
      </c>
      <c r="Q25" s="19">
        <f t="shared" si="3"/>
        <v>0.007308084232</v>
      </c>
      <c r="R25" s="19">
        <f t="shared" si="3"/>
        <v>0.01369905747</v>
      </c>
      <c r="S25" s="19">
        <f t="shared" si="3"/>
        <v>0.02602992056</v>
      </c>
      <c r="T25" s="19">
        <f t="shared" si="3"/>
        <v>0.0268220575</v>
      </c>
      <c r="U25" s="19">
        <f t="shared" si="3"/>
        <v>0.02250365116</v>
      </c>
      <c r="V25" s="19">
        <f t="shared" si="3"/>
        <v>0.02832972172</v>
      </c>
      <c r="W25" s="19">
        <f t="shared" si="3"/>
        <v>0.02614044487</v>
      </c>
      <c r="X25" s="19">
        <f t="shared" si="3"/>
        <v>0.03005739214</v>
      </c>
      <c r="Y25" s="19">
        <f t="shared" si="3"/>
        <v>0.03221397891</v>
      </c>
      <c r="Z25" s="19">
        <f t="shared" si="3"/>
        <v>0.03865068164</v>
      </c>
      <c r="AA25" s="7"/>
      <c r="AB25" s="7"/>
      <c r="AC25" s="7"/>
      <c r="AD25" s="7"/>
      <c r="AE25" s="7"/>
      <c r="AF25" s="7"/>
      <c r="AG25" s="7"/>
      <c r="AH25" s="7"/>
      <c r="AI25" s="7"/>
    </row>
    <row r="26">
      <c r="A26" s="13" t="s">
        <v>39</v>
      </c>
      <c r="B26" s="7"/>
      <c r="C26" s="7"/>
      <c r="D26" s="7"/>
      <c r="E26" s="7"/>
      <c r="F26" s="7"/>
      <c r="G26" s="7"/>
      <c r="H26" s="7"/>
      <c r="I26" s="20">
        <f t="shared" ref="I26:Z26" si="4">(I$24/$H$24)-1</f>
        <v>0.0538290788</v>
      </c>
      <c r="J26" s="20">
        <f t="shared" si="4"/>
        <v>0.07103218646</v>
      </c>
      <c r="K26" s="20">
        <f t="shared" si="4"/>
        <v>0.08990011099</v>
      </c>
      <c r="L26" s="20">
        <f t="shared" si="4"/>
        <v>0.1032186459</v>
      </c>
      <c r="M26" s="20">
        <f t="shared" si="4"/>
        <v>0.1248612653</v>
      </c>
      <c r="N26" s="20">
        <f t="shared" si="4"/>
        <v>0.1609322974</v>
      </c>
      <c r="O26" s="20">
        <f t="shared" si="4"/>
        <v>0.1989345172</v>
      </c>
      <c r="P26" s="20">
        <f t="shared" si="4"/>
        <v>0.2362208657</v>
      </c>
      <c r="Q26" s="20">
        <f t="shared" si="4"/>
        <v>0.2452552719</v>
      </c>
      <c r="R26" s="20">
        <f t="shared" si="4"/>
        <v>0.2623140954</v>
      </c>
      <c r="S26" s="20">
        <f t="shared" si="4"/>
        <v>0.2951720311</v>
      </c>
      <c r="T26" s="20">
        <f t="shared" si="4"/>
        <v>0.3299112098</v>
      </c>
      <c r="U26" s="20">
        <f t="shared" si="4"/>
        <v>0.3598390677</v>
      </c>
      <c r="V26" s="20">
        <f t="shared" si="4"/>
        <v>0.3983629301</v>
      </c>
      <c r="W26" s="20">
        <f t="shared" si="4"/>
        <v>0.4349167592</v>
      </c>
      <c r="X26" s="20">
        <f t="shared" si="4"/>
        <v>0.4780466149</v>
      </c>
      <c r="Y26" s="20">
        <f t="shared" si="4"/>
        <v>0.5256603774</v>
      </c>
      <c r="Z26" s="20">
        <f t="shared" si="4"/>
        <v>0.5846281909</v>
      </c>
      <c r="AA26" s="7"/>
      <c r="AB26" s="7"/>
      <c r="AC26" s="7"/>
      <c r="AD26" s="7"/>
      <c r="AE26" s="7"/>
      <c r="AF26" s="7"/>
      <c r="AG26" s="7"/>
      <c r="AH26" s="7"/>
      <c r="AI26" s="7"/>
    </row>
    <row r="27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>
      <c r="A33" s="1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>
      <c r="A34" s="1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>
      <c r="A35" s="1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>
      <c r="A36" s="1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>
      <c r="A37" s="1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>
      <c r="A38" s="1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>
      <c r="A39" s="1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>
      <c r="A40" s="1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>
      <c r="A41" s="1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>
      <c r="A42" s="1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>
      <c r="A43" s="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>
      <c r="A44" s="1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>
      <c r="A45" s="1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>
      <c r="A46" s="1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>
      <c r="A47" s="1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>
      <c r="A48" s="1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>
      <c r="A49" s="1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>
      <c r="A50" s="1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>
      <c r="A51" s="1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>
      <c r="A52" s="1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>
      <c r="A53" s="1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>
      <c r="A54" s="1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>
      <c r="A55" s="1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>
      <c r="A56" s="1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>
      <c r="A57" s="1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>
      <c r="A58" s="1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>
      <c r="A59" s="1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>
      <c r="A60" s="1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>
      <c r="A61" s="1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>
      <c r="A62" s="1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>
      <c r="A63" s="1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>
      <c r="A64" s="1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>
      <c r="A65" s="1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>
      <c r="A66" s="1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>
      <c r="A67" s="1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>
      <c r="A68" s="1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>
      <c r="A69" s="1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>
      <c r="A70" s="1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>
      <c r="A71" s="1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>
      <c r="A72" s="1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>
      <c r="A73" s="1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>
      <c r="A74" s="1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>
      <c r="A75" s="1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>
      <c r="A76" s="1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>
      <c r="A77" s="1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>
      <c r="A78" s="1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>
      <c r="A79" s="1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>
      <c r="A80" s="1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>
      <c r="A81" s="1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>
      <c r="A82" s="1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>
      <c r="A83" s="1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>
      <c r="A84" s="1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>
      <c r="A85" s="1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>
      <c r="A86" s="1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>
      <c r="A87" s="1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>
      <c r="A88" s="1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>
      <c r="A89" s="1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>
      <c r="A90" s="1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>
      <c r="A91" s="1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>
      <c r="A92" s="1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>
      <c r="A93" s="1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>
      <c r="A94" s="1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>
      <c r="A95" s="1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>
      <c r="A96" s="1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>
      <c r="A97" s="1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>
      <c r="A98" s="1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>
      <c r="A99" s="1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>
      <c r="A100" s="1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>
      <c r="A101" s="1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>
      <c r="A102" s="1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>
      <c r="A103" s="1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>
      <c r="A104" s="1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>
      <c r="A105" s="1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>
      <c r="A106" s="1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>
      <c r="A107" s="1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>
      <c r="A108" s="1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>
      <c r="A109" s="1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>
      <c r="A110" s="1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>
      <c r="A111" s="1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>
      <c r="A112" s="1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>
      <c r="A113" s="1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>
      <c r="A114" s="1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>
      <c r="A115" s="1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>
      <c r="A116" s="1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>
      <c r="A117" s="1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>
      <c r="A118" s="1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>
      <c r="A119" s="1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>
      <c r="A120" s="1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>
      <c r="A121" s="1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>
      <c r="A122" s="1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>
      <c r="A123" s="1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>
      <c r="A124" s="1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>
      <c r="A125" s="1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>
      <c r="A126" s="1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>
      <c r="A127" s="1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>
      <c r="A128" s="1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>
      <c r="A129" s="1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>
      <c r="A130" s="1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>
      <c r="A131" s="1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>
      <c r="A132" s="1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>
      <c r="A133" s="1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>
      <c r="A134" s="1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>
      <c r="A135" s="1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>
      <c r="A136" s="1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>
      <c r="A137" s="1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>
      <c r="A138" s="1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>
      <c r="A139" s="1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>
      <c r="A140" s="1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>
      <c r="A141" s="1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>
      <c r="A142" s="1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>
      <c r="A143" s="1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>
      <c r="A144" s="1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>
      <c r="A145" s="1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>
      <c r="A146" s="1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>
      <c r="A147" s="1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>
      <c r="A148" s="1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>
      <c r="A149" s="1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>
      <c r="A150" s="1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>
      <c r="A151" s="1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>
      <c r="A152" s="1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>
      <c r="A153" s="1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>
      <c r="A154" s="1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>
      <c r="A155" s="1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>
      <c r="A156" s="1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>
      <c r="A157" s="1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>
      <c r="A158" s="1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>
      <c r="A159" s="1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>
      <c r="A160" s="1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>
      <c r="A161" s="1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>
      <c r="A162" s="1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>
      <c r="A163" s="1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>
      <c r="A164" s="1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>
      <c r="A165" s="1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>
      <c r="A166" s="1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>
      <c r="A167" s="1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>
      <c r="A168" s="1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>
      <c r="A169" s="1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>
      <c r="A170" s="1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>
      <c r="A171" s="1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>
      <c r="A172" s="1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>
      <c r="A173" s="1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>
      <c r="A174" s="1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>
      <c r="A175" s="1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>
      <c r="A176" s="1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>
      <c r="A177" s="1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>
      <c r="A178" s="1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>
      <c r="A179" s="1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>
      <c r="A180" s="1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>
      <c r="A181" s="1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>
      <c r="A182" s="1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>
      <c r="A183" s="1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>
      <c r="A184" s="1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>
      <c r="A185" s="1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>
      <c r="A186" s="1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>
      <c r="A187" s="1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>
      <c r="A188" s="1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>
      <c r="A189" s="1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>
      <c r="A190" s="1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>
      <c r="A191" s="1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>
      <c r="A192" s="1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>
      <c r="A193" s="1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>
      <c r="A194" s="1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>
      <c r="A195" s="1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>
      <c r="A196" s="1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>
      <c r="A197" s="1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>
      <c r="A198" s="1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>
      <c r="A199" s="1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>
      <c r="A200" s="1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>
      <c r="A201" s="1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>
      <c r="A202" s="1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>
      <c r="A203" s="1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>
      <c r="A204" s="1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>
      <c r="A205" s="1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>
      <c r="A206" s="1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>
      <c r="A207" s="1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>
      <c r="A208" s="1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>
      <c r="A209" s="1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>
      <c r="A210" s="1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>
      <c r="A211" s="1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>
      <c r="A212" s="1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>
      <c r="A213" s="1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>
      <c r="A214" s="1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>
      <c r="A215" s="1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>
      <c r="A216" s="1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>
      <c r="A217" s="1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>
      <c r="A218" s="1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>
      <c r="A219" s="1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>
      <c r="A220" s="1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>
      <c r="A221" s="1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>
      <c r="A222" s="1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>
      <c r="A223" s="1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>
      <c r="A224" s="1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>
      <c r="A225" s="1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>
      <c r="A226" s="1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>
      <c r="A227" s="1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>
      <c r="A228" s="1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>
      <c r="A229" s="1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>
      <c r="A230" s="1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>
      <c r="A231" s="1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>
      <c r="A232" s="1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>
      <c r="A233" s="1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>
      <c r="A234" s="1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>
      <c r="A235" s="1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>
      <c r="A236" s="1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>
      <c r="A237" s="1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>
      <c r="A238" s="1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>
      <c r="A239" s="1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>
      <c r="A240" s="1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>
      <c r="A241" s="1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>
      <c r="A242" s="1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>
      <c r="A243" s="1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>
      <c r="A244" s="1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>
      <c r="A245" s="1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>
      <c r="A246" s="1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>
      <c r="A247" s="1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>
      <c r="A248" s="1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>
      <c r="A249" s="1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>
      <c r="A250" s="1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>
      <c r="A251" s="1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>
      <c r="A252" s="1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>
      <c r="A253" s="1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>
      <c r="A254" s="1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>
      <c r="A255" s="1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>
      <c r="A256" s="1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>
      <c r="A257" s="1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>
      <c r="A258" s="1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>
      <c r="A259" s="1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>
      <c r="A260" s="1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>
      <c r="A261" s="1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>
      <c r="A262" s="1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>
      <c r="A263" s="1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>
      <c r="A264" s="1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>
      <c r="A265" s="1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>
      <c r="A266" s="1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>
      <c r="A267" s="1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>
      <c r="A268" s="1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>
      <c r="A269" s="1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>
      <c r="A270" s="1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>
      <c r="A271" s="1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>
      <c r="A272" s="1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>
      <c r="A273" s="1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>
      <c r="A274" s="1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>
      <c r="A275" s="1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>
      <c r="A276" s="1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>
      <c r="A277" s="1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>
      <c r="A278" s="1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>
      <c r="A279" s="1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>
      <c r="A280" s="1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>
      <c r="A281" s="1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>
      <c r="A282" s="1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>
      <c r="A283" s="1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>
      <c r="A284" s="1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>
      <c r="A285" s="1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>
      <c r="A286" s="1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>
      <c r="A287" s="1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>
      <c r="A288" s="1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>
      <c r="A289" s="1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>
      <c r="A290" s="1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>
      <c r="A291" s="1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>
      <c r="A292" s="1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>
      <c r="A293" s="1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>
      <c r="A294" s="1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>
      <c r="A295" s="1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>
      <c r="A296" s="1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>
      <c r="A297" s="1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>
      <c r="A298" s="1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>
      <c r="A299" s="1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>
      <c r="A300" s="1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>
      <c r="A301" s="1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>
      <c r="A302" s="1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>
      <c r="A303" s="1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>
      <c r="A304" s="1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>
      <c r="A305" s="1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>
      <c r="A306" s="1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>
      <c r="A307" s="1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>
      <c r="A308" s="1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>
      <c r="A309" s="1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>
      <c r="A310" s="1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>
      <c r="A311" s="1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>
      <c r="A312" s="1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>
      <c r="A313" s="1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>
      <c r="A314" s="1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>
      <c r="A315" s="1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>
      <c r="A316" s="1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>
      <c r="A317" s="1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>
      <c r="A318" s="1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>
      <c r="A319" s="1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>
      <c r="A320" s="1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>
      <c r="A321" s="1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>
      <c r="A322" s="1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>
      <c r="A323" s="1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>
      <c r="A324" s="1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>
      <c r="A325" s="1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>
      <c r="A326" s="1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>
      <c r="A327" s="1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>
      <c r="A328" s="1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>
      <c r="A329" s="1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>
      <c r="A330" s="1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>
      <c r="A331" s="1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>
      <c r="A332" s="1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>
      <c r="A333" s="1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>
      <c r="A334" s="1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>
      <c r="A335" s="1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>
      <c r="A336" s="1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>
      <c r="A337" s="1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>
      <c r="A338" s="1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>
      <c r="A339" s="1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>
      <c r="A340" s="1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>
      <c r="A341" s="1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>
      <c r="A342" s="1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>
      <c r="A343" s="1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>
      <c r="A344" s="1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>
      <c r="A345" s="1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>
      <c r="A346" s="1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>
      <c r="A347" s="1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>
      <c r="A348" s="1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>
      <c r="A349" s="1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>
      <c r="A350" s="1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>
      <c r="A351" s="1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>
      <c r="A352" s="1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>
      <c r="A353" s="1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>
      <c r="A354" s="1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>
      <c r="A355" s="1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>
      <c r="A356" s="1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>
      <c r="A357" s="1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>
      <c r="A358" s="1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>
      <c r="A359" s="1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>
      <c r="A360" s="1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>
      <c r="A361" s="1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>
      <c r="A362" s="1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>
      <c r="A363" s="1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>
      <c r="A364" s="1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>
      <c r="A365" s="1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>
      <c r="A366" s="1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>
      <c r="A367" s="1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>
      <c r="A368" s="1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>
      <c r="A369" s="1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>
      <c r="A370" s="1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>
      <c r="A371" s="1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>
      <c r="A372" s="1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>
      <c r="A373" s="1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>
      <c r="A374" s="1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>
      <c r="A375" s="1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>
      <c r="A376" s="1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>
      <c r="A377" s="1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>
      <c r="A378" s="1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>
      <c r="A379" s="1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>
      <c r="A380" s="1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>
      <c r="A381" s="1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>
      <c r="A382" s="1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>
      <c r="A383" s="1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>
      <c r="A384" s="1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>
      <c r="A385" s="1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>
      <c r="A386" s="1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>
      <c r="A387" s="1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>
      <c r="A388" s="1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>
      <c r="A389" s="1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>
      <c r="A390" s="1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>
      <c r="A391" s="1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>
      <c r="A392" s="1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>
      <c r="A393" s="1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>
      <c r="A394" s="1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>
      <c r="A395" s="1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>
      <c r="A396" s="1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>
      <c r="A397" s="1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>
      <c r="A398" s="1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>
      <c r="A399" s="1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>
      <c r="A400" s="1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>
      <c r="A401" s="1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>
      <c r="A402" s="1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>
      <c r="A403" s="1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>
      <c r="A404" s="1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>
      <c r="A405" s="1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>
      <c r="A406" s="1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>
      <c r="A407" s="1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>
      <c r="A408" s="1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>
      <c r="A409" s="1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>
      <c r="A410" s="1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>
      <c r="A411" s="1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>
      <c r="A412" s="1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>
      <c r="A413" s="1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>
      <c r="A414" s="1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>
      <c r="A415" s="1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>
      <c r="A416" s="1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>
      <c r="A417" s="1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>
      <c r="A418" s="1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>
      <c r="A419" s="1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>
      <c r="A420" s="1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>
      <c r="A421" s="1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>
      <c r="A422" s="1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>
      <c r="A423" s="1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>
      <c r="A424" s="1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>
      <c r="A425" s="1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>
      <c r="A426" s="1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>
      <c r="A427" s="1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>
      <c r="A428" s="1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>
      <c r="A429" s="1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>
      <c r="A430" s="1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>
      <c r="A431" s="1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>
      <c r="A432" s="1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>
      <c r="A433" s="1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>
      <c r="A434" s="1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>
      <c r="A435" s="1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>
      <c r="A436" s="1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>
      <c r="A437" s="1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>
      <c r="A438" s="1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>
      <c r="A439" s="1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>
      <c r="A440" s="1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>
      <c r="A441" s="1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>
      <c r="A442" s="1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>
      <c r="A443" s="1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>
      <c r="A444" s="1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>
      <c r="A445" s="1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>
      <c r="A446" s="1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>
      <c r="A447" s="1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>
      <c r="A448" s="1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>
      <c r="A449" s="1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>
      <c r="A450" s="1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>
      <c r="A451" s="1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>
      <c r="A452" s="1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>
      <c r="A453" s="1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>
      <c r="A454" s="1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>
      <c r="A455" s="1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>
      <c r="A456" s="1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>
      <c r="A457" s="1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>
      <c r="A458" s="1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>
      <c r="A459" s="1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>
      <c r="A460" s="1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>
      <c r="A461" s="1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>
      <c r="A462" s="1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>
      <c r="A463" s="1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>
      <c r="A464" s="1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>
      <c r="A465" s="1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>
      <c r="A466" s="1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>
      <c r="A467" s="1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>
      <c r="A468" s="1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>
      <c r="A469" s="1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>
      <c r="A470" s="1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>
      <c r="A471" s="1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>
      <c r="A472" s="1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>
      <c r="A473" s="1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>
      <c r="A474" s="1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>
      <c r="A475" s="1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>
      <c r="A476" s="1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>
      <c r="A477" s="1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>
      <c r="A478" s="1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>
      <c r="A479" s="1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>
      <c r="A480" s="1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>
      <c r="A481" s="1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>
      <c r="A482" s="1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>
      <c r="A483" s="1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>
      <c r="A484" s="1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>
      <c r="A485" s="1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>
      <c r="A486" s="1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>
      <c r="A487" s="1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>
      <c r="A488" s="1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>
      <c r="A489" s="1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>
      <c r="A490" s="1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>
      <c r="A491" s="1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>
      <c r="A492" s="1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>
      <c r="A493" s="1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>
      <c r="A494" s="1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>
      <c r="A495" s="1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>
      <c r="A496" s="1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>
      <c r="A497" s="1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>
      <c r="A498" s="1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>
      <c r="A499" s="1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>
      <c r="A500" s="1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>
      <c r="A501" s="1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>
      <c r="A502" s="1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>
      <c r="A503" s="1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>
      <c r="A504" s="1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>
      <c r="A505" s="1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>
      <c r="A506" s="1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>
      <c r="A507" s="1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>
      <c r="A508" s="1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>
      <c r="A509" s="1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>
      <c r="A510" s="1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>
      <c r="A511" s="1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>
      <c r="A512" s="1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>
      <c r="A513" s="1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>
      <c r="A514" s="1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>
      <c r="A515" s="1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>
      <c r="A516" s="1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>
      <c r="A517" s="1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>
      <c r="A518" s="1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>
      <c r="A519" s="1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>
      <c r="A520" s="1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>
      <c r="A521" s="1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>
      <c r="A522" s="1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>
      <c r="A523" s="1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>
      <c r="A524" s="1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>
      <c r="A525" s="1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>
      <c r="A526" s="1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>
      <c r="A527" s="1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>
      <c r="A528" s="1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>
      <c r="A529" s="1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>
      <c r="A530" s="1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>
      <c r="A531" s="1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>
      <c r="A532" s="1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>
      <c r="A533" s="1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>
      <c r="A534" s="1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>
      <c r="A535" s="1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>
      <c r="A536" s="1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>
      <c r="A537" s="1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>
      <c r="A538" s="1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>
      <c r="A539" s="1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>
      <c r="A540" s="1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>
      <c r="A541" s="1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>
      <c r="A542" s="1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>
      <c r="A543" s="1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>
      <c r="A544" s="1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>
      <c r="A545" s="1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>
      <c r="A546" s="1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>
      <c r="A547" s="1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>
      <c r="A548" s="1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>
      <c r="A549" s="1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>
      <c r="A550" s="1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>
      <c r="A551" s="1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>
      <c r="A552" s="1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>
      <c r="A553" s="1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>
      <c r="A554" s="1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>
      <c r="A555" s="1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>
      <c r="A556" s="1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>
      <c r="A557" s="1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>
      <c r="A558" s="1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>
      <c r="A559" s="1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>
      <c r="A560" s="1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>
      <c r="A561" s="1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>
      <c r="A562" s="1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>
      <c r="A563" s="1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>
      <c r="A564" s="1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>
      <c r="A565" s="1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>
      <c r="A566" s="1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>
      <c r="A567" s="1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>
      <c r="A568" s="1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>
      <c r="A569" s="1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>
      <c r="A570" s="1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>
      <c r="A571" s="1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>
      <c r="A572" s="1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>
      <c r="A573" s="1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>
      <c r="A574" s="1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>
      <c r="A575" s="1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>
      <c r="A576" s="1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>
      <c r="A577" s="1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>
      <c r="A578" s="1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>
      <c r="A579" s="1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>
      <c r="A580" s="1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>
      <c r="A581" s="1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>
      <c r="A582" s="1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>
      <c r="A583" s="1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>
      <c r="A584" s="1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>
      <c r="A585" s="1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>
      <c r="A586" s="1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>
      <c r="A587" s="1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>
      <c r="A588" s="1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>
      <c r="A589" s="1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>
      <c r="A590" s="1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>
      <c r="A591" s="1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>
      <c r="A592" s="1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>
      <c r="A593" s="1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>
      <c r="A594" s="1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>
      <c r="A595" s="1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>
      <c r="A596" s="1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>
      <c r="A597" s="1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>
      <c r="A598" s="1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>
      <c r="A599" s="1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>
      <c r="A600" s="1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>
      <c r="A601" s="1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>
      <c r="A602" s="1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>
      <c r="A603" s="1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>
      <c r="A604" s="1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>
      <c r="A605" s="1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>
      <c r="A606" s="1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>
      <c r="A607" s="1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>
      <c r="A608" s="1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>
      <c r="A609" s="1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>
      <c r="A610" s="1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>
      <c r="A611" s="1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>
      <c r="A612" s="1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>
      <c r="A613" s="1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>
      <c r="A614" s="1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>
      <c r="A615" s="1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>
      <c r="A616" s="1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>
      <c r="A617" s="1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>
      <c r="A618" s="1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>
      <c r="A619" s="1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>
      <c r="A620" s="1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>
      <c r="A621" s="1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>
      <c r="A622" s="1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>
      <c r="A623" s="1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>
      <c r="A624" s="1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>
      <c r="A625" s="1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>
      <c r="A626" s="1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>
      <c r="A627" s="1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>
      <c r="A628" s="1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>
      <c r="A629" s="1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>
      <c r="A630" s="1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>
      <c r="A631" s="1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>
      <c r="A632" s="1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>
      <c r="A633" s="1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>
      <c r="A634" s="1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>
      <c r="A635" s="1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>
      <c r="A636" s="1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>
      <c r="A637" s="1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>
      <c r="A638" s="1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>
      <c r="A639" s="1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>
      <c r="A640" s="1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>
      <c r="A641" s="1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>
      <c r="A642" s="1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>
      <c r="A643" s="1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>
      <c r="A644" s="1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>
      <c r="A645" s="1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>
      <c r="A646" s="1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>
      <c r="A647" s="1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>
      <c r="A648" s="1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>
      <c r="A649" s="1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>
      <c r="A650" s="1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>
      <c r="A651" s="1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>
      <c r="A652" s="1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>
      <c r="A653" s="1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>
      <c r="A654" s="1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>
      <c r="A655" s="1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>
      <c r="A656" s="1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>
      <c r="A657" s="1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>
      <c r="A658" s="1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>
      <c r="A659" s="1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>
      <c r="A660" s="1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>
      <c r="A661" s="1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>
      <c r="A662" s="1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>
      <c r="A663" s="1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>
      <c r="A664" s="1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>
      <c r="A665" s="1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>
      <c r="A666" s="1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>
      <c r="A667" s="1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>
      <c r="A668" s="1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>
      <c r="A669" s="1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>
      <c r="A670" s="1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>
      <c r="A671" s="1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>
      <c r="A672" s="1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>
      <c r="A673" s="1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>
      <c r="A674" s="1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>
      <c r="A675" s="1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>
      <c r="A676" s="1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>
      <c r="A677" s="1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>
      <c r="A678" s="1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>
      <c r="A679" s="1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>
      <c r="A680" s="1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>
      <c r="A681" s="1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>
      <c r="A682" s="1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>
      <c r="A683" s="1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>
      <c r="A684" s="1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>
      <c r="A685" s="1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>
      <c r="A686" s="1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>
      <c r="A687" s="1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>
      <c r="A688" s="1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>
      <c r="A689" s="1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>
      <c r="A690" s="1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>
      <c r="A691" s="1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>
      <c r="A692" s="1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>
      <c r="A693" s="1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>
      <c r="A694" s="1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>
      <c r="A695" s="1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>
      <c r="A696" s="1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>
      <c r="A697" s="1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>
      <c r="A698" s="1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>
      <c r="A699" s="1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>
      <c r="A700" s="1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>
      <c r="A701" s="1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>
      <c r="A702" s="1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>
      <c r="A703" s="1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>
      <c r="A704" s="1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>
      <c r="A705" s="1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>
      <c r="A706" s="1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>
      <c r="A707" s="1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>
      <c r="A708" s="1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>
      <c r="A709" s="1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>
      <c r="A710" s="1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>
      <c r="A711" s="1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>
      <c r="A712" s="1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>
      <c r="A713" s="1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>
      <c r="A714" s="1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>
      <c r="A715" s="1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>
      <c r="A716" s="1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>
      <c r="A717" s="1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>
      <c r="A718" s="1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>
      <c r="A719" s="1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>
      <c r="A720" s="1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>
      <c r="A721" s="1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>
      <c r="A722" s="1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>
      <c r="A723" s="1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>
      <c r="A724" s="1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>
      <c r="A725" s="1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>
      <c r="A726" s="1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>
      <c r="A727" s="1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>
      <c r="A728" s="1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>
      <c r="A729" s="1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>
      <c r="A730" s="1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>
      <c r="A731" s="1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>
      <c r="A732" s="1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>
      <c r="A733" s="1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>
      <c r="A734" s="1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>
      <c r="A735" s="1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>
      <c r="A736" s="1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>
      <c r="A737" s="1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>
      <c r="A738" s="1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>
      <c r="A739" s="1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>
      <c r="A740" s="1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>
      <c r="A741" s="1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>
      <c r="A742" s="1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>
      <c r="A743" s="1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>
      <c r="A744" s="1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>
      <c r="A745" s="1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>
      <c r="A746" s="1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>
      <c r="A747" s="1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>
      <c r="A748" s="1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>
      <c r="A749" s="1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>
      <c r="A750" s="1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>
      <c r="A751" s="1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>
      <c r="A752" s="1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>
      <c r="A753" s="1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>
      <c r="A754" s="1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>
      <c r="A755" s="1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>
      <c r="A756" s="1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>
      <c r="A757" s="1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>
      <c r="A758" s="1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>
      <c r="A759" s="1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>
      <c r="A760" s="1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>
      <c r="A761" s="1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>
      <c r="A762" s="1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>
      <c r="A763" s="1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>
      <c r="A764" s="1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>
      <c r="A765" s="1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>
      <c r="A766" s="1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>
      <c r="A767" s="1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>
      <c r="A768" s="1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>
      <c r="A769" s="1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>
      <c r="A770" s="1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>
      <c r="A771" s="1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>
      <c r="A772" s="1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>
      <c r="A773" s="1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>
      <c r="A774" s="1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>
      <c r="A775" s="1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>
      <c r="A776" s="1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>
      <c r="A777" s="1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>
      <c r="A778" s="1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>
      <c r="A779" s="1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>
      <c r="A780" s="1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>
      <c r="A781" s="1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>
      <c r="A782" s="1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>
      <c r="A783" s="1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>
      <c r="A784" s="1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>
      <c r="A785" s="1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>
      <c r="A786" s="1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>
      <c r="A787" s="1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>
      <c r="A788" s="1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>
      <c r="A789" s="1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>
      <c r="A790" s="1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>
      <c r="A791" s="1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>
      <c r="A792" s="1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>
      <c r="A793" s="1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>
      <c r="A794" s="1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>
      <c r="A795" s="1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>
      <c r="A796" s="1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>
      <c r="A797" s="1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>
      <c r="A798" s="1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>
      <c r="A799" s="1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>
      <c r="A800" s="1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>
      <c r="A801" s="1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>
      <c r="A802" s="1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>
      <c r="A803" s="1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>
      <c r="A804" s="1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>
      <c r="A805" s="1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>
      <c r="A806" s="1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>
      <c r="A807" s="1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>
      <c r="A808" s="1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>
      <c r="A809" s="1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>
      <c r="A810" s="1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>
      <c r="A811" s="1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>
      <c r="A812" s="1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>
      <c r="A813" s="1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>
      <c r="A814" s="1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>
      <c r="A815" s="1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>
      <c r="A816" s="1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>
      <c r="A817" s="1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>
      <c r="A818" s="1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>
      <c r="A819" s="1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>
      <c r="A820" s="1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>
      <c r="A821" s="1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>
      <c r="A822" s="1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>
      <c r="A823" s="1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>
      <c r="A824" s="1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>
      <c r="A825" s="1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>
      <c r="A826" s="1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>
      <c r="A827" s="1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>
      <c r="A828" s="1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>
      <c r="A829" s="1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>
      <c r="A830" s="1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>
      <c r="A831" s="1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>
      <c r="A832" s="1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>
      <c r="A833" s="1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>
      <c r="A834" s="1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>
      <c r="A835" s="1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>
      <c r="A836" s="1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>
      <c r="A837" s="1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>
      <c r="A838" s="1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>
      <c r="A839" s="1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>
      <c r="A840" s="1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>
      <c r="A841" s="1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>
      <c r="A842" s="1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>
      <c r="A843" s="1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>
      <c r="A844" s="1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>
      <c r="A845" s="1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>
      <c r="A846" s="1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>
      <c r="A847" s="1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>
      <c r="A848" s="1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>
      <c r="A849" s="1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>
      <c r="A850" s="1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>
      <c r="A851" s="1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>
      <c r="A852" s="1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>
      <c r="A853" s="1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>
      <c r="A854" s="1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>
      <c r="A855" s="1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>
      <c r="A856" s="1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>
      <c r="A857" s="1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>
      <c r="A858" s="1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>
      <c r="A859" s="1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>
      <c r="A860" s="1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>
      <c r="A861" s="1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>
      <c r="A862" s="1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>
      <c r="A863" s="1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>
      <c r="A864" s="1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>
      <c r="A865" s="1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>
      <c r="A866" s="1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>
      <c r="A867" s="1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>
      <c r="A868" s="1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>
      <c r="A869" s="1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>
      <c r="A870" s="1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>
      <c r="A871" s="1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>
      <c r="A872" s="1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>
      <c r="A873" s="1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>
      <c r="A874" s="1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>
      <c r="A875" s="1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>
      <c r="A876" s="1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>
      <c r="A877" s="1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>
      <c r="A878" s="1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>
      <c r="A879" s="1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>
      <c r="A880" s="1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>
      <c r="A881" s="1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>
      <c r="A882" s="1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>
      <c r="A883" s="1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>
      <c r="A884" s="1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>
      <c r="A885" s="1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>
      <c r="A886" s="1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>
      <c r="A887" s="1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>
      <c r="A888" s="1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>
      <c r="A889" s="1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>
      <c r="A890" s="1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>
      <c r="A891" s="1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>
      <c r="A892" s="1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>
      <c r="A893" s="1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>
      <c r="A894" s="1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>
      <c r="A895" s="1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>
      <c r="A896" s="1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>
      <c r="A897" s="1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>
      <c r="A898" s="1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>
      <c r="A899" s="1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>
      <c r="A900" s="1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>
      <c r="A901" s="1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>
      <c r="A902" s="1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>
      <c r="A903" s="1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>
      <c r="A904" s="1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>
      <c r="A905" s="1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>
      <c r="A906" s="1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>
      <c r="A907" s="1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>
      <c r="A908" s="1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>
      <c r="A909" s="1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>
      <c r="A910" s="1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>
      <c r="A911" s="1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>
      <c r="A912" s="1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>
      <c r="A913" s="1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>
      <c r="A914" s="1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>
      <c r="A915" s="1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>
      <c r="A916" s="1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>
      <c r="A917" s="1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>
      <c r="A918" s="1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>
      <c r="A919" s="1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>
      <c r="A920" s="1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>
      <c r="A921" s="1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>
      <c r="A922" s="1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>
      <c r="A923" s="1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>
      <c r="A924" s="1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>
      <c r="A925" s="1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>
      <c r="A926" s="1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>
      <c r="A927" s="1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>
      <c r="A928" s="1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>
      <c r="A929" s="1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>
      <c r="A930" s="1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>
      <c r="A931" s="1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>
      <c r="A932" s="1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>
      <c r="A933" s="1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>
      <c r="A934" s="1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>
      <c r="A935" s="1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>
      <c r="A936" s="1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>
      <c r="A937" s="1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>
      <c r="A938" s="1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>
      <c r="A939" s="1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>
      <c r="A940" s="1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>
      <c r="A941" s="1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>
      <c r="A942" s="1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>
      <c r="A943" s="1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>
      <c r="A944" s="1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>
      <c r="A945" s="1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>
      <c r="A946" s="1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>
      <c r="A947" s="1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>
      <c r="A948" s="1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>
      <c r="A949" s="1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>
      <c r="A950" s="1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>
      <c r="A951" s="1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>
      <c r="A952" s="1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>
      <c r="A953" s="1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>
      <c r="A954" s="1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>
      <c r="A955" s="1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>
      <c r="A956" s="1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>
      <c r="A957" s="1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>
      <c r="A958" s="1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>
      <c r="A959" s="1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>
      <c r="A960" s="1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>
      <c r="A961" s="1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>
      <c r="A962" s="1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>
      <c r="A963" s="1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>
      <c r="A964" s="1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>
      <c r="A965" s="1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>
      <c r="A966" s="1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>
      <c r="A967" s="1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>
      <c r="A968" s="1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>
      <c r="A969" s="1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>
      <c r="A970" s="1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>
      <c r="A971" s="1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>
      <c r="A972" s="1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>
      <c r="A973" s="1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>
      <c r="A974" s="1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>
      <c r="A975" s="1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>
      <c r="A976" s="1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>
      <c r="A977" s="1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>
      <c r="A978" s="1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>
      <c r="A979" s="1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>
      <c r="A980" s="1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>
      <c r="A981" s="1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>
      <c r="A982" s="1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>
      <c r="A983" s="1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>
      <c r="A984" s="1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>
      <c r="A985" s="1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>
      <c r="A986" s="1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>
      <c r="A987" s="1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>
      <c r="A988" s="1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>
      <c r="A989" s="1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>
      <c r="A990" s="1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>
      <c r="A991" s="1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>
      <c r="A992" s="1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>
      <c r="A993" s="1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>
      <c r="A994" s="1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>
      <c r="A995" s="1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>
      <c r="A996" s="1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>
      <c r="A997" s="1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>
      <c r="A998" s="1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>
      <c r="A999" s="1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>
      <c r="A1000" s="1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>
      <c r="A1001" s="1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>
      <c r="A1002" s="1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40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>
      <c r="B2" s="13">
        <v>1994.0</v>
      </c>
      <c r="C2" s="13">
        <v>1995.0</v>
      </c>
      <c r="D2" s="13">
        <v>1996.0</v>
      </c>
      <c r="E2" s="13">
        <v>1997.0</v>
      </c>
      <c r="F2" s="13">
        <v>1998.0</v>
      </c>
      <c r="G2" s="13">
        <v>1999.0</v>
      </c>
      <c r="H2" s="13">
        <v>2000.0</v>
      </c>
      <c r="I2" s="13">
        <v>2001.0</v>
      </c>
      <c r="J2" s="13">
        <v>2002.0</v>
      </c>
      <c r="K2" s="13">
        <v>2003.0</v>
      </c>
      <c r="L2" s="13">
        <v>2004.0</v>
      </c>
      <c r="M2" s="13">
        <v>2005.0</v>
      </c>
      <c r="N2" s="13">
        <v>2006.0</v>
      </c>
      <c r="O2" s="13">
        <v>2007.0</v>
      </c>
      <c r="P2" s="13">
        <v>2008.0</v>
      </c>
      <c r="Q2" s="13">
        <v>2009.0</v>
      </c>
      <c r="R2" s="13">
        <v>2010.0</v>
      </c>
      <c r="S2" s="13">
        <v>2011.0</v>
      </c>
      <c r="T2" s="13">
        <v>2012.0</v>
      </c>
      <c r="U2" s="13">
        <v>2013.0</v>
      </c>
      <c r="V2" s="13">
        <v>2014.0</v>
      </c>
      <c r="W2" s="13">
        <v>2015.0</v>
      </c>
      <c r="X2" s="13">
        <v>2016.0</v>
      </c>
      <c r="Y2" s="13">
        <v>2017.0</v>
      </c>
      <c r="Z2" s="13">
        <v>2018.0</v>
      </c>
      <c r="AA2" s="13">
        <v>2019.0</v>
      </c>
      <c r="AB2" s="13">
        <v>2020.0</v>
      </c>
      <c r="AC2" s="13">
        <v>2021.0</v>
      </c>
      <c r="AD2" s="13">
        <v>2022.0</v>
      </c>
      <c r="AE2" s="13">
        <v>2023.0</v>
      </c>
      <c r="AF2" s="13"/>
      <c r="AG2" s="13"/>
      <c r="AH2" s="13"/>
      <c r="AI2" s="13"/>
    </row>
    <row r="3">
      <c r="A3" s="1" t="s">
        <v>12</v>
      </c>
      <c r="F3" s="16">
        <v>78.75</v>
      </c>
      <c r="G3" s="16">
        <v>81.75</v>
      </c>
      <c r="H3" s="16">
        <v>81.75</v>
      </c>
      <c r="I3" s="16">
        <v>98.75</v>
      </c>
      <c r="J3" s="16">
        <v>98.75</v>
      </c>
      <c r="K3" s="16">
        <v>98.75</v>
      </c>
      <c r="L3" s="16">
        <v>98.75</v>
      </c>
      <c r="M3" s="16">
        <v>148.25</v>
      </c>
      <c r="N3" s="16">
        <v>197.75</v>
      </c>
      <c r="O3" s="16">
        <v>205.75</v>
      </c>
      <c r="P3" s="16">
        <v>207.75</v>
      </c>
      <c r="Q3" s="16">
        <v>214.25</v>
      </c>
      <c r="R3" s="16">
        <v>250.75</v>
      </c>
      <c r="S3" s="16">
        <v>262.5</v>
      </c>
      <c r="T3" s="16">
        <v>262.25</v>
      </c>
      <c r="U3" s="16">
        <v>265.75</v>
      </c>
      <c r="V3" s="16">
        <v>319.75</v>
      </c>
      <c r="W3" s="16">
        <v>525.25</v>
      </c>
      <c r="X3" s="16">
        <v>537.25</v>
      </c>
      <c r="Y3" s="16">
        <v>693.75</v>
      </c>
      <c r="Z3" s="16">
        <v>700.5</v>
      </c>
    </row>
    <row r="4">
      <c r="A4" s="13" t="s">
        <v>14</v>
      </c>
      <c r="F4" s="16">
        <v>78.75</v>
      </c>
      <c r="G4" s="16">
        <v>81.75</v>
      </c>
      <c r="H4" s="16">
        <v>81.75</v>
      </c>
      <c r="I4" s="16">
        <v>98.75</v>
      </c>
      <c r="J4" s="16">
        <v>98.75</v>
      </c>
      <c r="K4" s="16">
        <v>98.75</v>
      </c>
      <c r="L4" s="16">
        <v>98.75</v>
      </c>
      <c r="M4" s="16">
        <v>148.25</v>
      </c>
      <c r="N4" s="16">
        <v>197.75</v>
      </c>
      <c r="O4" s="16">
        <v>205.75</v>
      </c>
      <c r="P4" s="16">
        <v>207.75</v>
      </c>
      <c r="Q4" s="16">
        <v>214.25</v>
      </c>
      <c r="R4" s="16">
        <v>250.75</v>
      </c>
      <c r="S4" s="16">
        <v>262.5</v>
      </c>
      <c r="T4" s="16">
        <v>262.25</v>
      </c>
      <c r="U4" s="16">
        <v>265.75</v>
      </c>
      <c r="V4" s="16">
        <v>319.75</v>
      </c>
      <c r="W4" s="16">
        <v>525.25</v>
      </c>
      <c r="X4" s="16">
        <v>537.25</v>
      </c>
      <c r="Y4" s="16">
        <v>693.75</v>
      </c>
      <c r="Z4" s="16">
        <v>700.5</v>
      </c>
    </row>
    <row r="5">
      <c r="A5" s="13" t="s">
        <v>15</v>
      </c>
      <c r="F5" s="16">
        <v>78.75</v>
      </c>
      <c r="G5" s="16">
        <v>81.75</v>
      </c>
      <c r="H5" s="16">
        <v>81.75</v>
      </c>
      <c r="I5" s="16">
        <v>98.75</v>
      </c>
      <c r="J5" s="16">
        <v>98.75</v>
      </c>
      <c r="K5" s="16">
        <v>98.75</v>
      </c>
      <c r="L5" s="16">
        <v>98.75</v>
      </c>
      <c r="M5" s="16">
        <v>148.25</v>
      </c>
      <c r="N5" s="16">
        <v>197.75</v>
      </c>
      <c r="O5" s="16">
        <v>205.75</v>
      </c>
      <c r="P5" s="16">
        <v>207.75</v>
      </c>
      <c r="Q5" s="16">
        <v>214.25</v>
      </c>
      <c r="R5" s="16">
        <v>250.75</v>
      </c>
      <c r="S5" s="16">
        <v>262.5</v>
      </c>
      <c r="T5" s="16">
        <v>262.25</v>
      </c>
      <c r="U5" s="16">
        <v>265.75</v>
      </c>
      <c r="V5" s="16">
        <v>319.75</v>
      </c>
      <c r="W5" s="16">
        <v>525.25</v>
      </c>
      <c r="X5" s="16">
        <v>537.25</v>
      </c>
      <c r="Y5" s="16">
        <v>693.75</v>
      </c>
      <c r="Z5" s="16">
        <v>700.5</v>
      </c>
    </row>
    <row r="6">
      <c r="A6" s="13" t="s">
        <v>16</v>
      </c>
      <c r="F6" s="16">
        <v>78.75</v>
      </c>
      <c r="G6" s="16">
        <v>81.75</v>
      </c>
      <c r="H6" s="16">
        <v>81.75</v>
      </c>
      <c r="I6" s="16">
        <v>98.75</v>
      </c>
      <c r="J6" s="16">
        <v>98.75</v>
      </c>
      <c r="K6" s="16">
        <v>98.75</v>
      </c>
      <c r="L6" s="16">
        <v>98.75</v>
      </c>
      <c r="M6" s="16">
        <v>148.25</v>
      </c>
      <c r="N6" s="16">
        <v>197.75</v>
      </c>
      <c r="O6" s="16">
        <v>205.75</v>
      </c>
      <c r="P6" s="16">
        <v>207.75</v>
      </c>
      <c r="Q6" s="16">
        <v>214.25</v>
      </c>
      <c r="R6" s="16">
        <v>250.75</v>
      </c>
      <c r="S6" s="16">
        <v>262.5</v>
      </c>
      <c r="T6" s="16">
        <v>262.25</v>
      </c>
      <c r="U6" s="16">
        <v>265.75</v>
      </c>
      <c r="V6" s="16">
        <v>319.75</v>
      </c>
      <c r="W6" s="16">
        <v>525.25</v>
      </c>
      <c r="X6" s="16">
        <v>537.25</v>
      </c>
      <c r="Y6" s="16">
        <v>693.75</v>
      </c>
      <c r="Z6" s="16">
        <v>700.5</v>
      </c>
    </row>
    <row r="7">
      <c r="A7" s="13" t="s">
        <v>17</v>
      </c>
      <c r="F7" s="16">
        <v>78.75</v>
      </c>
      <c r="G7" s="16">
        <v>81.75</v>
      </c>
      <c r="H7" s="16">
        <v>81.75</v>
      </c>
      <c r="I7" s="16">
        <v>98.75</v>
      </c>
      <c r="J7" s="16">
        <v>98.75</v>
      </c>
      <c r="K7" s="16">
        <v>98.75</v>
      </c>
      <c r="L7" s="16">
        <v>98.75</v>
      </c>
      <c r="M7" s="16">
        <v>148.25</v>
      </c>
      <c r="N7" s="16">
        <v>197.75</v>
      </c>
      <c r="O7" s="16">
        <v>205.75</v>
      </c>
      <c r="P7" s="16">
        <v>207.75</v>
      </c>
      <c r="Q7" s="16">
        <v>214.25</v>
      </c>
      <c r="R7" s="16">
        <v>250.75</v>
      </c>
      <c r="S7" s="16">
        <v>262.5</v>
      </c>
      <c r="T7" s="16">
        <v>262.25</v>
      </c>
      <c r="U7" s="16">
        <v>265.75</v>
      </c>
      <c r="V7" s="16">
        <v>319.75</v>
      </c>
      <c r="W7" s="16">
        <v>525.25</v>
      </c>
      <c r="X7" s="16">
        <v>537.25</v>
      </c>
      <c r="Y7" s="16">
        <v>693.75</v>
      </c>
      <c r="Z7" s="16">
        <v>700.5</v>
      </c>
    </row>
    <row r="8">
      <c r="A8" s="13" t="s">
        <v>18</v>
      </c>
      <c r="F8" s="16">
        <v>78.75</v>
      </c>
      <c r="G8" s="16">
        <v>81.75</v>
      </c>
      <c r="H8" s="16">
        <v>81.75</v>
      </c>
      <c r="I8" s="16">
        <v>98.75</v>
      </c>
      <c r="J8" s="16">
        <v>98.75</v>
      </c>
      <c r="K8" s="16">
        <v>98.75</v>
      </c>
      <c r="L8" s="16">
        <v>98.75</v>
      </c>
      <c r="M8" s="16">
        <v>148.25</v>
      </c>
      <c r="N8" s="16">
        <v>197.75</v>
      </c>
      <c r="O8" s="16">
        <v>205.75</v>
      </c>
      <c r="P8" s="16">
        <v>207.75</v>
      </c>
      <c r="Q8" s="16">
        <v>214.25</v>
      </c>
      <c r="R8" s="16">
        <v>250.75</v>
      </c>
      <c r="S8" s="16">
        <v>262.5</v>
      </c>
      <c r="T8" s="16">
        <v>262.25</v>
      </c>
      <c r="U8" s="16">
        <v>265.75</v>
      </c>
      <c r="V8" s="16">
        <v>319.75</v>
      </c>
      <c r="W8" s="16">
        <v>525.25</v>
      </c>
      <c r="X8" s="16">
        <v>537.25</v>
      </c>
      <c r="Y8" s="16">
        <v>693.75</v>
      </c>
      <c r="Z8" s="16">
        <v>700.5</v>
      </c>
    </row>
    <row r="9">
      <c r="A9" s="13" t="s">
        <v>19</v>
      </c>
      <c r="F9" s="16">
        <v>78.75</v>
      </c>
      <c r="G9" s="16">
        <v>81.75</v>
      </c>
      <c r="H9" s="16">
        <v>81.75</v>
      </c>
      <c r="I9" s="16">
        <v>98.75</v>
      </c>
      <c r="J9" s="16">
        <v>98.75</v>
      </c>
      <c r="K9" s="16">
        <v>98.75</v>
      </c>
      <c r="L9" s="16">
        <v>98.75</v>
      </c>
      <c r="M9" s="16">
        <v>148.25</v>
      </c>
      <c r="N9" s="16">
        <v>197.75</v>
      </c>
      <c r="O9" s="16">
        <v>205.75</v>
      </c>
      <c r="P9" s="16">
        <v>207.75</v>
      </c>
      <c r="Q9" s="16">
        <v>214.25</v>
      </c>
      <c r="R9" s="16">
        <v>250.75</v>
      </c>
      <c r="S9" s="16">
        <v>262.5</v>
      </c>
      <c r="T9" s="16">
        <v>262.25</v>
      </c>
      <c r="U9" s="16">
        <v>265.75</v>
      </c>
      <c r="V9" s="16">
        <v>319.75</v>
      </c>
      <c r="W9" s="16">
        <v>525.25</v>
      </c>
      <c r="X9" s="16">
        <v>537.25</v>
      </c>
      <c r="Y9" s="16">
        <v>693.75</v>
      </c>
      <c r="Z9" s="16">
        <v>700.5</v>
      </c>
    </row>
    <row r="10">
      <c r="A10" s="13" t="s">
        <v>20</v>
      </c>
      <c r="F10" s="16">
        <v>78.75</v>
      </c>
      <c r="G10" s="16">
        <v>81.75</v>
      </c>
      <c r="H10" s="16">
        <v>81.75</v>
      </c>
      <c r="I10" s="16">
        <v>98.75</v>
      </c>
      <c r="J10" s="16">
        <v>98.75</v>
      </c>
      <c r="K10" s="16">
        <v>98.75</v>
      </c>
      <c r="L10" s="16">
        <v>98.75</v>
      </c>
      <c r="M10" s="16">
        <v>148.25</v>
      </c>
      <c r="N10" s="16">
        <v>197.75</v>
      </c>
      <c r="O10" s="16">
        <v>205.75</v>
      </c>
      <c r="P10" s="16">
        <v>207.75</v>
      </c>
      <c r="Q10" s="16">
        <v>214.25</v>
      </c>
      <c r="R10" s="16">
        <v>250.75</v>
      </c>
      <c r="S10" s="16">
        <v>262.5</v>
      </c>
      <c r="T10" s="16">
        <v>262.25</v>
      </c>
      <c r="U10" s="16">
        <v>265.75</v>
      </c>
      <c r="V10" s="16">
        <v>319.75</v>
      </c>
      <c r="W10" s="16">
        <v>525.25</v>
      </c>
      <c r="X10" s="16">
        <v>537.25</v>
      </c>
      <c r="Y10" s="16">
        <v>693.75</v>
      </c>
      <c r="Z10" s="16">
        <v>700.5</v>
      </c>
    </row>
    <row r="11">
      <c r="A11" s="13" t="s">
        <v>21</v>
      </c>
      <c r="F11" s="16">
        <v>78.75</v>
      </c>
      <c r="G11" s="16">
        <v>81.75</v>
      </c>
      <c r="H11" s="16">
        <v>81.75</v>
      </c>
      <c r="I11" s="16">
        <v>98.75</v>
      </c>
      <c r="J11" s="16">
        <v>98.75</v>
      </c>
      <c r="K11" s="16">
        <v>98.75</v>
      </c>
      <c r="L11" s="16">
        <v>98.75</v>
      </c>
      <c r="M11" s="16">
        <v>148.25</v>
      </c>
      <c r="N11" s="16">
        <v>197.75</v>
      </c>
      <c r="O11" s="16">
        <v>205.75</v>
      </c>
      <c r="P11" s="16">
        <v>207.75</v>
      </c>
      <c r="Q11" s="16">
        <v>214.25</v>
      </c>
      <c r="R11" s="16">
        <v>250.75</v>
      </c>
      <c r="S11" s="16">
        <v>262.5</v>
      </c>
      <c r="T11" s="16">
        <v>262.25</v>
      </c>
      <c r="U11" s="16">
        <v>265.75</v>
      </c>
      <c r="V11" s="16">
        <v>319.75</v>
      </c>
      <c r="W11" s="16">
        <v>525.25</v>
      </c>
      <c r="X11" s="16">
        <v>537.25</v>
      </c>
      <c r="Y11" s="16">
        <v>693.75</v>
      </c>
      <c r="Z11" s="16">
        <v>700.5</v>
      </c>
    </row>
    <row r="12">
      <c r="A12" s="13" t="s">
        <v>22</v>
      </c>
      <c r="F12" s="16">
        <v>78.75</v>
      </c>
      <c r="G12" s="16">
        <v>81.75</v>
      </c>
      <c r="H12" s="16">
        <v>81.75</v>
      </c>
      <c r="I12" s="16">
        <v>98.75</v>
      </c>
      <c r="J12" s="16">
        <v>98.75</v>
      </c>
      <c r="K12" s="16">
        <v>98.75</v>
      </c>
      <c r="L12" s="16">
        <v>98.75</v>
      </c>
      <c r="M12" s="16">
        <v>148.25</v>
      </c>
      <c r="N12" s="16">
        <v>197.75</v>
      </c>
      <c r="O12" s="16">
        <v>205.75</v>
      </c>
      <c r="P12" s="16">
        <v>207.75</v>
      </c>
      <c r="Q12" s="16">
        <v>214.25</v>
      </c>
      <c r="R12" s="16">
        <v>250.75</v>
      </c>
      <c r="S12" s="16">
        <v>262.5</v>
      </c>
      <c r="T12" s="16">
        <v>262.25</v>
      </c>
      <c r="U12" s="16">
        <v>265.75</v>
      </c>
      <c r="V12" s="16">
        <v>319.75</v>
      </c>
      <c r="W12" s="16">
        <v>525.25</v>
      </c>
      <c r="X12" s="16">
        <v>537.25</v>
      </c>
      <c r="Y12" s="16">
        <v>693.75</v>
      </c>
      <c r="Z12" s="16">
        <v>700.5</v>
      </c>
    </row>
    <row r="13">
      <c r="A13" s="13" t="s">
        <v>23</v>
      </c>
      <c r="F13" s="16">
        <v>78.75</v>
      </c>
      <c r="G13" s="16">
        <v>81.75</v>
      </c>
      <c r="H13" s="16">
        <v>81.75</v>
      </c>
      <c r="I13" s="16">
        <v>98.75</v>
      </c>
      <c r="J13" s="16">
        <v>98.75</v>
      </c>
      <c r="K13" s="16">
        <v>98.75</v>
      </c>
      <c r="L13" s="16">
        <v>98.75</v>
      </c>
      <c r="M13" s="16">
        <v>148.25</v>
      </c>
      <c r="N13" s="16">
        <v>197.75</v>
      </c>
      <c r="O13" s="16">
        <v>205.75</v>
      </c>
      <c r="P13" s="16">
        <v>207.75</v>
      </c>
      <c r="Q13" s="16">
        <v>214.25</v>
      </c>
      <c r="R13" s="16">
        <v>250.75</v>
      </c>
      <c r="S13" s="16">
        <v>262.5</v>
      </c>
      <c r="T13" s="16">
        <v>262.25</v>
      </c>
      <c r="U13" s="16">
        <v>265.75</v>
      </c>
      <c r="V13" s="16">
        <v>319.75</v>
      </c>
      <c r="W13" s="16">
        <v>525.25</v>
      </c>
      <c r="X13" s="16">
        <v>537.25</v>
      </c>
      <c r="Y13" s="16">
        <v>693.75</v>
      </c>
      <c r="Z13" s="16">
        <v>700.5</v>
      </c>
    </row>
    <row r="14">
      <c r="A14" s="13" t="s">
        <v>24</v>
      </c>
      <c r="F14" s="16">
        <v>78.75</v>
      </c>
      <c r="G14" s="16">
        <v>81.75</v>
      </c>
      <c r="H14" s="16">
        <v>81.75</v>
      </c>
      <c r="I14" s="16">
        <v>98.75</v>
      </c>
      <c r="J14" s="16">
        <v>98.75</v>
      </c>
      <c r="K14" s="16">
        <v>98.75</v>
      </c>
      <c r="L14" s="16">
        <v>98.75</v>
      </c>
      <c r="M14" s="16">
        <v>148.25</v>
      </c>
      <c r="N14" s="16">
        <v>197.75</v>
      </c>
      <c r="O14" s="16">
        <v>205.75</v>
      </c>
      <c r="P14" s="16">
        <v>207.75</v>
      </c>
      <c r="Q14" s="16">
        <v>214.25</v>
      </c>
      <c r="R14" s="16">
        <v>250.75</v>
      </c>
      <c r="S14" s="16">
        <v>262.5</v>
      </c>
      <c r="T14" s="16">
        <v>262.25</v>
      </c>
      <c r="U14" s="16">
        <v>265.75</v>
      </c>
      <c r="V14" s="16">
        <v>319.75</v>
      </c>
      <c r="W14" s="16">
        <v>525.25</v>
      </c>
      <c r="X14" s="16">
        <v>537.25</v>
      </c>
      <c r="Y14" s="16">
        <v>693.75</v>
      </c>
      <c r="Z14" s="16">
        <v>700.5</v>
      </c>
    </row>
    <row r="15">
      <c r="A15" s="13" t="s">
        <v>25</v>
      </c>
      <c r="F15" s="16">
        <v>78.75</v>
      </c>
      <c r="G15" s="16">
        <v>81.75</v>
      </c>
      <c r="H15" s="16">
        <v>81.75</v>
      </c>
      <c r="I15" s="16">
        <v>98.75</v>
      </c>
      <c r="J15" s="16">
        <v>98.75</v>
      </c>
      <c r="K15" s="16">
        <v>98.75</v>
      </c>
      <c r="L15" s="16">
        <v>98.75</v>
      </c>
      <c r="M15" s="16">
        <v>148.25</v>
      </c>
      <c r="N15" s="16">
        <v>197.75</v>
      </c>
      <c r="O15" s="16">
        <v>205.75</v>
      </c>
      <c r="P15" s="16">
        <v>207.75</v>
      </c>
      <c r="Q15" s="16">
        <v>214.25</v>
      </c>
      <c r="R15" s="16">
        <v>250.75</v>
      </c>
      <c r="S15" s="16">
        <v>262.5</v>
      </c>
      <c r="T15" s="16">
        <v>262.25</v>
      </c>
      <c r="U15" s="16">
        <v>265.75</v>
      </c>
      <c r="V15" s="16">
        <v>319.75</v>
      </c>
      <c r="W15" s="16">
        <v>525.25</v>
      </c>
      <c r="X15" s="16">
        <v>537.25</v>
      </c>
      <c r="Y15" s="16">
        <v>693.75</v>
      </c>
      <c r="Z15" s="16">
        <v>700.5</v>
      </c>
    </row>
    <row r="16">
      <c r="A16" s="13" t="s">
        <v>26</v>
      </c>
      <c r="F16" s="16">
        <v>78.75</v>
      </c>
      <c r="G16" s="16">
        <v>81.75</v>
      </c>
      <c r="H16" s="16">
        <v>81.75</v>
      </c>
      <c r="I16" s="16">
        <v>98.75</v>
      </c>
      <c r="J16" s="16">
        <v>98.75</v>
      </c>
      <c r="K16" s="16">
        <v>98.75</v>
      </c>
      <c r="L16" s="16">
        <v>98.75</v>
      </c>
      <c r="M16" s="16">
        <v>148.25</v>
      </c>
      <c r="N16" s="16">
        <v>197.75</v>
      </c>
      <c r="O16" s="16">
        <v>205.75</v>
      </c>
      <c r="P16" s="16">
        <v>207.75</v>
      </c>
      <c r="Q16" s="16">
        <v>214.25</v>
      </c>
      <c r="R16" s="16">
        <v>250.75</v>
      </c>
      <c r="S16" s="16">
        <v>262.5</v>
      </c>
      <c r="T16" s="16">
        <v>262.25</v>
      </c>
      <c r="U16" s="16">
        <v>265.75</v>
      </c>
      <c r="V16" s="16">
        <v>319.75</v>
      </c>
      <c r="W16" s="16">
        <v>525.25</v>
      </c>
      <c r="X16" s="16">
        <v>537.25</v>
      </c>
      <c r="Y16" s="16">
        <v>693.75</v>
      </c>
      <c r="Z16" s="16">
        <v>700.5</v>
      </c>
    </row>
    <row r="17">
      <c r="A17" s="13" t="s">
        <v>27</v>
      </c>
      <c r="F17" s="16">
        <v>78.75</v>
      </c>
      <c r="G17" s="16">
        <v>81.75</v>
      </c>
      <c r="H17" s="16">
        <v>81.75</v>
      </c>
      <c r="I17" s="16">
        <v>98.75</v>
      </c>
      <c r="J17" s="16">
        <v>98.75</v>
      </c>
      <c r="K17" s="16">
        <v>98.75</v>
      </c>
      <c r="L17" s="16">
        <v>98.75</v>
      </c>
      <c r="M17" s="16">
        <v>148.25</v>
      </c>
      <c r="N17" s="16">
        <v>197.75</v>
      </c>
      <c r="O17" s="16">
        <v>205.75</v>
      </c>
      <c r="P17" s="16">
        <v>207.75</v>
      </c>
      <c r="Q17" s="16">
        <v>214.25</v>
      </c>
      <c r="R17" s="16">
        <v>250.75</v>
      </c>
      <c r="S17" s="16">
        <v>262.5</v>
      </c>
      <c r="T17" s="16">
        <v>262.25</v>
      </c>
      <c r="U17" s="16">
        <v>265.75</v>
      </c>
      <c r="V17" s="16">
        <v>319.75</v>
      </c>
      <c r="W17" s="16">
        <v>525.25</v>
      </c>
      <c r="X17" s="16">
        <v>537.25</v>
      </c>
      <c r="Y17" s="16">
        <v>693.75</v>
      </c>
      <c r="Z17" s="16">
        <v>700.5</v>
      </c>
    </row>
    <row r="18">
      <c r="A18" s="13" t="s">
        <v>28</v>
      </c>
      <c r="F18" s="16">
        <v>78.75</v>
      </c>
      <c r="G18" s="16">
        <v>81.75</v>
      </c>
      <c r="H18" s="16">
        <v>81.75</v>
      </c>
      <c r="I18" s="16">
        <v>98.75</v>
      </c>
      <c r="J18" s="16">
        <v>98.75</v>
      </c>
      <c r="K18" s="16">
        <v>98.75</v>
      </c>
      <c r="L18" s="16">
        <v>98.75</v>
      </c>
      <c r="M18" s="16">
        <v>148.25</v>
      </c>
      <c r="N18" s="16">
        <v>197.75</v>
      </c>
      <c r="O18" s="16">
        <v>205.75</v>
      </c>
      <c r="P18" s="16">
        <v>207.75</v>
      </c>
      <c r="Q18" s="16">
        <v>214.25</v>
      </c>
      <c r="R18" s="16">
        <v>250.75</v>
      </c>
      <c r="S18" s="16">
        <v>262.5</v>
      </c>
      <c r="T18" s="16">
        <v>262.25</v>
      </c>
      <c r="U18" s="16">
        <v>265.75</v>
      </c>
      <c r="V18" s="16">
        <v>319.75</v>
      </c>
      <c r="W18" s="16">
        <v>525.25</v>
      </c>
      <c r="X18" s="16">
        <v>537.25</v>
      </c>
      <c r="Y18" s="16">
        <v>693.75</v>
      </c>
      <c r="Z18" s="16">
        <v>700.5</v>
      </c>
    </row>
    <row r="19">
      <c r="A19" s="13" t="s"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">
        <v>30</v>
      </c>
      <c r="F20" s="16">
        <v>78.75</v>
      </c>
      <c r="G20" s="16">
        <v>81.75</v>
      </c>
      <c r="H20" s="16">
        <v>81.75</v>
      </c>
      <c r="I20" s="16">
        <v>98.75</v>
      </c>
      <c r="J20" s="16">
        <v>98.75</v>
      </c>
      <c r="K20" s="16">
        <v>98.75</v>
      </c>
      <c r="L20" s="16">
        <v>98.75</v>
      </c>
      <c r="M20" s="16">
        <v>148.25</v>
      </c>
      <c r="N20" s="16">
        <v>197.75</v>
      </c>
      <c r="O20" s="16">
        <v>205.75</v>
      </c>
      <c r="P20" s="16">
        <v>207.75</v>
      </c>
      <c r="Q20" s="16">
        <v>214.25</v>
      </c>
      <c r="R20" s="16">
        <v>250.75</v>
      </c>
      <c r="S20" s="16">
        <v>262.5</v>
      </c>
      <c r="T20" s="16">
        <v>262.25</v>
      </c>
      <c r="U20" s="16">
        <v>265.75</v>
      </c>
      <c r="V20" s="16">
        <v>319.75</v>
      </c>
      <c r="W20" s="16">
        <v>525.25</v>
      </c>
      <c r="X20" s="16">
        <v>537.25</v>
      </c>
      <c r="Y20" s="16">
        <v>693.75</v>
      </c>
      <c r="Z20" s="16">
        <v>700.5</v>
      </c>
    </row>
    <row r="21">
      <c r="A21" s="13" t="s">
        <v>31</v>
      </c>
      <c r="F21" s="16">
        <v>78.75</v>
      </c>
      <c r="G21" s="16">
        <v>81.75</v>
      </c>
      <c r="H21" s="16">
        <v>81.75</v>
      </c>
      <c r="I21" s="16">
        <v>98.75</v>
      </c>
      <c r="J21" s="16">
        <v>98.75</v>
      </c>
      <c r="K21" s="16">
        <v>98.75</v>
      </c>
      <c r="L21" s="16">
        <v>98.75</v>
      </c>
      <c r="M21" s="16">
        <v>148.25</v>
      </c>
      <c r="N21" s="16">
        <v>197.75</v>
      </c>
      <c r="O21" s="16">
        <v>205.75</v>
      </c>
      <c r="P21" s="16">
        <v>207.75</v>
      </c>
      <c r="Q21" s="16">
        <v>214.25</v>
      </c>
      <c r="R21" s="16">
        <v>250.75</v>
      </c>
      <c r="S21" s="16">
        <v>262.5</v>
      </c>
      <c r="T21" s="16">
        <v>262.25</v>
      </c>
      <c r="U21" s="16">
        <v>265.75</v>
      </c>
      <c r="V21" s="16">
        <v>319.75</v>
      </c>
      <c r="W21" s="16">
        <v>525.25</v>
      </c>
      <c r="X21" s="16">
        <v>537.25</v>
      </c>
      <c r="Y21" s="16">
        <v>693.75</v>
      </c>
      <c r="Z21" s="16">
        <v>700.5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41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B2" s="13">
        <v>1994.0</v>
      </c>
      <c r="C2" s="13">
        <v>1995.0</v>
      </c>
      <c r="D2" s="13">
        <v>1996.0</v>
      </c>
      <c r="E2" s="13">
        <v>1997.0</v>
      </c>
      <c r="F2" s="13">
        <v>1998.0</v>
      </c>
      <c r="G2" s="13">
        <v>1999.0</v>
      </c>
      <c r="H2" s="13">
        <v>2000.0</v>
      </c>
      <c r="I2" s="13">
        <v>2001.0</v>
      </c>
      <c r="J2" s="13">
        <v>2002.0</v>
      </c>
      <c r="K2" s="13">
        <v>2003.0</v>
      </c>
      <c r="L2" s="13">
        <v>2004.0</v>
      </c>
      <c r="M2" s="13">
        <v>2005.0</v>
      </c>
      <c r="N2" s="13">
        <v>2006.0</v>
      </c>
      <c r="O2" s="13">
        <v>2007.0</v>
      </c>
      <c r="P2" s="13">
        <v>2008.0</v>
      </c>
      <c r="Q2" s="13">
        <v>2009.0</v>
      </c>
      <c r="R2" s="13">
        <v>2010.0</v>
      </c>
      <c r="S2" s="13">
        <v>2011.0</v>
      </c>
      <c r="T2" s="13">
        <v>2012.0</v>
      </c>
      <c r="U2" s="13">
        <v>2013.0</v>
      </c>
      <c r="V2" s="13">
        <v>2014.0</v>
      </c>
      <c r="W2" s="13">
        <v>2015.0</v>
      </c>
      <c r="X2" s="13">
        <v>2016.0</v>
      </c>
      <c r="Y2" s="13">
        <v>2017.0</v>
      </c>
      <c r="Z2" s="13">
        <v>2018.0</v>
      </c>
      <c r="AA2" s="13"/>
      <c r="AB2" s="13"/>
      <c r="AC2" s="13"/>
      <c r="AD2" s="13"/>
      <c r="AE2" s="13"/>
    </row>
    <row r="3">
      <c r="A3" s="1" t="s">
        <v>12</v>
      </c>
      <c r="F3" s="16">
        <v>226.0</v>
      </c>
      <c r="G3" s="16">
        <v>230.0</v>
      </c>
      <c r="H3" s="16">
        <v>230.0</v>
      </c>
      <c r="I3" s="16">
        <v>253.0</v>
      </c>
      <c r="J3" s="16">
        <v>278.0</v>
      </c>
      <c r="K3" s="16">
        <v>342.0</v>
      </c>
      <c r="L3" s="16">
        <v>458.0</v>
      </c>
      <c r="M3" s="16">
        <v>586.0</v>
      </c>
      <c r="N3" s="16">
        <v>729.0</v>
      </c>
      <c r="O3" s="16">
        <v>805.0</v>
      </c>
      <c r="P3" s="16">
        <v>849.0</v>
      </c>
      <c r="Q3" s="16">
        <v>966.0</v>
      </c>
      <c r="R3" s="16">
        <v>1005.0</v>
      </c>
      <c r="S3" s="16">
        <v>1075.0</v>
      </c>
      <c r="T3" s="16">
        <v>1153.0</v>
      </c>
      <c r="U3" s="16">
        <v>1386.0</v>
      </c>
      <c r="V3" s="16">
        <v>1577.0</v>
      </c>
      <c r="W3" s="16">
        <v>1877.0</v>
      </c>
      <c r="X3" s="16">
        <v>2073.0</v>
      </c>
      <c r="Y3" s="16">
        <v>2231.0</v>
      </c>
      <c r="Z3" s="16">
        <v>2373.0</v>
      </c>
    </row>
    <row r="4">
      <c r="A4" s="13" t="s">
        <v>14</v>
      </c>
      <c r="F4" s="16">
        <v>226.0</v>
      </c>
      <c r="G4" s="16">
        <v>230.0</v>
      </c>
      <c r="H4" s="16">
        <v>230.0</v>
      </c>
      <c r="I4" s="16">
        <v>253.0</v>
      </c>
      <c r="J4" s="16">
        <v>278.0</v>
      </c>
      <c r="K4" s="16">
        <v>342.0</v>
      </c>
      <c r="L4" s="16">
        <v>458.0</v>
      </c>
      <c r="M4" s="16">
        <v>586.0</v>
      </c>
      <c r="N4" s="16">
        <v>729.0</v>
      </c>
      <c r="O4" s="16">
        <v>805.0</v>
      </c>
      <c r="P4" s="16">
        <v>849.0</v>
      </c>
      <c r="Q4" s="16">
        <v>966.0</v>
      </c>
      <c r="R4" s="16">
        <v>1005.0</v>
      </c>
      <c r="S4" s="16">
        <v>1075.0</v>
      </c>
      <c r="T4" s="16">
        <v>1153.0</v>
      </c>
      <c r="U4" s="16">
        <v>1386.0</v>
      </c>
      <c r="V4" s="16">
        <v>1577.0</v>
      </c>
      <c r="W4" s="16">
        <v>1877.0</v>
      </c>
      <c r="X4" s="16">
        <v>2073.0</v>
      </c>
      <c r="Y4" s="16">
        <v>2231.0</v>
      </c>
      <c r="Z4" s="16">
        <v>2373.0</v>
      </c>
    </row>
    <row r="5">
      <c r="A5" s="13" t="s">
        <v>15</v>
      </c>
      <c r="F5" s="16">
        <v>226.0</v>
      </c>
      <c r="G5" s="16">
        <v>230.0</v>
      </c>
      <c r="H5" s="16">
        <v>230.0</v>
      </c>
      <c r="I5" s="16">
        <v>253.0</v>
      </c>
      <c r="J5" s="16">
        <v>278.0</v>
      </c>
      <c r="K5" s="16">
        <v>342.0</v>
      </c>
      <c r="L5" s="16">
        <v>458.0</v>
      </c>
      <c r="M5" s="16">
        <v>586.0</v>
      </c>
      <c r="N5" s="16">
        <v>729.0</v>
      </c>
      <c r="O5" s="16">
        <v>805.0</v>
      </c>
      <c r="P5" s="16">
        <v>849.0</v>
      </c>
      <c r="Q5" s="16">
        <v>966.0</v>
      </c>
      <c r="R5" s="16">
        <v>1005.0</v>
      </c>
      <c r="S5" s="16">
        <v>1075.0</v>
      </c>
      <c r="T5" s="16">
        <v>1153.0</v>
      </c>
      <c r="U5" s="16">
        <v>1386.0</v>
      </c>
      <c r="V5" s="16">
        <v>1577.0</v>
      </c>
      <c r="W5" s="16">
        <v>1877.0</v>
      </c>
      <c r="X5" s="16">
        <v>2073.0</v>
      </c>
      <c r="Y5" s="16">
        <v>2231.0</v>
      </c>
      <c r="Z5" s="16">
        <v>2373.0</v>
      </c>
    </row>
    <row r="6">
      <c r="A6" s="13" t="s">
        <v>16</v>
      </c>
      <c r="F6" s="16">
        <v>226.0</v>
      </c>
      <c r="G6" s="16">
        <v>230.0</v>
      </c>
      <c r="H6" s="16">
        <v>230.0</v>
      </c>
      <c r="I6" s="16">
        <v>253.0</v>
      </c>
      <c r="J6" s="16">
        <v>278.0</v>
      </c>
      <c r="K6" s="16">
        <v>342.0</v>
      </c>
      <c r="L6" s="16">
        <v>458.0</v>
      </c>
      <c r="M6" s="16">
        <v>586.0</v>
      </c>
      <c r="N6" s="16">
        <v>729.0</v>
      </c>
      <c r="O6" s="16">
        <v>805.0</v>
      </c>
      <c r="P6" s="16">
        <v>849.0</v>
      </c>
      <c r="Q6" s="16">
        <v>966.0</v>
      </c>
      <c r="R6" s="16">
        <v>1005.0</v>
      </c>
      <c r="S6" s="16">
        <v>1075.0</v>
      </c>
      <c r="T6" s="16">
        <v>1153.0</v>
      </c>
      <c r="U6" s="16">
        <v>1386.0</v>
      </c>
      <c r="V6" s="16">
        <v>1577.0</v>
      </c>
      <c r="W6" s="16">
        <v>1877.0</v>
      </c>
      <c r="X6" s="16">
        <v>2073.0</v>
      </c>
      <c r="Y6" s="16">
        <v>2231.0</v>
      </c>
      <c r="Z6" s="16">
        <v>2373.0</v>
      </c>
    </row>
    <row r="7">
      <c r="A7" s="13" t="s">
        <v>17</v>
      </c>
      <c r="F7" s="16">
        <v>226.0</v>
      </c>
      <c r="G7" s="16">
        <v>230.0</v>
      </c>
      <c r="H7" s="16">
        <v>230.0</v>
      </c>
      <c r="I7" s="16">
        <v>253.0</v>
      </c>
      <c r="J7" s="16">
        <v>278.0</v>
      </c>
      <c r="K7" s="16">
        <v>342.0</v>
      </c>
      <c r="L7" s="16">
        <v>458.0</v>
      </c>
      <c r="M7" s="16">
        <v>586.0</v>
      </c>
      <c r="N7" s="16">
        <v>729.0</v>
      </c>
      <c r="O7" s="16">
        <v>805.0</v>
      </c>
      <c r="P7" s="16">
        <v>849.0</v>
      </c>
      <c r="Q7" s="16">
        <v>966.0</v>
      </c>
      <c r="R7" s="16">
        <v>1005.0</v>
      </c>
      <c r="S7" s="16">
        <v>1075.0</v>
      </c>
      <c r="T7" s="16">
        <v>1153.0</v>
      </c>
      <c r="U7" s="16">
        <v>1386.0</v>
      </c>
      <c r="V7" s="16">
        <v>1577.0</v>
      </c>
      <c r="W7" s="16">
        <v>1877.0</v>
      </c>
      <c r="X7" s="16">
        <v>2073.0</v>
      </c>
      <c r="Y7" s="16">
        <v>2231.0</v>
      </c>
      <c r="Z7" s="16">
        <v>2373.0</v>
      </c>
    </row>
    <row r="8">
      <c r="A8" s="13" t="s">
        <v>18</v>
      </c>
      <c r="F8" s="16">
        <v>226.0</v>
      </c>
      <c r="G8" s="16">
        <v>230.0</v>
      </c>
      <c r="H8" s="16">
        <v>230.0</v>
      </c>
      <c r="I8" s="16">
        <v>253.0</v>
      </c>
      <c r="J8" s="16">
        <v>278.0</v>
      </c>
      <c r="K8" s="16">
        <v>342.0</v>
      </c>
      <c r="L8" s="16">
        <v>458.0</v>
      </c>
      <c r="M8" s="16">
        <v>586.0</v>
      </c>
      <c r="N8" s="16">
        <v>729.0</v>
      </c>
      <c r="O8" s="16">
        <v>805.0</v>
      </c>
      <c r="P8" s="16">
        <v>849.0</v>
      </c>
      <c r="Q8" s="16">
        <v>966.0</v>
      </c>
      <c r="R8" s="16">
        <v>1005.0</v>
      </c>
      <c r="S8" s="16">
        <v>1075.0</v>
      </c>
      <c r="T8" s="16">
        <v>1153.0</v>
      </c>
      <c r="U8" s="16">
        <v>1386.0</v>
      </c>
      <c r="V8" s="16">
        <v>1577.0</v>
      </c>
      <c r="W8" s="16">
        <v>1877.0</v>
      </c>
      <c r="X8" s="16">
        <v>2073.0</v>
      </c>
      <c r="Y8" s="16">
        <v>2231.0</v>
      </c>
      <c r="Z8" s="16">
        <v>2373.0</v>
      </c>
    </row>
    <row r="9">
      <c r="A9" s="13" t="s">
        <v>19</v>
      </c>
      <c r="F9" s="16">
        <v>226.0</v>
      </c>
      <c r="G9" s="16">
        <v>230.0</v>
      </c>
      <c r="H9" s="16">
        <v>230.0</v>
      </c>
      <c r="I9" s="16">
        <v>253.0</v>
      </c>
      <c r="J9" s="16">
        <v>278.0</v>
      </c>
      <c r="K9" s="16">
        <v>342.0</v>
      </c>
      <c r="L9" s="16">
        <v>458.0</v>
      </c>
      <c r="M9" s="16">
        <v>586.0</v>
      </c>
      <c r="N9" s="16">
        <v>729.0</v>
      </c>
      <c r="O9" s="16">
        <v>805.0</v>
      </c>
      <c r="P9" s="16">
        <v>849.0</v>
      </c>
      <c r="Q9" s="16">
        <v>966.0</v>
      </c>
      <c r="R9" s="16">
        <v>1005.0</v>
      </c>
      <c r="S9" s="16">
        <v>1075.0</v>
      </c>
      <c r="T9" s="16">
        <v>1153.0</v>
      </c>
      <c r="U9" s="16">
        <v>1386.0</v>
      </c>
      <c r="V9" s="16">
        <v>1577.0</v>
      </c>
      <c r="W9" s="16">
        <v>1877.0</v>
      </c>
      <c r="X9" s="16">
        <v>2073.0</v>
      </c>
      <c r="Y9" s="16">
        <v>2231.0</v>
      </c>
      <c r="Z9" s="16">
        <v>2373.0</v>
      </c>
    </row>
    <row r="10">
      <c r="A10" s="13" t="s">
        <v>20</v>
      </c>
      <c r="F10" s="16">
        <v>226.0</v>
      </c>
      <c r="G10" s="16">
        <v>230.0</v>
      </c>
      <c r="H10" s="16">
        <v>230.0</v>
      </c>
      <c r="I10" s="16">
        <v>253.0</v>
      </c>
      <c r="J10" s="16">
        <v>278.0</v>
      </c>
      <c r="K10" s="16">
        <v>342.0</v>
      </c>
      <c r="L10" s="16">
        <v>458.0</v>
      </c>
      <c r="M10" s="16">
        <v>586.0</v>
      </c>
      <c r="N10" s="16">
        <v>729.0</v>
      </c>
      <c r="O10" s="16">
        <v>805.0</v>
      </c>
      <c r="P10" s="16">
        <v>849.0</v>
      </c>
      <c r="Q10" s="16">
        <v>966.0</v>
      </c>
      <c r="R10" s="16">
        <v>1005.0</v>
      </c>
      <c r="S10" s="16">
        <v>1075.0</v>
      </c>
      <c r="T10" s="16">
        <v>1153.0</v>
      </c>
      <c r="U10" s="16">
        <v>1386.0</v>
      </c>
      <c r="V10" s="16">
        <v>1577.0</v>
      </c>
      <c r="W10" s="16">
        <v>1877.0</v>
      </c>
      <c r="X10" s="16">
        <v>2073.0</v>
      </c>
      <c r="Y10" s="16">
        <v>2231.0</v>
      </c>
      <c r="Z10" s="16">
        <v>2373.0</v>
      </c>
    </row>
    <row r="11">
      <c r="A11" s="13" t="s">
        <v>21</v>
      </c>
      <c r="F11" s="16">
        <v>226.0</v>
      </c>
      <c r="G11" s="16">
        <v>230.0</v>
      </c>
      <c r="H11" s="16">
        <v>230.0</v>
      </c>
      <c r="I11" s="16">
        <v>253.0</v>
      </c>
      <c r="J11" s="16">
        <v>278.0</v>
      </c>
      <c r="K11" s="16">
        <v>342.0</v>
      </c>
      <c r="L11" s="16">
        <v>458.0</v>
      </c>
      <c r="M11" s="16">
        <v>586.0</v>
      </c>
      <c r="N11" s="16">
        <v>729.0</v>
      </c>
      <c r="O11" s="16">
        <v>805.0</v>
      </c>
      <c r="P11" s="16">
        <v>849.0</v>
      </c>
      <c r="Q11" s="16">
        <v>966.0</v>
      </c>
      <c r="R11" s="16">
        <v>1005.0</v>
      </c>
      <c r="S11" s="16">
        <v>1075.0</v>
      </c>
      <c r="T11" s="16">
        <v>1153.0</v>
      </c>
      <c r="U11" s="16">
        <v>1386.0</v>
      </c>
      <c r="V11" s="16">
        <v>1577.0</v>
      </c>
      <c r="W11" s="16">
        <v>1877.0</v>
      </c>
      <c r="X11" s="16">
        <v>2073.0</v>
      </c>
      <c r="Y11" s="16">
        <v>2231.0</v>
      </c>
      <c r="Z11" s="16">
        <v>2373.0</v>
      </c>
    </row>
    <row r="12">
      <c r="A12" s="13" t="s">
        <v>22</v>
      </c>
      <c r="F12" s="16">
        <v>226.0</v>
      </c>
      <c r="G12" s="16">
        <v>230.0</v>
      </c>
      <c r="H12" s="16">
        <v>230.0</v>
      </c>
      <c r="I12" s="16">
        <v>253.0</v>
      </c>
      <c r="J12" s="16">
        <v>278.0</v>
      </c>
      <c r="K12" s="16">
        <v>342.0</v>
      </c>
      <c r="L12" s="16">
        <v>458.0</v>
      </c>
      <c r="M12" s="16">
        <v>586.0</v>
      </c>
      <c r="N12" s="16">
        <v>729.0</v>
      </c>
      <c r="O12" s="16">
        <v>805.0</v>
      </c>
      <c r="P12" s="16">
        <v>849.0</v>
      </c>
      <c r="Q12" s="16">
        <v>966.0</v>
      </c>
      <c r="R12" s="16">
        <v>1005.0</v>
      </c>
      <c r="S12" s="16">
        <v>1075.0</v>
      </c>
      <c r="T12" s="16">
        <v>1153.0</v>
      </c>
      <c r="U12" s="16">
        <v>1386.0</v>
      </c>
      <c r="V12" s="16">
        <v>1577.0</v>
      </c>
      <c r="W12" s="16">
        <v>1877.0</v>
      </c>
      <c r="X12" s="16">
        <v>2073.0</v>
      </c>
      <c r="Y12" s="16">
        <v>2231.0</v>
      </c>
      <c r="Z12" s="16">
        <v>2373.0</v>
      </c>
    </row>
    <row r="13">
      <c r="A13" s="13" t="s">
        <v>23</v>
      </c>
      <c r="F13" s="16">
        <v>226.0</v>
      </c>
      <c r="G13" s="16">
        <v>230.0</v>
      </c>
      <c r="H13" s="16">
        <v>230.0</v>
      </c>
      <c r="I13" s="16">
        <v>253.0</v>
      </c>
      <c r="J13" s="16">
        <v>278.0</v>
      </c>
      <c r="K13" s="16">
        <v>342.0</v>
      </c>
      <c r="L13" s="16">
        <v>458.0</v>
      </c>
      <c r="M13" s="16">
        <v>586.0</v>
      </c>
      <c r="N13" s="16">
        <v>729.0</v>
      </c>
      <c r="O13" s="16">
        <v>805.0</v>
      </c>
      <c r="P13" s="16">
        <v>849.0</v>
      </c>
      <c r="Q13" s="16">
        <v>966.0</v>
      </c>
      <c r="R13" s="16">
        <v>1005.0</v>
      </c>
      <c r="S13" s="16">
        <v>1075.0</v>
      </c>
      <c r="T13" s="16">
        <v>1153.0</v>
      </c>
      <c r="U13" s="16">
        <v>1386.0</v>
      </c>
      <c r="V13" s="16">
        <v>1577.0</v>
      </c>
      <c r="W13" s="16">
        <v>1877.0</v>
      </c>
      <c r="X13" s="16">
        <v>2073.0</v>
      </c>
      <c r="Y13" s="16">
        <v>2231.0</v>
      </c>
      <c r="Z13" s="16">
        <v>2373.0</v>
      </c>
    </row>
    <row r="14">
      <c r="A14" s="13" t="s">
        <v>24</v>
      </c>
      <c r="F14" s="16">
        <v>226.0</v>
      </c>
      <c r="G14" s="16">
        <v>230.0</v>
      </c>
      <c r="H14" s="16">
        <v>230.0</v>
      </c>
      <c r="I14" s="16">
        <v>253.0</v>
      </c>
      <c r="J14" s="16">
        <v>278.0</v>
      </c>
      <c r="K14" s="16">
        <v>342.0</v>
      </c>
      <c r="L14" s="16">
        <v>458.0</v>
      </c>
      <c r="M14" s="16">
        <v>586.0</v>
      </c>
      <c r="N14" s="16">
        <v>729.0</v>
      </c>
      <c r="O14" s="16">
        <v>805.0</v>
      </c>
      <c r="P14" s="16">
        <v>849.0</v>
      </c>
      <c r="Q14" s="16">
        <v>966.0</v>
      </c>
      <c r="R14" s="16">
        <v>1005.0</v>
      </c>
      <c r="S14" s="16">
        <v>1075.0</v>
      </c>
      <c r="T14" s="16">
        <v>1153.0</v>
      </c>
      <c r="U14" s="16">
        <v>1386.0</v>
      </c>
      <c r="V14" s="16">
        <v>1577.0</v>
      </c>
      <c r="W14" s="16">
        <v>1877.0</v>
      </c>
      <c r="X14" s="16">
        <v>2073.0</v>
      </c>
      <c r="Y14" s="16">
        <v>2231.0</v>
      </c>
      <c r="Z14" s="16">
        <v>2373.0</v>
      </c>
    </row>
    <row r="15">
      <c r="A15" s="13" t="s">
        <v>25</v>
      </c>
      <c r="F15" s="16">
        <v>226.0</v>
      </c>
      <c r="G15" s="16">
        <v>230.0</v>
      </c>
      <c r="H15" s="16">
        <v>230.0</v>
      </c>
      <c r="I15" s="16">
        <v>253.0</v>
      </c>
      <c r="J15" s="16">
        <v>278.0</v>
      </c>
      <c r="K15" s="16">
        <v>342.0</v>
      </c>
      <c r="L15" s="16">
        <v>458.0</v>
      </c>
      <c r="M15" s="16">
        <v>586.0</v>
      </c>
      <c r="N15" s="16">
        <v>729.0</v>
      </c>
      <c r="O15" s="16">
        <v>805.0</v>
      </c>
      <c r="P15" s="16">
        <v>849.0</v>
      </c>
      <c r="Q15" s="16">
        <v>966.0</v>
      </c>
      <c r="R15" s="16">
        <v>1005.0</v>
      </c>
      <c r="S15" s="16">
        <v>1075.0</v>
      </c>
      <c r="T15" s="16">
        <v>1153.0</v>
      </c>
      <c r="U15" s="16">
        <v>1386.0</v>
      </c>
      <c r="V15" s="16">
        <v>1577.0</v>
      </c>
      <c r="W15" s="16">
        <v>1877.0</v>
      </c>
      <c r="X15" s="16">
        <v>2073.0</v>
      </c>
      <c r="Y15" s="16">
        <v>2231.0</v>
      </c>
      <c r="Z15" s="16">
        <v>2373.0</v>
      </c>
    </row>
    <row r="16">
      <c r="A16" s="13" t="s">
        <v>26</v>
      </c>
      <c r="F16" s="16">
        <v>226.0</v>
      </c>
      <c r="G16" s="16">
        <v>230.0</v>
      </c>
      <c r="H16" s="16">
        <v>230.0</v>
      </c>
      <c r="I16" s="16">
        <v>253.0</v>
      </c>
      <c r="J16" s="16">
        <v>278.0</v>
      </c>
      <c r="K16" s="16">
        <v>342.0</v>
      </c>
      <c r="L16" s="16">
        <v>458.0</v>
      </c>
      <c r="M16" s="16">
        <v>586.0</v>
      </c>
      <c r="N16" s="16">
        <v>729.0</v>
      </c>
      <c r="O16" s="16">
        <v>805.0</v>
      </c>
      <c r="P16" s="16">
        <v>849.0</v>
      </c>
      <c r="Q16" s="16">
        <v>966.0</v>
      </c>
      <c r="R16" s="16">
        <v>1005.0</v>
      </c>
      <c r="S16" s="16">
        <v>1075.0</v>
      </c>
      <c r="T16" s="16">
        <v>1153.0</v>
      </c>
      <c r="U16" s="16">
        <v>1386.0</v>
      </c>
      <c r="V16" s="16">
        <v>1577.0</v>
      </c>
      <c r="W16" s="16">
        <v>1877.0</v>
      </c>
      <c r="X16" s="16">
        <v>2073.0</v>
      </c>
      <c r="Y16" s="16">
        <v>2231.0</v>
      </c>
      <c r="Z16" s="16">
        <v>2373.0</v>
      </c>
    </row>
    <row r="17">
      <c r="A17" s="13" t="s">
        <v>27</v>
      </c>
      <c r="F17" s="16">
        <v>226.0</v>
      </c>
      <c r="G17" s="16">
        <v>230.0</v>
      </c>
      <c r="H17" s="16">
        <v>230.0</v>
      </c>
      <c r="I17" s="16">
        <v>253.0</v>
      </c>
      <c r="J17" s="16">
        <v>278.0</v>
      </c>
      <c r="K17" s="16">
        <v>342.0</v>
      </c>
      <c r="L17" s="16">
        <v>458.0</v>
      </c>
      <c r="M17" s="16">
        <v>586.0</v>
      </c>
      <c r="N17" s="16">
        <v>729.0</v>
      </c>
      <c r="O17" s="16">
        <v>805.0</v>
      </c>
      <c r="P17" s="16">
        <v>849.0</v>
      </c>
      <c r="Q17" s="16">
        <v>966.0</v>
      </c>
      <c r="R17" s="16">
        <v>1005.0</v>
      </c>
      <c r="S17" s="16">
        <v>1075.0</v>
      </c>
      <c r="T17" s="16">
        <v>1153.0</v>
      </c>
      <c r="U17" s="16">
        <v>1386.0</v>
      </c>
      <c r="V17" s="16">
        <v>1577.0</v>
      </c>
      <c r="W17" s="16">
        <v>1877.0</v>
      </c>
      <c r="X17" s="16">
        <v>2073.0</v>
      </c>
      <c r="Y17" s="16">
        <v>2231.0</v>
      </c>
      <c r="Z17" s="16">
        <v>2373.0</v>
      </c>
    </row>
    <row r="18">
      <c r="A18" s="13" t="s">
        <v>28</v>
      </c>
      <c r="F18" s="16">
        <v>226.0</v>
      </c>
      <c r="G18" s="16">
        <v>230.0</v>
      </c>
      <c r="H18" s="16">
        <v>230.0</v>
      </c>
      <c r="I18" s="16">
        <v>253.0</v>
      </c>
      <c r="J18" s="16">
        <v>278.0</v>
      </c>
      <c r="K18" s="16">
        <v>342.0</v>
      </c>
      <c r="L18" s="16">
        <v>458.0</v>
      </c>
      <c r="M18" s="16">
        <v>586.0</v>
      </c>
      <c r="N18" s="16">
        <v>729.0</v>
      </c>
      <c r="O18" s="16">
        <v>805.0</v>
      </c>
      <c r="P18" s="16">
        <v>849.0</v>
      </c>
      <c r="Q18" s="16">
        <v>966.0</v>
      </c>
      <c r="R18" s="16">
        <v>1005.0</v>
      </c>
      <c r="S18" s="16">
        <v>1075.0</v>
      </c>
      <c r="T18" s="16">
        <v>1153.0</v>
      </c>
      <c r="U18" s="16">
        <v>1386.0</v>
      </c>
      <c r="V18" s="16">
        <v>1577.0</v>
      </c>
      <c r="W18" s="16">
        <v>1877.0</v>
      </c>
      <c r="X18" s="16">
        <v>2073.0</v>
      </c>
      <c r="Y18" s="16">
        <v>2231.0</v>
      </c>
      <c r="Z18" s="16">
        <v>2373.0</v>
      </c>
    </row>
    <row r="19">
      <c r="A19" s="13" t="s"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">
        <v>30</v>
      </c>
      <c r="F20" s="16">
        <v>226.0</v>
      </c>
      <c r="G20" s="16">
        <v>230.0</v>
      </c>
      <c r="H20" s="16">
        <v>230.0</v>
      </c>
      <c r="I20" s="16">
        <v>253.0</v>
      </c>
      <c r="J20" s="16">
        <v>278.0</v>
      </c>
      <c r="K20" s="16">
        <v>342.0</v>
      </c>
      <c r="L20" s="16">
        <v>458.0</v>
      </c>
      <c r="M20" s="16">
        <v>586.0</v>
      </c>
      <c r="N20" s="16">
        <v>729.0</v>
      </c>
      <c r="O20" s="16">
        <v>805.0</v>
      </c>
      <c r="P20" s="16">
        <v>849.0</v>
      </c>
      <c r="Q20" s="16">
        <v>966.0</v>
      </c>
      <c r="R20" s="16">
        <v>1005.0</v>
      </c>
      <c r="S20" s="16">
        <v>1075.0</v>
      </c>
      <c r="T20" s="16">
        <v>1153.0</v>
      </c>
      <c r="U20" s="16">
        <v>1386.0</v>
      </c>
      <c r="V20" s="16">
        <v>1577.0</v>
      </c>
      <c r="W20" s="16">
        <v>1877.0</v>
      </c>
      <c r="X20" s="16">
        <v>2073.0</v>
      </c>
      <c r="Y20" s="16">
        <v>2231.0</v>
      </c>
      <c r="Z20" s="16">
        <v>2373.0</v>
      </c>
    </row>
    <row r="21">
      <c r="A21" s="13" t="s">
        <v>31</v>
      </c>
      <c r="F21" s="16">
        <v>226.0</v>
      </c>
      <c r="G21" s="16">
        <v>230.0</v>
      </c>
      <c r="H21" s="16">
        <v>230.0</v>
      </c>
      <c r="I21" s="16">
        <v>253.0</v>
      </c>
      <c r="J21" s="16">
        <v>278.0</v>
      </c>
      <c r="K21" s="16">
        <v>342.0</v>
      </c>
      <c r="L21" s="16">
        <v>458.0</v>
      </c>
      <c r="M21" s="16">
        <v>586.0</v>
      </c>
      <c r="N21" s="16">
        <v>729.0</v>
      </c>
      <c r="O21" s="16">
        <v>805.0</v>
      </c>
      <c r="P21" s="16">
        <v>849.0</v>
      </c>
      <c r="Q21" s="16">
        <v>966.0</v>
      </c>
      <c r="R21" s="16">
        <v>1005.0</v>
      </c>
      <c r="S21" s="16">
        <v>1075.0</v>
      </c>
      <c r="T21" s="16">
        <v>1153.0</v>
      </c>
      <c r="U21" s="16">
        <v>1386.0</v>
      </c>
      <c r="V21" s="16">
        <v>1577.0</v>
      </c>
      <c r="W21" s="16">
        <v>1877.0</v>
      </c>
      <c r="X21" s="16">
        <v>2073.0</v>
      </c>
      <c r="Y21" s="16">
        <v>2231.0</v>
      </c>
      <c r="Z21" s="16">
        <v>2373.0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42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B2" s="13">
        <v>1994.0</v>
      </c>
      <c r="C2" s="13">
        <v>1995.0</v>
      </c>
      <c r="D2" s="13">
        <v>1996.0</v>
      </c>
      <c r="E2" s="13">
        <v>1997.0</v>
      </c>
      <c r="F2" s="13">
        <v>1998.0</v>
      </c>
      <c r="G2" s="13">
        <v>1999.0</v>
      </c>
      <c r="H2" s="13">
        <v>2000.0</v>
      </c>
      <c r="I2" s="13">
        <v>2001.0</v>
      </c>
      <c r="J2" s="13">
        <v>2002.0</v>
      </c>
      <c r="K2" s="13">
        <v>2003.0</v>
      </c>
      <c r="L2" s="13">
        <v>2004.0</v>
      </c>
      <c r="M2" s="13">
        <v>2005.0</v>
      </c>
      <c r="N2" s="13">
        <v>2006.0</v>
      </c>
      <c r="O2" s="13">
        <v>2007.0</v>
      </c>
      <c r="P2" s="13">
        <v>2008.0</v>
      </c>
      <c r="Q2" s="13">
        <v>2009.0</v>
      </c>
      <c r="R2" s="13">
        <v>2010.0</v>
      </c>
      <c r="S2" s="13">
        <v>2011.0</v>
      </c>
      <c r="T2" s="13">
        <v>2012.0</v>
      </c>
      <c r="U2" s="13">
        <v>2013.0</v>
      </c>
      <c r="V2" s="13">
        <v>2014.0</v>
      </c>
      <c r="W2" s="13">
        <v>2015.0</v>
      </c>
      <c r="X2" s="13">
        <v>2016.0</v>
      </c>
      <c r="Y2" s="13">
        <v>2017.0</v>
      </c>
      <c r="Z2" s="13">
        <v>2018.0</v>
      </c>
      <c r="AA2" s="13"/>
      <c r="AB2" s="13"/>
      <c r="AC2" s="13"/>
      <c r="AD2" s="13"/>
      <c r="AE2" s="13"/>
    </row>
    <row r="3">
      <c r="A3" s="1" t="s">
        <v>12</v>
      </c>
      <c r="G3" s="16">
        <v>18.0</v>
      </c>
      <c r="H3" s="16">
        <v>18.0</v>
      </c>
      <c r="I3" s="16">
        <v>18.0</v>
      </c>
      <c r="J3" s="16">
        <v>34.2</v>
      </c>
      <c r="K3" s="16">
        <v>34.2</v>
      </c>
      <c r="L3" s="16">
        <v>37.2</v>
      </c>
      <c r="M3" s="16">
        <v>37.2</v>
      </c>
      <c r="N3" s="16">
        <v>58.5</v>
      </c>
      <c r="O3" s="16">
        <v>57.75</v>
      </c>
      <c r="P3" s="16">
        <v>57.0</v>
      </c>
      <c r="Q3" s="16">
        <v>68.0</v>
      </c>
      <c r="R3" s="16">
        <v>68.0</v>
      </c>
      <c r="S3" s="16">
        <v>68.0</v>
      </c>
      <c r="T3" s="16">
        <v>78.5</v>
      </c>
      <c r="U3" s="16">
        <v>70.0</v>
      </c>
      <c r="V3" s="16">
        <v>70.0</v>
      </c>
      <c r="W3" s="16">
        <v>70.0</v>
      </c>
      <c r="X3" s="16">
        <v>70.0</v>
      </c>
      <c r="Y3" s="16">
        <v>76.0</v>
      </c>
      <c r="Z3" s="16">
        <v>80.0</v>
      </c>
    </row>
    <row r="4">
      <c r="A4" s="13" t="s">
        <v>14</v>
      </c>
      <c r="G4" s="16">
        <v>18.0</v>
      </c>
      <c r="H4" s="16">
        <v>18.0</v>
      </c>
      <c r="I4" s="16">
        <v>18.0</v>
      </c>
      <c r="J4" s="16">
        <v>34.2</v>
      </c>
      <c r="K4" s="16">
        <v>34.2</v>
      </c>
      <c r="L4" s="16">
        <v>37.2</v>
      </c>
      <c r="M4" s="16">
        <v>37.2</v>
      </c>
      <c r="N4" s="16">
        <v>58.5</v>
      </c>
      <c r="O4" s="16">
        <v>57.75</v>
      </c>
      <c r="P4" s="16">
        <v>57.0</v>
      </c>
      <c r="Q4" s="16">
        <v>68.0</v>
      </c>
      <c r="R4" s="16">
        <v>68.0</v>
      </c>
      <c r="S4" s="16">
        <v>68.0</v>
      </c>
      <c r="T4" s="16">
        <v>78.5</v>
      </c>
      <c r="U4" s="16">
        <v>70.0</v>
      </c>
      <c r="V4" s="16">
        <v>70.0</v>
      </c>
      <c r="W4" s="16">
        <v>70.0</v>
      </c>
      <c r="X4" s="16">
        <v>70.0</v>
      </c>
      <c r="Y4" s="16">
        <v>76.0</v>
      </c>
      <c r="Z4" s="16">
        <v>80.0</v>
      </c>
    </row>
    <row r="5">
      <c r="A5" s="13" t="s">
        <v>15</v>
      </c>
      <c r="G5" s="16">
        <v>18.0</v>
      </c>
      <c r="H5" s="16">
        <v>18.0</v>
      </c>
      <c r="I5" s="16">
        <v>18.0</v>
      </c>
      <c r="J5" s="16">
        <v>34.2</v>
      </c>
      <c r="K5" s="16">
        <v>34.2</v>
      </c>
      <c r="L5" s="16">
        <v>37.2</v>
      </c>
      <c r="M5" s="16">
        <v>37.2</v>
      </c>
      <c r="N5" s="16">
        <v>58.5</v>
      </c>
      <c r="O5" s="16">
        <v>57.75</v>
      </c>
      <c r="P5" s="16">
        <v>57.0</v>
      </c>
      <c r="Q5" s="16">
        <v>68.0</v>
      </c>
      <c r="R5" s="16">
        <v>68.0</v>
      </c>
      <c r="S5" s="16">
        <v>68.0</v>
      </c>
      <c r="T5" s="16">
        <v>78.5</v>
      </c>
      <c r="U5" s="16">
        <v>70.0</v>
      </c>
      <c r="V5" s="16">
        <v>70.0</v>
      </c>
      <c r="W5" s="16">
        <v>70.0</v>
      </c>
      <c r="X5" s="16">
        <v>70.0</v>
      </c>
      <c r="Y5" s="16">
        <v>76.0</v>
      </c>
      <c r="Z5" s="16">
        <v>80.0</v>
      </c>
    </row>
    <row r="6">
      <c r="A6" s="13" t="s">
        <v>16</v>
      </c>
      <c r="G6" s="16">
        <v>18.0</v>
      </c>
      <c r="H6" s="16">
        <v>18.0</v>
      </c>
      <c r="I6" s="16">
        <v>18.0</v>
      </c>
      <c r="J6" s="16">
        <v>34.2</v>
      </c>
      <c r="K6" s="16">
        <v>34.2</v>
      </c>
      <c r="L6" s="16">
        <v>37.2</v>
      </c>
      <c r="M6" s="16">
        <v>37.2</v>
      </c>
      <c r="N6" s="16">
        <v>58.5</v>
      </c>
      <c r="O6" s="16">
        <v>57.75</v>
      </c>
      <c r="P6" s="16">
        <v>57.0</v>
      </c>
      <c r="Q6" s="16">
        <v>68.0</v>
      </c>
      <c r="R6" s="16">
        <v>68.0</v>
      </c>
      <c r="S6" s="16">
        <v>68.0</v>
      </c>
      <c r="T6" s="16">
        <v>78.5</v>
      </c>
      <c r="U6" s="16">
        <v>70.0</v>
      </c>
      <c r="V6" s="16">
        <v>70.0</v>
      </c>
      <c r="W6" s="16">
        <v>70.0</v>
      </c>
      <c r="X6" s="16">
        <v>70.0</v>
      </c>
      <c r="Y6" s="16">
        <v>76.0</v>
      </c>
      <c r="Z6" s="16">
        <v>80.0</v>
      </c>
    </row>
    <row r="7">
      <c r="A7" s="13" t="s">
        <v>17</v>
      </c>
      <c r="G7" s="16">
        <v>18.0</v>
      </c>
      <c r="H7" s="16">
        <v>18.0</v>
      </c>
      <c r="I7" s="16">
        <v>18.0</v>
      </c>
      <c r="J7" s="16">
        <v>34.2</v>
      </c>
      <c r="K7" s="16">
        <v>34.2</v>
      </c>
      <c r="L7" s="16">
        <v>37.2</v>
      </c>
      <c r="M7" s="16">
        <v>37.2</v>
      </c>
      <c r="N7" s="16">
        <v>58.5</v>
      </c>
      <c r="O7" s="16">
        <v>57.75</v>
      </c>
      <c r="P7" s="16">
        <v>57.0</v>
      </c>
      <c r="Q7" s="16">
        <v>68.0</v>
      </c>
      <c r="R7" s="16">
        <v>68.0</v>
      </c>
      <c r="S7" s="16">
        <v>68.0</v>
      </c>
      <c r="T7" s="16">
        <v>78.5</v>
      </c>
      <c r="U7" s="16">
        <v>70.0</v>
      </c>
      <c r="V7" s="16">
        <v>70.0</v>
      </c>
      <c r="W7" s="16">
        <v>70.0</v>
      </c>
      <c r="X7" s="16">
        <v>70.0</v>
      </c>
      <c r="Y7" s="16">
        <v>76.0</v>
      </c>
      <c r="Z7" s="16">
        <v>80.0</v>
      </c>
    </row>
    <row r="8">
      <c r="A8" s="13" t="s">
        <v>18</v>
      </c>
      <c r="G8" s="16">
        <v>18.0</v>
      </c>
      <c r="H8" s="16">
        <v>18.0</v>
      </c>
      <c r="I8" s="16">
        <v>18.0</v>
      </c>
      <c r="J8" s="16">
        <v>34.2</v>
      </c>
      <c r="K8" s="16">
        <v>34.2</v>
      </c>
      <c r="L8" s="16">
        <v>37.2</v>
      </c>
      <c r="M8" s="16">
        <v>37.2</v>
      </c>
      <c r="N8" s="16">
        <v>58.5</v>
      </c>
      <c r="O8" s="16">
        <v>57.75</v>
      </c>
      <c r="P8" s="16">
        <v>57.0</v>
      </c>
      <c r="Q8" s="16">
        <v>68.0</v>
      </c>
      <c r="R8" s="16">
        <v>68.0</v>
      </c>
      <c r="S8" s="16">
        <v>68.0</v>
      </c>
      <c r="T8" s="16">
        <v>78.5</v>
      </c>
      <c r="U8" s="16">
        <v>70.0</v>
      </c>
      <c r="V8" s="16">
        <v>70.0</v>
      </c>
      <c r="W8" s="16">
        <v>70.0</v>
      </c>
      <c r="X8" s="16">
        <v>70.0</v>
      </c>
      <c r="Y8" s="16">
        <v>76.0</v>
      </c>
      <c r="Z8" s="16">
        <v>80.0</v>
      </c>
    </row>
    <row r="9">
      <c r="A9" s="13" t="s">
        <v>19</v>
      </c>
      <c r="G9" s="16">
        <v>18.0</v>
      </c>
      <c r="H9" s="16">
        <v>18.0</v>
      </c>
      <c r="I9" s="16">
        <v>18.0</v>
      </c>
      <c r="J9" s="16">
        <v>34.2</v>
      </c>
      <c r="K9" s="16">
        <v>34.2</v>
      </c>
      <c r="L9" s="16">
        <v>37.2</v>
      </c>
      <c r="M9" s="16">
        <v>37.2</v>
      </c>
      <c r="N9" s="16">
        <v>58.5</v>
      </c>
      <c r="O9" s="16">
        <v>57.75</v>
      </c>
      <c r="P9" s="16">
        <v>57.0</v>
      </c>
      <c r="Q9" s="16">
        <v>68.0</v>
      </c>
      <c r="R9" s="16">
        <v>68.0</v>
      </c>
      <c r="S9" s="16">
        <v>68.0</v>
      </c>
      <c r="T9" s="16">
        <v>78.5</v>
      </c>
      <c r="U9" s="16">
        <v>70.0</v>
      </c>
      <c r="V9" s="16">
        <v>70.0</v>
      </c>
      <c r="W9" s="16">
        <v>70.0</v>
      </c>
      <c r="X9" s="16">
        <v>70.0</v>
      </c>
      <c r="Y9" s="16">
        <v>76.0</v>
      </c>
      <c r="Z9" s="16">
        <v>80.0</v>
      </c>
    </row>
    <row r="10">
      <c r="A10" s="13" t="s">
        <v>20</v>
      </c>
      <c r="G10" s="16">
        <v>18.0</v>
      </c>
      <c r="H10" s="16">
        <v>18.0</v>
      </c>
      <c r="I10" s="16">
        <v>18.0</v>
      </c>
      <c r="J10" s="16">
        <v>34.2</v>
      </c>
      <c r="K10" s="16">
        <v>34.2</v>
      </c>
      <c r="L10" s="16">
        <v>37.2</v>
      </c>
      <c r="M10" s="16">
        <v>37.2</v>
      </c>
      <c r="N10" s="16">
        <v>58.5</v>
      </c>
      <c r="O10" s="16">
        <v>57.75</v>
      </c>
      <c r="P10" s="16">
        <v>57.0</v>
      </c>
      <c r="Q10" s="16">
        <v>68.0</v>
      </c>
      <c r="R10" s="16">
        <v>68.0</v>
      </c>
      <c r="S10" s="16">
        <v>68.0</v>
      </c>
      <c r="T10" s="16">
        <v>78.5</v>
      </c>
      <c r="U10" s="16">
        <v>70.0</v>
      </c>
      <c r="V10" s="16">
        <v>70.0</v>
      </c>
      <c r="W10" s="16">
        <v>70.0</v>
      </c>
      <c r="X10" s="16">
        <v>70.0</v>
      </c>
      <c r="Y10" s="16">
        <v>76.0</v>
      </c>
      <c r="Z10" s="16">
        <v>80.0</v>
      </c>
    </row>
    <row r="11">
      <c r="A11" s="13" t="s">
        <v>21</v>
      </c>
      <c r="G11" s="16">
        <v>18.0</v>
      </c>
      <c r="H11" s="16">
        <v>18.0</v>
      </c>
      <c r="I11" s="16">
        <v>18.0</v>
      </c>
      <c r="J11" s="16">
        <v>34.2</v>
      </c>
      <c r="K11" s="16">
        <v>34.2</v>
      </c>
      <c r="L11" s="16">
        <v>37.2</v>
      </c>
      <c r="M11" s="16">
        <v>37.2</v>
      </c>
      <c r="N11" s="16">
        <v>58.5</v>
      </c>
      <c r="O11" s="16">
        <v>57.75</v>
      </c>
      <c r="P11" s="16">
        <v>57.0</v>
      </c>
      <c r="Q11" s="16">
        <v>68.0</v>
      </c>
      <c r="R11" s="16">
        <v>68.0</v>
      </c>
      <c r="S11" s="16">
        <v>68.0</v>
      </c>
      <c r="T11" s="16">
        <v>78.5</v>
      </c>
      <c r="U11" s="16">
        <v>70.0</v>
      </c>
      <c r="V11" s="16">
        <v>70.0</v>
      </c>
      <c r="W11" s="16">
        <v>70.0</v>
      </c>
      <c r="X11" s="16">
        <v>70.0</v>
      </c>
      <c r="Y11" s="16">
        <v>76.0</v>
      </c>
      <c r="Z11" s="16">
        <v>80.0</v>
      </c>
    </row>
    <row r="12">
      <c r="A12" s="13" t="s">
        <v>22</v>
      </c>
      <c r="G12" s="16">
        <v>18.0</v>
      </c>
      <c r="H12" s="16">
        <v>18.0</v>
      </c>
      <c r="I12" s="16">
        <v>18.0</v>
      </c>
      <c r="J12" s="16">
        <v>34.2</v>
      </c>
      <c r="K12" s="16">
        <v>34.2</v>
      </c>
      <c r="L12" s="16">
        <v>37.2</v>
      </c>
      <c r="M12" s="16">
        <v>37.2</v>
      </c>
      <c r="N12" s="16">
        <v>58.5</v>
      </c>
      <c r="O12" s="16">
        <v>57.75</v>
      </c>
      <c r="P12" s="16">
        <v>57.0</v>
      </c>
      <c r="Q12" s="16">
        <v>68.0</v>
      </c>
      <c r="R12" s="16">
        <v>68.0</v>
      </c>
      <c r="S12" s="16">
        <v>68.0</v>
      </c>
      <c r="T12" s="16">
        <v>78.5</v>
      </c>
      <c r="U12" s="16">
        <v>70.0</v>
      </c>
      <c r="V12" s="16">
        <v>70.0</v>
      </c>
      <c r="W12" s="16">
        <v>70.0</v>
      </c>
      <c r="X12" s="16">
        <v>70.0</v>
      </c>
      <c r="Y12" s="16">
        <v>76.0</v>
      </c>
      <c r="Z12" s="16">
        <v>80.0</v>
      </c>
    </row>
    <row r="13">
      <c r="A13" s="13" t="s">
        <v>23</v>
      </c>
      <c r="G13" s="16">
        <v>18.0</v>
      </c>
      <c r="H13" s="16">
        <v>18.0</v>
      </c>
      <c r="I13" s="16">
        <v>18.0</v>
      </c>
      <c r="J13" s="16">
        <v>34.2</v>
      </c>
      <c r="K13" s="16">
        <v>34.2</v>
      </c>
      <c r="L13" s="16">
        <v>37.2</v>
      </c>
      <c r="M13" s="16">
        <v>37.2</v>
      </c>
      <c r="N13" s="16">
        <v>58.5</v>
      </c>
      <c r="O13" s="16">
        <v>57.75</v>
      </c>
      <c r="P13" s="16">
        <v>57.0</v>
      </c>
      <c r="Q13" s="16">
        <v>68.0</v>
      </c>
      <c r="R13" s="16">
        <v>68.0</v>
      </c>
      <c r="S13" s="16">
        <v>68.0</v>
      </c>
      <c r="T13" s="16">
        <v>78.5</v>
      </c>
      <c r="U13" s="16">
        <v>70.0</v>
      </c>
      <c r="V13" s="16">
        <v>70.0</v>
      </c>
      <c r="W13" s="16">
        <v>70.0</v>
      </c>
      <c r="X13" s="16">
        <v>70.0</v>
      </c>
      <c r="Y13" s="16">
        <v>76.0</v>
      </c>
      <c r="Z13" s="16">
        <v>80.0</v>
      </c>
    </row>
    <row r="14">
      <c r="A14" s="13" t="s">
        <v>24</v>
      </c>
      <c r="G14" s="16">
        <v>18.0</v>
      </c>
      <c r="H14" s="16">
        <v>18.0</v>
      </c>
      <c r="I14" s="16">
        <v>18.0</v>
      </c>
      <c r="J14" s="16">
        <v>34.2</v>
      </c>
      <c r="K14" s="16">
        <v>34.2</v>
      </c>
      <c r="L14" s="16">
        <v>37.2</v>
      </c>
      <c r="M14" s="16">
        <v>37.2</v>
      </c>
      <c r="N14" s="16">
        <v>58.5</v>
      </c>
      <c r="O14" s="16">
        <v>57.75</v>
      </c>
      <c r="P14" s="16">
        <v>57.0</v>
      </c>
      <c r="Q14" s="16">
        <v>68.0</v>
      </c>
      <c r="R14" s="16">
        <v>68.0</v>
      </c>
      <c r="S14" s="16">
        <v>68.0</v>
      </c>
      <c r="T14" s="16">
        <v>78.5</v>
      </c>
      <c r="U14" s="16">
        <v>70.0</v>
      </c>
      <c r="V14" s="16">
        <v>70.0</v>
      </c>
      <c r="W14" s="16">
        <v>70.0</v>
      </c>
      <c r="X14" s="16">
        <v>70.0</v>
      </c>
      <c r="Y14" s="16">
        <v>76.0</v>
      </c>
      <c r="Z14" s="16">
        <v>80.0</v>
      </c>
    </row>
    <row r="15">
      <c r="A15" s="13" t="s">
        <v>25</v>
      </c>
      <c r="G15" s="16">
        <v>18.0</v>
      </c>
      <c r="H15" s="16">
        <v>18.0</v>
      </c>
      <c r="I15" s="16">
        <v>18.0</v>
      </c>
      <c r="J15" s="16">
        <v>34.2</v>
      </c>
      <c r="K15" s="16">
        <v>34.2</v>
      </c>
      <c r="L15" s="16">
        <v>37.2</v>
      </c>
      <c r="M15" s="16">
        <v>37.2</v>
      </c>
      <c r="N15" s="16">
        <v>58.5</v>
      </c>
      <c r="O15" s="16">
        <v>57.75</v>
      </c>
      <c r="P15" s="16">
        <v>57.0</v>
      </c>
      <c r="Q15" s="16">
        <v>68.0</v>
      </c>
      <c r="R15" s="16">
        <v>68.0</v>
      </c>
      <c r="S15" s="16">
        <v>68.0</v>
      </c>
      <c r="T15" s="16">
        <v>78.5</v>
      </c>
      <c r="U15" s="16">
        <v>70.0</v>
      </c>
      <c r="V15" s="16">
        <v>70.0</v>
      </c>
      <c r="W15" s="16">
        <v>70.0</v>
      </c>
      <c r="X15" s="16">
        <v>70.0</v>
      </c>
      <c r="Y15" s="16">
        <v>76.0</v>
      </c>
      <c r="Z15" s="16">
        <v>80.0</v>
      </c>
    </row>
    <row r="16">
      <c r="A16" s="13" t="s">
        <v>26</v>
      </c>
      <c r="G16" s="16">
        <v>18.0</v>
      </c>
      <c r="H16" s="16">
        <v>18.0</v>
      </c>
      <c r="I16" s="16">
        <v>18.0</v>
      </c>
      <c r="J16" s="16">
        <v>34.2</v>
      </c>
      <c r="K16" s="16">
        <v>34.2</v>
      </c>
      <c r="L16" s="16">
        <v>37.2</v>
      </c>
      <c r="M16" s="16">
        <v>37.2</v>
      </c>
      <c r="N16" s="16">
        <v>58.5</v>
      </c>
      <c r="O16" s="16">
        <v>57.75</v>
      </c>
      <c r="P16" s="16">
        <v>57.0</v>
      </c>
      <c r="Q16" s="16">
        <v>68.0</v>
      </c>
      <c r="R16" s="16">
        <v>68.0</v>
      </c>
      <c r="S16" s="16">
        <v>68.0</v>
      </c>
      <c r="T16" s="16">
        <v>78.5</v>
      </c>
      <c r="U16" s="16">
        <v>70.0</v>
      </c>
      <c r="V16" s="16">
        <v>70.0</v>
      </c>
      <c r="W16" s="16">
        <v>70.0</v>
      </c>
      <c r="X16" s="16">
        <v>70.0</v>
      </c>
      <c r="Y16" s="16">
        <v>76.0</v>
      </c>
      <c r="Z16" s="16">
        <v>80.0</v>
      </c>
    </row>
    <row r="17">
      <c r="A17" s="13" t="s">
        <v>27</v>
      </c>
      <c r="G17" s="16">
        <v>18.0</v>
      </c>
      <c r="H17" s="16">
        <v>18.0</v>
      </c>
      <c r="I17" s="16">
        <v>18.0</v>
      </c>
      <c r="J17" s="16">
        <v>34.2</v>
      </c>
      <c r="K17" s="16">
        <v>34.2</v>
      </c>
      <c r="L17" s="16">
        <v>37.2</v>
      </c>
      <c r="M17" s="16">
        <v>37.2</v>
      </c>
      <c r="N17" s="16">
        <v>58.5</v>
      </c>
      <c r="O17" s="16">
        <v>57.75</v>
      </c>
      <c r="P17" s="16">
        <v>57.0</v>
      </c>
      <c r="Q17" s="16">
        <v>68.0</v>
      </c>
      <c r="R17" s="16">
        <v>68.0</v>
      </c>
      <c r="S17" s="16">
        <v>68.0</v>
      </c>
      <c r="T17" s="16">
        <v>78.5</v>
      </c>
      <c r="U17" s="16">
        <v>70.0</v>
      </c>
      <c r="V17" s="16">
        <v>70.0</v>
      </c>
      <c r="W17" s="16">
        <v>70.0</v>
      </c>
      <c r="X17" s="16">
        <v>70.0</v>
      </c>
      <c r="Y17" s="16">
        <v>76.0</v>
      </c>
      <c r="Z17" s="16">
        <v>80.0</v>
      </c>
    </row>
    <row r="18">
      <c r="A18" s="13" t="s">
        <v>28</v>
      </c>
      <c r="G18" s="16">
        <v>18.0</v>
      </c>
      <c r="H18" s="16">
        <v>18.0</v>
      </c>
      <c r="I18" s="16">
        <v>18.0</v>
      </c>
      <c r="J18" s="16">
        <v>34.2</v>
      </c>
      <c r="K18" s="16">
        <v>34.2</v>
      </c>
      <c r="L18" s="16">
        <v>37.2</v>
      </c>
      <c r="M18" s="16">
        <v>37.2</v>
      </c>
      <c r="N18" s="16">
        <v>58.5</v>
      </c>
      <c r="O18" s="16">
        <v>57.75</v>
      </c>
      <c r="P18" s="16">
        <v>57.0</v>
      </c>
      <c r="Q18" s="16">
        <v>68.0</v>
      </c>
      <c r="R18" s="16">
        <v>68.0</v>
      </c>
      <c r="S18" s="16">
        <v>68.0</v>
      </c>
      <c r="T18" s="16">
        <v>78.5</v>
      </c>
      <c r="U18" s="16">
        <v>70.0</v>
      </c>
      <c r="V18" s="16">
        <v>70.0</v>
      </c>
      <c r="W18" s="16">
        <v>70.0</v>
      </c>
      <c r="X18" s="16">
        <v>70.0</v>
      </c>
      <c r="Y18" s="16">
        <v>76.0</v>
      </c>
      <c r="Z18" s="16">
        <v>80.0</v>
      </c>
    </row>
    <row r="19">
      <c r="A19" s="13" t="s">
        <v>29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">
        <v>30</v>
      </c>
      <c r="G20" s="16">
        <v>18.0</v>
      </c>
      <c r="H20" s="16">
        <v>18.0</v>
      </c>
      <c r="I20" s="16">
        <v>18.0</v>
      </c>
      <c r="J20" s="16">
        <v>34.2</v>
      </c>
      <c r="K20" s="16">
        <v>34.2</v>
      </c>
      <c r="L20" s="16">
        <v>37.2</v>
      </c>
      <c r="M20" s="16">
        <v>37.2</v>
      </c>
      <c r="N20" s="16">
        <v>58.5</v>
      </c>
      <c r="O20" s="16">
        <v>57.75</v>
      </c>
      <c r="P20" s="16">
        <v>57.0</v>
      </c>
      <c r="Q20" s="16">
        <v>68.0</v>
      </c>
      <c r="R20" s="16">
        <v>68.0</v>
      </c>
      <c r="S20" s="16">
        <v>68.0</v>
      </c>
      <c r="T20" s="16">
        <v>78.5</v>
      </c>
      <c r="U20" s="16">
        <v>70.0</v>
      </c>
      <c r="V20" s="16">
        <v>70.0</v>
      </c>
      <c r="W20" s="16">
        <v>70.0</v>
      </c>
      <c r="X20" s="16">
        <v>70.0</v>
      </c>
      <c r="Y20" s="16">
        <v>76.0</v>
      </c>
      <c r="Z20" s="16">
        <v>80.0</v>
      </c>
    </row>
    <row r="21">
      <c r="A21" s="13" t="s">
        <v>31</v>
      </c>
      <c r="G21" s="16">
        <v>18.0</v>
      </c>
      <c r="H21" s="16">
        <v>18.0</v>
      </c>
      <c r="I21" s="16">
        <v>18.0</v>
      </c>
      <c r="J21" s="16">
        <v>34.2</v>
      </c>
      <c r="K21" s="16">
        <v>34.2</v>
      </c>
      <c r="L21" s="16">
        <v>37.2</v>
      </c>
      <c r="M21" s="16">
        <v>37.2</v>
      </c>
      <c r="N21" s="16">
        <v>58.5</v>
      </c>
      <c r="O21" s="16">
        <v>57.75</v>
      </c>
      <c r="P21" s="16">
        <v>57.0</v>
      </c>
      <c r="Q21" s="16">
        <v>68.0</v>
      </c>
      <c r="R21" s="16">
        <v>68.0</v>
      </c>
      <c r="S21" s="16">
        <v>68.0</v>
      </c>
      <c r="T21" s="16">
        <v>78.5</v>
      </c>
      <c r="U21" s="16">
        <v>70.0</v>
      </c>
      <c r="V21" s="16">
        <v>70.0</v>
      </c>
      <c r="W21" s="16">
        <v>70.0</v>
      </c>
      <c r="X21" s="16">
        <v>70.0</v>
      </c>
      <c r="Y21" s="16">
        <v>76.0</v>
      </c>
      <c r="Z21" s="16">
        <v>80.0</v>
      </c>
    </row>
  </sheetData>
  <drawing r:id="rId1"/>
</worksheet>
</file>