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URICIO ACOSTA\Desktop\matematicas 1\"/>
    </mc:Choice>
  </mc:AlternateContent>
  <bookViews>
    <workbookView xWindow="0" yWindow="0" windowWidth="15360" windowHeight="5175" firstSheet="2" activeTab="7"/>
  </bookViews>
  <sheets>
    <sheet name="Actividas 1,2" sheetId="1" r:id="rId1"/>
    <sheet name="actividad 1,3" sheetId="2" r:id="rId2"/>
    <sheet name="Actividad 2,2" sheetId="3" r:id="rId3"/>
    <sheet name="actividad 2,3" sheetId="4" r:id="rId4"/>
    <sheet name="Atividad 3,2" sheetId="6" r:id="rId5"/>
    <sheet name="Actividad 3,3" sheetId="5" r:id="rId6"/>
    <sheet name="Actividad 4,2" sheetId="7" r:id="rId7"/>
    <sheet name="Actividad 4,3" sheetId="8"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 i="8" l="1"/>
  <c r="B6" i="8"/>
  <c r="A15" i="8" s="1"/>
  <c r="E6" i="8" s="1"/>
  <c r="F6" i="8"/>
  <c r="G6" i="8" l="1"/>
  <c r="H6" i="8" s="1"/>
  <c r="E7" i="8"/>
  <c r="H8" i="7"/>
  <c r="J8" i="7"/>
  <c r="O8" i="7"/>
  <c r="I13" i="7"/>
  <c r="L18" i="7" s="1"/>
  <c r="N13" i="7"/>
  <c r="D17" i="7"/>
  <c r="G25" i="7"/>
  <c r="E8" i="8" l="1"/>
  <c r="F7" i="8"/>
  <c r="G7" i="8" s="1"/>
  <c r="H7" i="8" s="1"/>
  <c r="K13" i="6"/>
  <c r="L13" i="6" s="1"/>
  <c r="D13" i="6"/>
  <c r="E13" i="6" s="1"/>
  <c r="M12" i="6"/>
  <c r="L12" i="6"/>
  <c r="F12" i="6"/>
  <c r="E12" i="6"/>
  <c r="D8" i="6"/>
  <c r="F8" i="8" l="1"/>
  <c r="H8" i="8"/>
  <c r="G8" i="8"/>
  <c r="E9" i="8"/>
  <c r="G12" i="6"/>
  <c r="G13" i="6" s="1"/>
  <c r="F13" i="6"/>
  <c r="D14" i="6" s="1"/>
  <c r="M13" i="6"/>
  <c r="K14" i="6"/>
  <c r="N12" i="6"/>
  <c r="N13" i="6" s="1"/>
  <c r="E10" i="8" l="1"/>
  <c r="F9" i="8"/>
  <c r="G9" i="8" s="1"/>
  <c r="H9" i="8" s="1"/>
  <c r="L14" i="6"/>
  <c r="K15" i="6"/>
  <c r="M14" i="6"/>
  <c r="E14" i="6"/>
  <c r="F14" i="6"/>
  <c r="D15" i="6" s="1"/>
  <c r="N14" i="6"/>
  <c r="F10" i="8" l="1"/>
  <c r="H10" i="8"/>
  <c r="G10" i="8"/>
  <c r="E11" i="8"/>
  <c r="L15" i="6"/>
  <c r="N15" i="6" s="1"/>
  <c r="K16" i="6"/>
  <c r="M15" i="6"/>
  <c r="G14" i="6"/>
  <c r="G15" i="6" s="1"/>
  <c r="E15" i="6"/>
  <c r="F15" i="6"/>
  <c r="D16" i="6" s="1"/>
  <c r="E12" i="8" l="1"/>
  <c r="F11" i="8"/>
  <c r="G11" i="8" s="1"/>
  <c r="H11" i="8" s="1"/>
  <c r="E16" i="6"/>
  <c r="F16" i="6"/>
  <c r="D17" i="6" s="1"/>
  <c r="G16" i="6"/>
  <c r="L16" i="6"/>
  <c r="K17" i="6" s="1"/>
  <c r="F12" i="8" l="1"/>
  <c r="H12" i="8"/>
  <c r="G12" i="8"/>
  <c r="E13" i="8"/>
  <c r="L17" i="6"/>
  <c r="K18" i="6"/>
  <c r="M17" i="6"/>
  <c r="M16" i="6"/>
  <c r="E17" i="6"/>
  <c r="G17" i="6" s="1"/>
  <c r="F17" i="6"/>
  <c r="D18" i="6" s="1"/>
  <c r="N16" i="6"/>
  <c r="N17" i="6" s="1"/>
  <c r="E14" i="8" l="1"/>
  <c r="F13" i="8"/>
  <c r="G13" i="8" s="1"/>
  <c r="H13" i="8" s="1"/>
  <c r="L18" i="6"/>
  <c r="K19" i="6" s="1"/>
  <c r="M18" i="6"/>
  <c r="E18" i="6"/>
  <c r="G18" i="6" s="1"/>
  <c r="F18" i="6"/>
  <c r="D19" i="6" s="1"/>
  <c r="F14" i="8" l="1"/>
  <c r="H14" i="8"/>
  <c r="G14" i="8"/>
  <c r="E15" i="8"/>
  <c r="L19" i="6"/>
  <c r="K20" i="6" s="1"/>
  <c r="M19" i="6"/>
  <c r="E19" i="6"/>
  <c r="G19" i="6" s="1"/>
  <c r="F19" i="6"/>
  <c r="D20" i="6" s="1"/>
  <c r="N18" i="6"/>
  <c r="N19" i="6" s="1"/>
  <c r="E16" i="8" l="1"/>
  <c r="G15" i="8"/>
  <c r="F15" i="8"/>
  <c r="H15" i="8"/>
  <c r="L20" i="6"/>
  <c r="K21" i="6"/>
  <c r="M20" i="6"/>
  <c r="E20" i="6"/>
  <c r="G20" i="6" s="1"/>
  <c r="F20" i="6"/>
  <c r="D21" i="6" s="1"/>
  <c r="N20" i="6"/>
  <c r="F16" i="8" l="1"/>
  <c r="E17" i="8"/>
  <c r="G16" i="8"/>
  <c r="H16" i="8" s="1"/>
  <c r="E21" i="6"/>
  <c r="E22" i="6" s="1"/>
  <c r="F21" i="6"/>
  <c r="F22" i="6" s="1"/>
  <c r="L21" i="6"/>
  <c r="L22" i="6" s="1"/>
  <c r="M21" i="6"/>
  <c r="M22" i="6" s="1"/>
  <c r="F17" i="8" l="1"/>
  <c r="E18" i="8"/>
  <c r="G17" i="8"/>
  <c r="H17" i="8" s="1"/>
  <c r="N21" i="6"/>
  <c r="N22" i="6" s="1"/>
  <c r="G21" i="6"/>
  <c r="G22" i="6" s="1"/>
  <c r="F18" i="8" l="1"/>
  <c r="E19" i="8"/>
  <c r="G18" i="8"/>
  <c r="H18" i="8" s="1"/>
  <c r="P66" i="5"/>
  <c r="J65" i="5"/>
  <c r="O64" i="5"/>
  <c r="I63" i="5"/>
  <c r="P44" i="5"/>
  <c r="O42" i="5"/>
  <c r="J37" i="5"/>
  <c r="K37" i="5" s="1"/>
  <c r="J27" i="5"/>
  <c r="P25" i="5"/>
  <c r="Q25" i="5" s="1"/>
  <c r="I25" i="5"/>
  <c r="O23" i="5"/>
  <c r="G19" i="5"/>
  <c r="G18" i="5"/>
  <c r="G17" i="5"/>
  <c r="G16" i="5"/>
  <c r="G15" i="5"/>
  <c r="G14" i="5"/>
  <c r="G13" i="5"/>
  <c r="G12" i="5"/>
  <c r="G20" i="5" s="1"/>
  <c r="P11" i="5"/>
  <c r="J11" i="5"/>
  <c r="O9" i="5"/>
  <c r="I8" i="5"/>
  <c r="K65" i="5" s="1"/>
  <c r="M65" i="5" s="1"/>
  <c r="F19" i="8" l="1"/>
  <c r="E20" i="8"/>
  <c r="G19" i="8"/>
  <c r="H19" i="8" s="1"/>
  <c r="K11" i="5"/>
  <c r="L11" i="5" s="1"/>
  <c r="Q11" i="5"/>
  <c r="R11" i="5" s="1"/>
  <c r="M11" i="5"/>
  <c r="S11" i="5"/>
  <c r="J12" i="5"/>
  <c r="P12" i="5"/>
  <c r="P26" i="5"/>
  <c r="S25" i="5"/>
  <c r="K27" i="5"/>
  <c r="J38" i="5"/>
  <c r="M37" i="5"/>
  <c r="Q44" i="5"/>
  <c r="P45" i="5" s="1"/>
  <c r="J66" i="5"/>
  <c r="Q66" i="5"/>
  <c r="R25" i="5"/>
  <c r="L27" i="5"/>
  <c r="L37" i="5"/>
  <c r="P67" i="5"/>
  <c r="L65" i="5"/>
  <c r="R66" i="5"/>
  <c r="F20" i="8" l="1"/>
  <c r="E21" i="8"/>
  <c r="G20" i="8"/>
  <c r="H20" i="8" s="1"/>
  <c r="Q67" i="5"/>
  <c r="R67" i="5" s="1"/>
  <c r="S66" i="5"/>
  <c r="Q45" i="5"/>
  <c r="P46" i="5" s="1"/>
  <c r="M27" i="5"/>
  <c r="Q26" i="5"/>
  <c r="K12" i="5"/>
  <c r="K66" i="5"/>
  <c r="S44" i="5"/>
  <c r="S45" i="5" s="1"/>
  <c r="R44" i="5"/>
  <c r="K38" i="5"/>
  <c r="J28" i="5"/>
  <c r="Q12" i="5"/>
  <c r="S12" i="5" s="1"/>
  <c r="F21" i="8" l="1"/>
  <c r="E22" i="8"/>
  <c r="G21" i="8"/>
  <c r="H21" i="8" s="1"/>
  <c r="R45" i="5"/>
  <c r="S67" i="5"/>
  <c r="P68" i="5"/>
  <c r="Q46" i="5"/>
  <c r="P47" i="5" s="1"/>
  <c r="R46" i="5"/>
  <c r="K28" i="5"/>
  <c r="J39" i="5"/>
  <c r="M66" i="5"/>
  <c r="J67" i="5"/>
  <c r="P27" i="5"/>
  <c r="Q68" i="5"/>
  <c r="P69" i="5" s="1"/>
  <c r="M12" i="5"/>
  <c r="R12" i="5"/>
  <c r="P13" i="5"/>
  <c r="S26" i="5"/>
  <c r="L38" i="5"/>
  <c r="L66" i="5"/>
  <c r="L12" i="5"/>
  <c r="J13" i="5"/>
  <c r="R26" i="5"/>
  <c r="M38" i="5"/>
  <c r="S68" i="5"/>
  <c r="F22" i="8" l="1"/>
  <c r="E23" i="8"/>
  <c r="G22" i="8"/>
  <c r="H22" i="8" s="1"/>
  <c r="R68" i="5"/>
  <c r="S46" i="5"/>
  <c r="R69" i="5"/>
  <c r="Q69" i="5"/>
  <c r="P70" i="5" s="1"/>
  <c r="L67" i="5"/>
  <c r="L68" i="5" s="1"/>
  <c r="K67" i="5"/>
  <c r="K68" i="5" s="1"/>
  <c r="L69" i="5" s="1"/>
  <c r="M67" i="5"/>
  <c r="M68" i="5" s="1"/>
  <c r="K39" i="5"/>
  <c r="L39" i="5" s="1"/>
  <c r="J29" i="5"/>
  <c r="Q47" i="5"/>
  <c r="R47" i="5" s="1"/>
  <c r="S69" i="5"/>
  <c r="M28" i="5"/>
  <c r="J14" i="5"/>
  <c r="K13" i="5"/>
  <c r="Q13" i="5"/>
  <c r="M13" i="5"/>
  <c r="R27" i="5"/>
  <c r="Q27" i="5"/>
  <c r="S27" i="5" s="1"/>
  <c r="S47" i="5"/>
  <c r="L28" i="5"/>
  <c r="F23" i="8" l="1"/>
  <c r="E24" i="8"/>
  <c r="G23" i="8"/>
  <c r="H23" i="8" s="1"/>
  <c r="Q70" i="5"/>
  <c r="R70" i="5" s="1"/>
  <c r="S13" i="5"/>
  <c r="R13" i="5"/>
  <c r="K14" i="5"/>
  <c r="J15" i="5" s="1"/>
  <c r="P28" i="5"/>
  <c r="P14" i="5"/>
  <c r="L13" i="5"/>
  <c r="S70" i="5"/>
  <c r="P48" i="5"/>
  <c r="K29" i="5"/>
  <c r="J40" i="5"/>
  <c r="M39" i="5"/>
  <c r="F24" i="8" l="1"/>
  <c r="E25" i="8"/>
  <c r="G24" i="8"/>
  <c r="H24" i="8" s="1"/>
  <c r="M14" i="5"/>
  <c r="L14" i="5"/>
  <c r="K40" i="5"/>
  <c r="L40" i="5" s="1"/>
  <c r="J30" i="5"/>
  <c r="L15" i="5"/>
  <c r="K15" i="5"/>
  <c r="J16" i="5" s="1"/>
  <c r="S14" i="5"/>
  <c r="M40" i="5"/>
  <c r="L29" i="5"/>
  <c r="Q48" i="5"/>
  <c r="P49" i="5"/>
  <c r="R48" i="5"/>
  <c r="P15" i="5"/>
  <c r="Q14" i="5"/>
  <c r="R14" i="5"/>
  <c r="Q28" i="5"/>
  <c r="S28" i="5" s="1"/>
  <c r="M29" i="5"/>
  <c r="P71" i="5"/>
  <c r="F25" i="8" l="1"/>
  <c r="E26" i="8"/>
  <c r="G25" i="8"/>
  <c r="H25" i="8" s="1"/>
  <c r="R28" i="5"/>
  <c r="M15" i="5"/>
  <c r="K16" i="5"/>
  <c r="L16" i="5" s="1"/>
  <c r="Q49" i="5"/>
  <c r="P50" i="5" s="1"/>
  <c r="R49" i="5"/>
  <c r="P29" i="5"/>
  <c r="S48" i="5"/>
  <c r="S49" i="5" s="1"/>
  <c r="J41" i="5"/>
  <c r="Q71" i="5"/>
  <c r="S71" i="5" s="1"/>
  <c r="Q15" i="5"/>
  <c r="P16" i="5" s="1"/>
  <c r="S15" i="5"/>
  <c r="M16" i="5"/>
  <c r="K30" i="5"/>
  <c r="L30" i="5" s="1"/>
  <c r="F26" i="8" l="1"/>
  <c r="E27" i="8"/>
  <c r="G26" i="8"/>
  <c r="H26" i="8" s="1"/>
  <c r="J17" i="5"/>
  <c r="P17" i="5"/>
  <c r="Q16" i="5"/>
  <c r="R16" i="5" s="1"/>
  <c r="J31" i="5"/>
  <c r="S16" i="5"/>
  <c r="P72" i="5"/>
  <c r="Q50" i="5"/>
  <c r="S50" i="5" s="1"/>
  <c r="R50" i="5"/>
  <c r="M30" i="5"/>
  <c r="K17" i="5"/>
  <c r="J18" i="5" s="1"/>
  <c r="R15" i="5"/>
  <c r="R71" i="5"/>
  <c r="K41" i="5"/>
  <c r="M41" i="5" s="1"/>
  <c r="Q29" i="5"/>
  <c r="S29" i="5" s="1"/>
  <c r="F27" i="8" l="1"/>
  <c r="E28" i="8"/>
  <c r="G27" i="8"/>
  <c r="H27" i="8" s="1"/>
  <c r="M17" i="5"/>
  <c r="P51" i="5"/>
  <c r="K18" i="5"/>
  <c r="L18" i="5" s="1"/>
  <c r="P30" i="5"/>
  <c r="M18" i="5"/>
  <c r="Q51" i="5"/>
  <c r="P52" i="5" s="1"/>
  <c r="R51" i="5"/>
  <c r="L31" i="5"/>
  <c r="K31" i="5"/>
  <c r="J32" i="5" s="1"/>
  <c r="P18" i="5"/>
  <c r="Q17" i="5"/>
  <c r="R17" i="5"/>
  <c r="R29" i="5"/>
  <c r="L41" i="5"/>
  <c r="J42" i="5"/>
  <c r="L17" i="5"/>
  <c r="Q72" i="5"/>
  <c r="S72" i="5" s="1"/>
  <c r="S17" i="5"/>
  <c r="F28" i="8" l="1"/>
  <c r="E29" i="8"/>
  <c r="G28" i="8"/>
  <c r="H28" i="8" s="1"/>
  <c r="R72" i="5"/>
  <c r="S51" i="5"/>
  <c r="M31" i="5"/>
  <c r="J19" i="5"/>
  <c r="K32" i="5"/>
  <c r="K33" i="5" s="1"/>
  <c r="L34" i="5" s="1"/>
  <c r="Q18" i="5"/>
  <c r="S18" i="5" s="1"/>
  <c r="Q52" i="5"/>
  <c r="S52" i="5" s="1"/>
  <c r="R52" i="5"/>
  <c r="K19" i="5"/>
  <c r="J20" i="5" s="1"/>
  <c r="L19" i="5"/>
  <c r="P73" i="5"/>
  <c r="K42" i="5"/>
  <c r="M42" i="5" s="1"/>
  <c r="M19" i="5"/>
  <c r="R30" i="5"/>
  <c r="Q30" i="5"/>
  <c r="S30" i="5" s="1"/>
  <c r="F29" i="8" l="1"/>
  <c r="E30" i="8"/>
  <c r="G29" i="8"/>
  <c r="H29" i="8" s="1"/>
  <c r="J43" i="5"/>
  <c r="K43" i="5"/>
  <c r="J44" i="5" s="1"/>
  <c r="R73" i="5"/>
  <c r="Q73" i="5"/>
  <c r="S73" i="5" s="1"/>
  <c r="K20" i="5"/>
  <c r="M20" i="5" s="1"/>
  <c r="R18" i="5"/>
  <c r="P31" i="5"/>
  <c r="M43" i="5"/>
  <c r="L42" i="5"/>
  <c r="M32" i="5"/>
  <c r="M33" i="5" s="1"/>
  <c r="P53" i="5"/>
  <c r="P19" i="5"/>
  <c r="L32" i="5"/>
  <c r="L33" i="5" s="1"/>
  <c r="F30" i="8" l="1"/>
  <c r="E31" i="8"/>
  <c r="G30" i="8"/>
  <c r="H30" i="8" s="1"/>
  <c r="L43" i="5"/>
  <c r="K44" i="5"/>
  <c r="J45" i="5" s="1"/>
  <c r="Q19" i="5"/>
  <c r="S19" i="5" s="1"/>
  <c r="J21" i="5"/>
  <c r="Q53" i="5"/>
  <c r="S53" i="5" s="1"/>
  <c r="R31" i="5"/>
  <c r="Q31" i="5"/>
  <c r="S31" i="5" s="1"/>
  <c r="L20" i="5"/>
  <c r="P74" i="5"/>
  <c r="F31" i="8" l="1"/>
  <c r="E32" i="8"/>
  <c r="G31" i="8"/>
  <c r="H31" i="8" s="1"/>
  <c r="M44" i="5"/>
  <c r="L44" i="5"/>
  <c r="K45" i="5"/>
  <c r="J46" i="5"/>
  <c r="L45" i="5"/>
  <c r="Q74" i="5"/>
  <c r="S74" i="5" s="1"/>
  <c r="P54" i="5"/>
  <c r="M45" i="5"/>
  <c r="P32" i="5"/>
  <c r="R53" i="5"/>
  <c r="K21" i="5"/>
  <c r="M21" i="5" s="1"/>
  <c r="R19" i="5"/>
  <c r="P20" i="5"/>
  <c r="F32" i="8" l="1"/>
  <c r="E33" i="8"/>
  <c r="G32" i="8"/>
  <c r="H32" i="8" s="1"/>
  <c r="Q20" i="5"/>
  <c r="L21" i="5"/>
  <c r="Q32" i="5"/>
  <c r="S32" i="5" s="1"/>
  <c r="Q54" i="5"/>
  <c r="S54" i="5" s="1"/>
  <c r="P75" i="5"/>
  <c r="K46" i="5"/>
  <c r="J47" i="5" s="1"/>
  <c r="J22" i="5"/>
  <c r="M46" i="5"/>
  <c r="R74" i="5"/>
  <c r="F33" i="8" l="1"/>
  <c r="E34" i="8"/>
  <c r="G33" i="8"/>
  <c r="H33" i="8" s="1"/>
  <c r="L46" i="5"/>
  <c r="Q75" i="5"/>
  <c r="S75" i="5" s="1"/>
  <c r="P55" i="5"/>
  <c r="Q21" i="5"/>
  <c r="R22" i="5" s="1"/>
  <c r="S20" i="5"/>
  <c r="S21" i="5" s="1"/>
  <c r="K22" i="5"/>
  <c r="K47" i="5"/>
  <c r="J48" i="5" s="1"/>
  <c r="L47" i="5"/>
  <c r="R54" i="5"/>
  <c r="P33" i="5"/>
  <c r="R32" i="5"/>
  <c r="R20" i="5"/>
  <c r="R21" i="5" s="1"/>
  <c r="F34" i="8" l="1"/>
  <c r="E35" i="8"/>
  <c r="G34" i="8"/>
  <c r="H34" i="8" s="1"/>
  <c r="K48" i="5"/>
  <c r="J49" i="5"/>
  <c r="L48" i="5"/>
  <c r="K23" i="5"/>
  <c r="L24" i="5" s="1"/>
  <c r="M22" i="5"/>
  <c r="M23" i="5" s="1"/>
  <c r="P34" i="5"/>
  <c r="Q33" i="5"/>
  <c r="S33" i="5" s="1"/>
  <c r="R33" i="5"/>
  <c r="M47" i="5"/>
  <c r="M48" i="5" s="1"/>
  <c r="L22" i="5"/>
  <c r="L23" i="5" s="1"/>
  <c r="Q55" i="5"/>
  <c r="S55" i="5" s="1"/>
  <c r="R75" i="5"/>
  <c r="P76" i="5"/>
  <c r="F35" i="8" l="1"/>
  <c r="E36" i="8"/>
  <c r="G35" i="8"/>
  <c r="H35" i="8" s="1"/>
  <c r="R55" i="5"/>
  <c r="R76" i="5"/>
  <c r="Q76" i="5"/>
  <c r="S76" i="5" s="1"/>
  <c r="Q34" i="5"/>
  <c r="R34" i="5" s="1"/>
  <c r="K49" i="5"/>
  <c r="J50" i="5"/>
  <c r="L49" i="5"/>
  <c r="P56" i="5"/>
  <c r="M49" i="5"/>
  <c r="F36" i="8" l="1"/>
  <c r="E37" i="8"/>
  <c r="G36" i="8"/>
  <c r="H36" i="8" s="1"/>
  <c r="K50" i="5"/>
  <c r="M50" i="5" s="1"/>
  <c r="L50" i="5"/>
  <c r="P35" i="5"/>
  <c r="S34" i="5"/>
  <c r="Q56" i="5"/>
  <c r="S56" i="5" s="1"/>
  <c r="P77" i="5"/>
  <c r="F37" i="8" l="1"/>
  <c r="E38" i="8"/>
  <c r="G37" i="8"/>
  <c r="H37" i="8" s="1"/>
  <c r="R56" i="5"/>
  <c r="R77" i="5"/>
  <c r="Q77" i="5"/>
  <c r="S77" i="5" s="1"/>
  <c r="P57" i="5"/>
  <c r="Q35" i="5"/>
  <c r="R35" i="5" s="1"/>
  <c r="J51" i="5"/>
  <c r="F38" i="8" l="1"/>
  <c r="E39" i="8"/>
  <c r="G38" i="8"/>
  <c r="H38" i="8" s="1"/>
  <c r="P36" i="5"/>
  <c r="S35" i="5"/>
  <c r="K51" i="5"/>
  <c r="M51" i="5" s="1"/>
  <c r="J52" i="5"/>
  <c r="L51" i="5"/>
  <c r="Q57" i="5"/>
  <c r="S57" i="5" s="1"/>
  <c r="P78" i="5"/>
  <c r="F39" i="8" l="1"/>
  <c r="E40" i="8"/>
  <c r="G39" i="8"/>
  <c r="H39" i="8" s="1"/>
  <c r="Q78" i="5"/>
  <c r="S78" i="5" s="1"/>
  <c r="P58" i="5"/>
  <c r="K52" i="5"/>
  <c r="J53" i="5" s="1"/>
  <c r="R57" i="5"/>
  <c r="Q36" i="5"/>
  <c r="S36" i="5" s="1"/>
  <c r="F40" i="8" l="1"/>
  <c r="E41" i="8"/>
  <c r="G40" i="8"/>
  <c r="H40" i="8" s="1"/>
  <c r="L52" i="5"/>
  <c r="R78" i="5"/>
  <c r="K53" i="5"/>
  <c r="J54" i="5" s="1"/>
  <c r="P37" i="5"/>
  <c r="R36" i="5"/>
  <c r="M52" i="5"/>
  <c r="Q58" i="5"/>
  <c r="S58" i="5" s="1"/>
  <c r="P79" i="5"/>
  <c r="F41" i="8" l="1"/>
  <c r="E42" i="8"/>
  <c r="G41" i="8"/>
  <c r="H41" i="8" s="1"/>
  <c r="K54" i="5"/>
  <c r="J55" i="5" s="1"/>
  <c r="Q79" i="5"/>
  <c r="S79" i="5" s="1"/>
  <c r="P59" i="5"/>
  <c r="R58" i="5"/>
  <c r="M53" i="5"/>
  <c r="Q37" i="5"/>
  <c r="S37" i="5" s="1"/>
  <c r="L53" i="5"/>
  <c r="F42" i="8" l="1"/>
  <c r="E43" i="8"/>
  <c r="G42" i="8"/>
  <c r="H42" i="8" s="1"/>
  <c r="R79" i="5"/>
  <c r="P38" i="5"/>
  <c r="Q38" i="5" s="1"/>
  <c r="S38" i="5" s="1"/>
  <c r="K55" i="5"/>
  <c r="J56" i="5" s="1"/>
  <c r="R37" i="5"/>
  <c r="M54" i="5"/>
  <c r="Q59" i="5"/>
  <c r="S59" i="5" s="1"/>
  <c r="P80" i="5"/>
  <c r="L54" i="5"/>
  <c r="F43" i="8" l="1"/>
  <c r="E44" i="8"/>
  <c r="G43" i="8"/>
  <c r="H43" i="8" s="1"/>
  <c r="K56" i="5"/>
  <c r="J57" i="5" s="1"/>
  <c r="P39" i="5"/>
  <c r="Q80" i="5"/>
  <c r="S80" i="5" s="1"/>
  <c r="R38" i="5"/>
  <c r="R59" i="5"/>
  <c r="M55" i="5"/>
  <c r="M56" i="5" s="1"/>
  <c r="L55" i="5"/>
  <c r="P60" i="5"/>
  <c r="F44" i="8" l="1"/>
  <c r="E45" i="8"/>
  <c r="G44" i="8"/>
  <c r="H44" i="8" s="1"/>
  <c r="R80" i="5"/>
  <c r="L56" i="5"/>
  <c r="K57" i="5"/>
  <c r="L57" i="5" s="1"/>
  <c r="Q60" i="5"/>
  <c r="S60" i="5" s="1"/>
  <c r="P61" i="5"/>
  <c r="P81" i="5"/>
  <c r="Q39" i="5"/>
  <c r="F45" i="8" l="1"/>
  <c r="E46" i="8"/>
  <c r="G45" i="8"/>
  <c r="H45" i="8" s="1"/>
  <c r="R60" i="5"/>
  <c r="Q40" i="5"/>
  <c r="R41" i="5" s="1"/>
  <c r="S39" i="5"/>
  <c r="S40" i="5" s="1"/>
  <c r="R81" i="5"/>
  <c r="Q81" i="5"/>
  <c r="S81" i="5" s="1"/>
  <c r="Q61" i="5"/>
  <c r="Q62" i="5" s="1"/>
  <c r="R63" i="5" s="1"/>
  <c r="J58" i="5"/>
  <c r="R39" i="5"/>
  <c r="R40" i="5" s="1"/>
  <c r="M57" i="5"/>
  <c r="F46" i="8" l="1"/>
  <c r="E47" i="8"/>
  <c r="G46" i="8"/>
  <c r="H46" i="8" s="1"/>
  <c r="S61" i="5"/>
  <c r="S62" i="5" s="1"/>
  <c r="L58" i="5"/>
  <c r="K58" i="5"/>
  <c r="J59" i="5" s="1"/>
  <c r="M58" i="5"/>
  <c r="R61" i="5"/>
  <c r="R62" i="5" s="1"/>
  <c r="P82" i="5"/>
  <c r="F47" i="8" l="1"/>
  <c r="E48" i="8"/>
  <c r="G47" i="8"/>
  <c r="H47" i="8" s="1"/>
  <c r="K59" i="5"/>
  <c r="J60" i="5" s="1"/>
  <c r="R82" i="5"/>
  <c r="Q82" i="5"/>
  <c r="S82" i="5" s="1"/>
  <c r="F48" i="8" l="1"/>
  <c r="H48" i="8"/>
  <c r="G48" i="8"/>
  <c r="E49" i="8"/>
  <c r="M59" i="5"/>
  <c r="L59" i="5"/>
  <c r="K60" i="5"/>
  <c r="K61" i="5" s="1"/>
  <c r="L62" i="5" s="1"/>
  <c r="P83" i="5"/>
  <c r="E50" i="8" l="1"/>
  <c r="F49" i="8"/>
  <c r="G49" i="8" s="1"/>
  <c r="H49" i="8" s="1"/>
  <c r="Q83" i="5"/>
  <c r="S83" i="5" s="1"/>
  <c r="M60" i="5"/>
  <c r="M61" i="5" s="1"/>
  <c r="L60" i="5"/>
  <c r="L61" i="5" s="1"/>
  <c r="F50" i="8" l="1"/>
  <c r="H50" i="8"/>
  <c r="G50" i="8"/>
  <c r="E51" i="8"/>
  <c r="R83" i="5"/>
  <c r="P84" i="5"/>
  <c r="E52" i="8" l="1"/>
  <c r="F51" i="8"/>
  <c r="G51" i="8" s="1"/>
  <c r="H51" i="8" s="1"/>
  <c r="Q84" i="5"/>
  <c r="S84" i="5" s="1"/>
  <c r="L7" i="4"/>
  <c r="L9" i="4"/>
  <c r="L11" i="4"/>
  <c r="L13" i="4"/>
  <c r="G14" i="4"/>
  <c r="H14" i="4"/>
  <c r="I14" i="4"/>
  <c r="J14" i="4"/>
  <c r="G15" i="4"/>
  <c r="H15" i="4"/>
  <c r="H16" i="4" s="1"/>
  <c r="H17" i="4" s="1"/>
  <c r="I15" i="4"/>
  <c r="J15" i="4"/>
  <c r="N15" i="4"/>
  <c r="G16" i="4"/>
  <c r="I16" i="4" s="1"/>
  <c r="J16" i="4" s="1"/>
  <c r="N16" i="4"/>
  <c r="G17" i="4"/>
  <c r="N17" i="4"/>
  <c r="N19" i="4"/>
  <c r="N20" i="4"/>
  <c r="C21" i="4"/>
  <c r="C31" i="4" s="1"/>
  <c r="N21" i="4"/>
  <c r="N22" i="4"/>
  <c r="N23" i="4"/>
  <c r="N24" i="4"/>
  <c r="C25" i="4"/>
  <c r="N25" i="4"/>
  <c r="N26" i="4"/>
  <c r="N27" i="4"/>
  <c r="F52" i="8" l="1"/>
  <c r="H52" i="8"/>
  <c r="G52" i="8"/>
  <c r="E53" i="8"/>
  <c r="R84" i="5"/>
  <c r="P85" i="5"/>
  <c r="I17" i="4"/>
  <c r="J17" i="4" s="1"/>
  <c r="Q6" i="3"/>
  <c r="Q7" i="3"/>
  <c r="N8" i="3"/>
  <c r="Q8" i="3"/>
  <c r="Q9" i="3"/>
  <c r="Q10" i="3"/>
  <c r="Q11" i="3"/>
  <c r="N12" i="3"/>
  <c r="N13" i="3" s="1"/>
  <c r="N15" i="3" s="1"/>
  <c r="Q12" i="3"/>
  <c r="Q13" i="3"/>
  <c r="Q14" i="3"/>
  <c r="Q15" i="3"/>
  <c r="Q16" i="3"/>
  <c r="Q17" i="3"/>
  <c r="M18" i="3"/>
  <c r="M19" i="3" s="1"/>
  <c r="Q18" i="3"/>
  <c r="Q19" i="3"/>
  <c r="M20" i="3"/>
  <c r="M21" i="3" s="1"/>
  <c r="M22" i="3" s="1"/>
  <c r="M23" i="3" s="1"/>
  <c r="M24" i="3" s="1"/>
  <c r="M25" i="3" s="1"/>
  <c r="Q20" i="3"/>
  <c r="Q22" i="3"/>
  <c r="Q23" i="3"/>
  <c r="Q24" i="3"/>
  <c r="Q25" i="3"/>
  <c r="G26" i="3"/>
  <c r="Q26" i="3"/>
  <c r="Q27" i="3"/>
  <c r="G28" i="3"/>
  <c r="R6" i="3" s="1"/>
  <c r="S6" i="3" s="1"/>
  <c r="Q28" i="3"/>
  <c r="Q29" i="3"/>
  <c r="R29" i="3" s="1"/>
  <c r="S29" i="3" s="1"/>
  <c r="G30" i="3"/>
  <c r="Q30" i="3"/>
  <c r="R30" i="3"/>
  <c r="S30" i="3" s="1"/>
  <c r="Q31" i="3"/>
  <c r="G32" i="3"/>
  <c r="Q32" i="3"/>
  <c r="R32" i="3" s="1"/>
  <c r="S32" i="3" s="1"/>
  <c r="Q33" i="3"/>
  <c r="R33" i="3" s="1"/>
  <c r="S33" i="3" s="1"/>
  <c r="G34" i="3"/>
  <c r="Q34" i="3"/>
  <c r="R34" i="3" s="1"/>
  <c r="S34" i="3" s="1"/>
  <c r="Q35" i="3"/>
  <c r="R35" i="3" s="1"/>
  <c r="S35" i="3" s="1"/>
  <c r="Q36" i="3"/>
  <c r="R36" i="3" s="1"/>
  <c r="S36" i="3" s="1"/>
  <c r="Q37" i="3"/>
  <c r="R37" i="3" s="1"/>
  <c r="S37" i="3" s="1"/>
  <c r="C38" i="3"/>
  <c r="E38" i="3"/>
  <c r="Q38" i="3"/>
  <c r="R38" i="3" s="1"/>
  <c r="S38" i="3" s="1"/>
  <c r="C39" i="3"/>
  <c r="E39" i="3"/>
  <c r="Q39" i="3"/>
  <c r="R39" i="3" s="1"/>
  <c r="S39" i="3" s="1"/>
  <c r="C40" i="3"/>
  <c r="E40" i="3"/>
  <c r="Q40" i="3"/>
  <c r="R40" i="3" s="1"/>
  <c r="S40" i="3" s="1"/>
  <c r="E41" i="3"/>
  <c r="Q41" i="3"/>
  <c r="R41" i="3"/>
  <c r="S41" i="3" s="1"/>
  <c r="E42" i="3"/>
  <c r="Q42" i="3"/>
  <c r="R42" i="3" s="1"/>
  <c r="S42" i="3" s="1"/>
  <c r="E43" i="3"/>
  <c r="Q43" i="3"/>
  <c r="R43" i="3" s="1"/>
  <c r="S43" i="3" s="1"/>
  <c r="E44" i="3"/>
  <c r="Q44" i="3"/>
  <c r="R44" i="3" s="1"/>
  <c r="S44" i="3" s="1"/>
  <c r="E45" i="3"/>
  <c r="Q45" i="3"/>
  <c r="R45" i="3"/>
  <c r="S45" i="3" s="1"/>
  <c r="E46" i="3"/>
  <c r="Q46" i="3"/>
  <c r="R46" i="3" s="1"/>
  <c r="S46" i="3" s="1"/>
  <c r="Q47" i="3"/>
  <c r="R47" i="3" s="1"/>
  <c r="S47" i="3" s="1"/>
  <c r="Q48" i="3"/>
  <c r="R48" i="3" s="1"/>
  <c r="S48" i="3" s="1"/>
  <c r="Q49" i="3"/>
  <c r="R49" i="3" s="1"/>
  <c r="S49" i="3" s="1"/>
  <c r="Q50" i="3"/>
  <c r="R50" i="3" s="1"/>
  <c r="S50" i="3" s="1"/>
  <c r="Q51" i="3"/>
  <c r="R51" i="3" s="1"/>
  <c r="S51" i="3" s="1"/>
  <c r="Q52" i="3"/>
  <c r="R52" i="3" s="1"/>
  <c r="S52" i="3" s="1"/>
  <c r="Q53" i="3"/>
  <c r="R53" i="3" s="1"/>
  <c r="S53" i="3" s="1"/>
  <c r="Q54" i="3"/>
  <c r="R54" i="3" s="1"/>
  <c r="S54" i="3" s="1"/>
  <c r="Q55" i="3"/>
  <c r="R55" i="3" s="1"/>
  <c r="S55" i="3" s="1"/>
  <c r="Q56" i="3"/>
  <c r="R56" i="3" s="1"/>
  <c r="S56" i="3" s="1"/>
  <c r="Q57" i="3"/>
  <c r="R57" i="3" s="1"/>
  <c r="S57" i="3" s="1"/>
  <c r="Q58" i="3"/>
  <c r="R58" i="3" s="1"/>
  <c r="S58" i="3" s="1"/>
  <c r="Q59" i="3"/>
  <c r="R59" i="3" s="1"/>
  <c r="S59" i="3" s="1"/>
  <c r="Q60" i="3"/>
  <c r="R60" i="3" s="1"/>
  <c r="S60" i="3" s="1"/>
  <c r="Q61" i="3"/>
  <c r="R61" i="3" s="1"/>
  <c r="S61" i="3" s="1"/>
  <c r="Q62" i="3"/>
  <c r="R62" i="3" s="1"/>
  <c r="S62" i="3" s="1"/>
  <c r="Q63" i="3"/>
  <c r="R63" i="3" s="1"/>
  <c r="S63" i="3" s="1"/>
  <c r="Q64" i="3"/>
  <c r="R64" i="3" s="1"/>
  <c r="S64" i="3" s="1"/>
  <c r="Q65" i="3"/>
  <c r="R65" i="3" s="1"/>
  <c r="S65" i="3" s="1"/>
  <c r="Q66" i="3"/>
  <c r="R66" i="3" s="1"/>
  <c r="S66" i="3" s="1"/>
  <c r="Q67" i="3"/>
  <c r="R67" i="3" s="1"/>
  <c r="S67" i="3" s="1"/>
  <c r="Q68" i="3"/>
  <c r="R68" i="3" s="1"/>
  <c r="S68" i="3" s="1"/>
  <c r="Q69" i="3"/>
  <c r="R69" i="3" s="1"/>
  <c r="S69" i="3" s="1"/>
  <c r="Q70" i="3"/>
  <c r="R70" i="3" s="1"/>
  <c r="S70" i="3" s="1"/>
  <c r="Q71" i="3"/>
  <c r="R71" i="3" s="1"/>
  <c r="S71" i="3" s="1"/>
  <c r="Q72" i="3"/>
  <c r="R72" i="3" s="1"/>
  <c r="S72" i="3" s="1"/>
  <c r="Q73" i="3"/>
  <c r="R73" i="3" s="1"/>
  <c r="S73" i="3" s="1"/>
  <c r="Q74" i="3"/>
  <c r="R74" i="3" s="1"/>
  <c r="S74" i="3" s="1"/>
  <c r="Q75" i="3"/>
  <c r="R75" i="3" s="1"/>
  <c r="S75" i="3" s="1"/>
  <c r="Q76" i="3"/>
  <c r="R76" i="3" s="1"/>
  <c r="S76" i="3" s="1"/>
  <c r="Q77" i="3"/>
  <c r="R77" i="3"/>
  <c r="S77" i="3" s="1"/>
  <c r="Q78" i="3"/>
  <c r="Q79" i="3"/>
  <c r="R79" i="3" s="1"/>
  <c r="S79" i="3" s="1"/>
  <c r="Q80" i="3"/>
  <c r="R80" i="3" s="1"/>
  <c r="S80" i="3" s="1"/>
  <c r="Q81" i="3"/>
  <c r="R81" i="3" s="1"/>
  <c r="S81" i="3" s="1"/>
  <c r="Q82" i="3"/>
  <c r="Q83" i="3"/>
  <c r="R83" i="3" s="1"/>
  <c r="S83" i="3" s="1"/>
  <c r="Q84" i="3"/>
  <c r="R84" i="3" s="1"/>
  <c r="S84" i="3" s="1"/>
  <c r="Q85" i="3"/>
  <c r="R85" i="3"/>
  <c r="S85" i="3" s="1"/>
  <c r="Q86" i="3"/>
  <c r="Q87" i="3"/>
  <c r="R87" i="3" s="1"/>
  <c r="S87" i="3" s="1"/>
  <c r="Q88" i="3"/>
  <c r="R88" i="3" s="1"/>
  <c r="S88" i="3" s="1"/>
  <c r="Q89" i="3"/>
  <c r="R89" i="3" s="1"/>
  <c r="S89" i="3" s="1"/>
  <c r="Q90" i="3"/>
  <c r="Q91" i="3"/>
  <c r="R91" i="3" s="1"/>
  <c r="S91" i="3" s="1"/>
  <c r="Q92" i="3"/>
  <c r="R92" i="3" s="1"/>
  <c r="S92" i="3" s="1"/>
  <c r="Q93" i="3"/>
  <c r="R93" i="3"/>
  <c r="S93" i="3" s="1"/>
  <c r="Q94" i="3"/>
  <c r="Q95" i="3"/>
  <c r="R95" i="3" s="1"/>
  <c r="S95" i="3" s="1"/>
  <c r="Q96" i="3"/>
  <c r="R96" i="3" s="1"/>
  <c r="S96" i="3" s="1"/>
  <c r="Q97" i="3"/>
  <c r="R97" i="3" s="1"/>
  <c r="S97" i="3" s="1"/>
  <c r="Q98" i="3"/>
  <c r="Q99" i="3"/>
  <c r="R99" i="3" s="1"/>
  <c r="S99" i="3" s="1"/>
  <c r="Q100" i="3"/>
  <c r="R100" i="3" s="1"/>
  <c r="S100" i="3" s="1"/>
  <c r="Q101" i="3"/>
  <c r="R101" i="3"/>
  <c r="S101" i="3" s="1"/>
  <c r="Q102" i="3"/>
  <c r="Q103" i="3"/>
  <c r="R103" i="3" s="1"/>
  <c r="S103" i="3" s="1"/>
  <c r="Q104" i="3"/>
  <c r="R104" i="3" s="1"/>
  <c r="S104" i="3" s="1"/>
  <c r="Q105" i="3"/>
  <c r="R105" i="3" s="1"/>
  <c r="S105" i="3" s="1"/>
  <c r="Q106" i="3"/>
  <c r="F53" i="8" l="1"/>
  <c r="G53" i="8" s="1"/>
  <c r="H53" i="8" s="1"/>
  <c r="R26" i="3"/>
  <c r="S26" i="3" s="1"/>
  <c r="R11" i="3"/>
  <c r="S11" i="3" s="1"/>
  <c r="Q85" i="5"/>
  <c r="R85" i="5" s="1"/>
  <c r="R86" i="5" s="1"/>
  <c r="R27" i="3"/>
  <c r="S27" i="3" s="1"/>
  <c r="R25" i="3"/>
  <c r="S25" i="3" s="1"/>
  <c r="R23" i="3"/>
  <c r="S23" i="3" s="1"/>
  <c r="R20" i="3"/>
  <c r="S20" i="3" s="1"/>
  <c r="R18" i="3"/>
  <c r="S18" i="3" s="1"/>
  <c r="R16" i="3"/>
  <c r="S16" i="3" s="1"/>
  <c r="R15" i="3"/>
  <c r="S15" i="3" s="1"/>
  <c r="R13" i="3"/>
  <c r="S13" i="3" s="1"/>
  <c r="R12" i="3"/>
  <c r="S12" i="3" s="1"/>
  <c r="R9" i="3"/>
  <c r="S9" i="3" s="1"/>
  <c r="R8" i="3"/>
  <c r="S8" i="3" s="1"/>
  <c r="R106" i="3"/>
  <c r="S106" i="3" s="1"/>
  <c r="R102" i="3"/>
  <c r="S102" i="3" s="1"/>
  <c r="R98" i="3"/>
  <c r="S98" i="3" s="1"/>
  <c r="R94" i="3"/>
  <c r="S94" i="3" s="1"/>
  <c r="R90" i="3"/>
  <c r="S90" i="3" s="1"/>
  <c r="R86" i="3"/>
  <c r="S86" i="3" s="1"/>
  <c r="R82" i="3"/>
  <c r="S82" i="3" s="1"/>
  <c r="R78" i="3"/>
  <c r="S78" i="3" s="1"/>
  <c r="R31" i="3"/>
  <c r="S31" i="3" s="1"/>
  <c r="R28" i="3"/>
  <c r="S28" i="3" s="1"/>
  <c r="R24" i="3"/>
  <c r="S24" i="3" s="1"/>
  <c r="R22" i="3"/>
  <c r="S22" i="3" s="1"/>
  <c r="R19" i="3"/>
  <c r="S19" i="3" s="1"/>
  <c r="R17" i="3"/>
  <c r="S17" i="3" s="1"/>
  <c r="R14" i="3"/>
  <c r="S14" i="3" s="1"/>
  <c r="R10" i="3"/>
  <c r="S10" i="3" s="1"/>
  <c r="R7" i="3"/>
  <c r="S7" i="3" s="1"/>
  <c r="S107" i="3" s="1"/>
  <c r="L18" i="3"/>
  <c r="L20" i="3"/>
  <c r="L23" i="3"/>
  <c r="L25" i="3"/>
  <c r="L24" i="3"/>
  <c r="L22" i="3"/>
  <c r="L21" i="3"/>
  <c r="L19" i="3"/>
  <c r="Q107" i="3"/>
  <c r="H13" i="2"/>
  <c r="I13" i="2"/>
  <c r="I14" i="2" s="1"/>
  <c r="I15" i="2" s="1"/>
  <c r="I16" i="2" s="1"/>
  <c r="J13" i="2"/>
  <c r="K13" i="2" s="1"/>
  <c r="H14" i="2"/>
  <c r="J14" i="2"/>
  <c r="K14" i="2" s="1"/>
  <c r="H15" i="2"/>
  <c r="H16" i="2"/>
  <c r="D20" i="2"/>
  <c r="D24" i="2"/>
  <c r="D30" i="2"/>
  <c r="J15" i="2" l="1"/>
  <c r="Q86" i="5"/>
  <c r="R87" i="5" s="1"/>
  <c r="R89" i="5" s="1"/>
  <c r="S85" i="5"/>
  <c r="S86" i="5" s="1"/>
  <c r="O21" i="3"/>
  <c r="O24" i="3"/>
  <c r="O23" i="3"/>
  <c r="N18" i="3"/>
  <c r="N19" i="3" s="1"/>
  <c r="N20" i="3" s="1"/>
  <c r="N21" i="3" s="1"/>
  <c r="N22" i="3" s="1"/>
  <c r="N23" i="3" s="1"/>
  <c r="N24" i="3" s="1"/>
  <c r="N25" i="3" s="1"/>
  <c r="O18" i="3"/>
  <c r="O19" i="3"/>
  <c r="O22" i="3"/>
  <c r="O25" i="3"/>
  <c r="O20" i="3"/>
  <c r="S110" i="3"/>
  <c r="S114" i="3"/>
  <c r="K15" i="2" l="1"/>
  <c r="J16" i="2"/>
  <c r="K16" i="2" s="1"/>
</calcChain>
</file>

<file path=xl/comments1.xml><?xml version="1.0" encoding="utf-8"?>
<comments xmlns="http://schemas.openxmlformats.org/spreadsheetml/2006/main">
  <authors>
    <author>ASUS</author>
  </authors>
  <commentList>
    <comment ref="J8" authorId="0" shapeId="0">
      <text>
        <r>
          <rPr>
            <b/>
            <sz val="9"/>
            <color indexed="81"/>
            <rFont val="Tahoma"/>
            <family val="2"/>
          </rPr>
          <t>ASUS:</t>
        </r>
        <r>
          <rPr>
            <sz val="9"/>
            <color indexed="81"/>
            <rFont val="Tahoma"/>
            <family val="2"/>
          </rPr>
          <t xml:space="preserve">
porque se ancela la primera cuota</t>
        </r>
      </text>
    </comment>
    <comment ref="O8" authorId="0" shapeId="0">
      <text>
        <r>
          <rPr>
            <b/>
            <sz val="9"/>
            <color indexed="81"/>
            <rFont val="Tahoma"/>
            <family val="2"/>
          </rPr>
          <t>ASUS:</t>
        </r>
        <r>
          <rPr>
            <sz val="9"/>
            <color indexed="81"/>
            <rFont val="Tahoma"/>
            <family val="2"/>
          </rPr>
          <t xml:space="preserve">
porque se ancela la primera cuota</t>
        </r>
      </text>
    </comment>
    <comment ref="D17" authorId="0" shapeId="0">
      <text>
        <r>
          <rPr>
            <b/>
            <sz val="9"/>
            <color indexed="81"/>
            <rFont val="Tahoma"/>
            <family val="2"/>
          </rPr>
          <t>ASUS:</t>
        </r>
        <r>
          <rPr>
            <sz val="9"/>
            <color indexed="81"/>
            <rFont val="Tahoma"/>
            <family val="2"/>
          </rPr>
          <t xml:space="preserve">
SIGNIFICA QUE ESTE ES EL VALOR DE CONTADO DEL CARRO</t>
        </r>
      </text>
    </comment>
  </commentList>
</comments>
</file>

<file path=xl/sharedStrings.xml><?xml version="1.0" encoding="utf-8"?>
<sst xmlns="http://schemas.openxmlformats.org/spreadsheetml/2006/main" count="288" uniqueCount="147">
  <si>
    <t>Promedio de Goles</t>
  </si>
  <si>
    <t>Año del Mundial</t>
  </si>
  <si>
    <r>
      <rPr>
        <b/>
        <sz val="18"/>
        <color theme="1"/>
        <rFont val="Calibri"/>
        <family val="2"/>
        <scheme val="minor"/>
      </rPr>
      <t>ENTREGABLE</t>
    </r>
    <r>
      <rPr>
        <b/>
        <sz val="14"/>
        <color theme="1"/>
        <rFont val="Calibri"/>
        <family val="2"/>
        <scheme val="minor"/>
      </rPr>
      <t>:
De forma colaborativa deben realizar la gráfica en forma de pictograma del ejemplo dado en el contexto de la unidad.</t>
    </r>
  </si>
  <si>
    <t>SOLUCIÓN</t>
  </si>
  <si>
    <t>MAURICIO ACOSTA ZAPATA</t>
  </si>
  <si>
    <t xml:space="preserve">Este tipo de trabajos me parece muy interesante pues nos ayuda a entender como se establecen parámetros y a determinar tendencias generales que lo ayudan a dimensionar muestras representativas de una situación o problema, otro punto muy positivo es que se  hace una recolección, recopilación e interpretación de datos. 
 A su vez también es considerada una técnica especial para el estudio cuantitativo de las situaciones  o personas ya sea de manera de masiva o colectiva.
</t>
  </si>
  <si>
    <t>Conclusiones y acuerdos:</t>
  </si>
  <si>
    <t>C</t>
  </si>
  <si>
    <t>TAMAÑO DE INTERVALOS</t>
  </si>
  <si>
    <t>m redondeado</t>
  </si>
  <si>
    <t>Numero de intervalos (m)</t>
  </si>
  <si>
    <t>NUMERO DE INTERBALOS</t>
  </si>
  <si>
    <t>Rango</t>
  </si>
  <si>
    <t>histogramas</t>
  </si>
  <si>
    <t>Dato Menor</t>
  </si>
  <si>
    <t>Dato Mayor</t>
  </si>
  <si>
    <t>1,77-1,82</t>
  </si>
  <si>
    <t>CAMILO</t>
  </si>
  <si>
    <t>1,71-1,76</t>
  </si>
  <si>
    <t>SARA</t>
  </si>
  <si>
    <t>1,65-1,7</t>
  </si>
  <si>
    <t>SANTIAGO</t>
  </si>
  <si>
    <t>1,59-1,64</t>
  </si>
  <si>
    <t>ANDRES</t>
  </si>
  <si>
    <t>PORCENTAJE</t>
  </si>
  <si>
    <t>FR. RELATIVA ACOMULADA</t>
  </si>
  <si>
    <t>FR. ACOMULADA</t>
  </si>
  <si>
    <t>FR. RELATIVA</t>
  </si>
  <si>
    <t>FRECUENCIA</t>
  </si>
  <si>
    <t>ALTURA INTERVALOS</t>
  </si>
  <si>
    <t>MATEO</t>
  </si>
  <si>
    <t>MARCEL</t>
  </si>
  <si>
    <t>RUBEN DARIO</t>
  </si>
  <si>
    <t>LUZ MARIA</t>
  </si>
  <si>
    <t>BIBIANA</t>
  </si>
  <si>
    <t>JULIAN</t>
  </si>
  <si>
    <t xml:space="preserve">ESTEBAN </t>
  </si>
  <si>
    <t>ALTURA</t>
  </si>
  <si>
    <t>PERSONA</t>
  </si>
  <si>
    <r>
      <rPr>
        <b/>
        <sz val="11"/>
        <color theme="1"/>
        <rFont val="Calibri"/>
        <family val="2"/>
        <scheme val="minor"/>
      </rPr>
      <t>UNIDAD 1 ACTIVIDAD</t>
    </r>
    <r>
      <rPr>
        <sz val="11"/>
        <color theme="1"/>
        <rFont val="Calibri"/>
        <family val="2"/>
        <scheme val="minor"/>
      </rPr>
      <t xml:space="preserve"> 3.    .1.Formular una pregunta a sus compañeros donde sus respuestas correspondan a una variable continua.
2.Realizar los pasos necesarios para determinar el rango, amplitud del intervalo y el tamaño de cada uno.
3.Realizar la tabulación correspondiente
4.Realizar dos tipos de gráfico utilizando un programa interactivo.
5.Realizar las conclusiones de las dificultades y aciertos de la actividad
</t>
    </r>
  </si>
  <si>
    <t>DESVIACION ESTANDAR</t>
  </si>
  <si>
    <t>VARIANZA</t>
  </si>
  <si>
    <t>SUMA</t>
  </si>
  <si>
    <t>D9</t>
  </si>
  <si>
    <t>D8</t>
  </si>
  <si>
    <t>D7</t>
  </si>
  <si>
    <t>D6</t>
  </si>
  <si>
    <t>D5</t>
  </si>
  <si>
    <t>D4</t>
  </si>
  <si>
    <t>D3</t>
  </si>
  <si>
    <t>Q3</t>
  </si>
  <si>
    <t>D2</t>
  </si>
  <si>
    <t>Q2</t>
  </si>
  <si>
    <t>D1</t>
  </si>
  <si>
    <t>Q1</t>
  </si>
  <si>
    <r>
      <rPr>
        <b/>
        <sz val="16"/>
        <color theme="1"/>
        <rFont val="Calibri"/>
        <family val="2"/>
        <scheme val="minor"/>
      </rPr>
      <t>REALICE LAS CONCLUSIONES QUE REPRESENTA CADA UNO DE LOS RESULTADOS OBTENIDOS</t>
    </r>
    <r>
      <rPr>
        <sz val="16"/>
        <color theme="1"/>
        <rFont val="Calibri"/>
        <family val="2"/>
        <scheme val="minor"/>
      </rPr>
      <t xml:space="preserve">.
 La longitud promedio de los tornillos es de 2,52 cm; siendo la moda y el cuartil 2 igual a 2,54 cm,
pues en un valor que se repite 11
 El cincuenta por ciento de los tornillos tiene una longitud inferior a 2,54 cm mientra que solo el
diez por ciento de los tornillos tiene una longitud superior a 2,6 cm
</t>
    </r>
  </si>
  <si>
    <t>DECILES</t>
  </si>
  <si>
    <t>CUARTIL</t>
  </si>
  <si>
    <t>DESVIACIÓN ESTÁNDAR</t>
  </si>
  <si>
    <t>MEDIANA</t>
  </si>
  <si>
    <t>MODA</t>
  </si>
  <si>
    <t>MEDIA</t>
  </si>
  <si>
    <t>TOTAL</t>
  </si>
  <si>
    <t>2,75-2,85</t>
  </si>
  <si>
    <t>2,64,-2,74</t>
  </si>
  <si>
    <t>2,53-2,63</t>
  </si>
  <si>
    <t>2,42-2,52</t>
  </si>
  <si>
    <t>2,31-2,41</t>
  </si>
  <si>
    <t>2,2-2,3</t>
  </si>
  <si>
    <t>2,09-2,19</t>
  </si>
  <si>
    <t>1,98-2,08</t>
  </si>
  <si>
    <t>FRECUENCIA RELATIVA ACUMULADA</t>
  </si>
  <si>
    <t>FRECUENCIA ACUMULADA</t>
  </si>
  <si>
    <t>FRECUENCIA RELATIVA</t>
  </si>
  <si>
    <t>INTERVALOS</t>
  </si>
  <si>
    <t>(m) redondeado</t>
  </si>
  <si>
    <t>VARIANZA Y DESVIACIÓN ESTARNDAR</t>
  </si>
  <si>
    <t xml:space="preserve"> Medidas de tendencia central MAURICIO ACOSTA ZAPATA</t>
  </si>
  <si>
    <t>Unidad 2. 2. Medidas de tendencia central para datos agrupado. Medidas de tendencia central para datos agrupados</t>
  </si>
  <si>
    <t>CUARTILES Q</t>
  </si>
  <si>
    <t xml:space="preserve">Unidad 2. 3. </t>
  </si>
  <si>
    <t>Unidad 3. 3.  EN ESTA En esta unidad se habla en una parte de interés simple y en otras de interés compuesto, en el RECURSO PRINCIPAL Y EL COMPLEMENTARIO PARTE 1 habla de interés simple, pero en el CONTEXTO habla de una tasa de interés compuesto anual del 2,2 por lo cual asumo una tasa mensual de 0,183%, por eso hago el cálculo de las dos formas sin tener claro cuál es la correcta</t>
  </si>
  <si>
    <t xml:space="preserve">tasa de interes anual </t>
  </si>
  <si>
    <t>tasa de interes mensual</t>
  </si>
  <si>
    <t>ACTIVIDAD 3 UNIDAD 3 MAURICIO ACOSTA ZAPATA</t>
  </si>
  <si>
    <t>Acevedo Diego</t>
  </si>
  <si>
    <t>TIEMPO (MES)</t>
  </si>
  <si>
    <t>PRESTAMO</t>
  </si>
  <si>
    <t>INTERES GENERADO</t>
  </si>
  <si>
    <t>CAPITAL FINAL</t>
  </si>
  <si>
    <t>INTERESES ACOMULADOS</t>
  </si>
  <si>
    <t>ASOCIADO</t>
  </si>
  <si>
    <t>TIEMPO</t>
  </si>
  <si>
    <t>TIEMPO EN AÑOS</t>
  </si>
  <si>
    <t>TASA DE INTERES ANUAL</t>
  </si>
  <si>
    <t>INTERES</t>
  </si>
  <si>
    <t>1 año</t>
  </si>
  <si>
    <t>Buitrago  Claudia</t>
  </si>
  <si>
    <t>6 meses</t>
  </si>
  <si>
    <t>Casas Javier</t>
  </si>
  <si>
    <t>2años</t>
  </si>
  <si>
    <t>Gomez Esperanza</t>
  </si>
  <si>
    <t>3meses</t>
  </si>
  <si>
    <t>Vega Jose Maria</t>
  </si>
  <si>
    <t>10meses</t>
  </si>
  <si>
    <t>Tinjaca Nelson</t>
  </si>
  <si>
    <t>15meses</t>
  </si>
  <si>
    <t>Zarate Yulieth</t>
  </si>
  <si>
    <t>18meses</t>
  </si>
  <si>
    <t>Zuluaga Tomas</t>
  </si>
  <si>
    <t>20meses</t>
  </si>
  <si>
    <t>TOTAL INTERES SIMPLE</t>
  </si>
  <si>
    <t>TOTAL GANACIA</t>
  </si>
  <si>
    <t>TOTAL INTERES COMPUESTO</t>
  </si>
  <si>
    <t>INTERES SIMPLE Y COMPUESTO MAURICIO ACOSTA ZAPATA</t>
  </si>
  <si>
    <t>INVERSION</t>
  </si>
  <si>
    <t>2 DIFERENCIA ENTRE INTERES SIMPLE Y COMPUESTOS</t>
  </si>
  <si>
    <t>n</t>
  </si>
  <si>
    <t xml:space="preserve">Se llama tasa de interés simple, cuando los intereses obtenidos a vencimiento no se suman al capital para generar nuevos intereses. En estos casos el dueño del capital puede cobrar los intereses generados en cada período.
En el caso de interés compuesto, los intereses obtenidos en cada período se suman al capital inicial para generar nuevos intereses. Si los intereses de una deuda se pagan periódicamente a su vencimiento, entonces estamos ante un caso de interés simple. En cambio, en caso de interés compuesto, los intereses no se pagan a su vencimiento y se van acumulando al capital. En consecuencia, en los cálculos de interés compuesto, </t>
  </si>
  <si>
    <t>(semestral)</t>
  </si>
  <si>
    <t>(mensual)</t>
  </si>
  <si>
    <t>INTERES SIMPLE</t>
  </si>
  <si>
    <t>INTERES COMPUESTO</t>
  </si>
  <si>
    <t>TIEMPO AÑO</t>
  </si>
  <si>
    <t>TIEMPO (SEMESTRE)</t>
  </si>
  <si>
    <t>CAPITAL</t>
  </si>
  <si>
    <t>3.Realice la gráfica de interés simple e interés compuesto de uno de los ejemplos del contenido de esta unidad, utilice Excel.</t>
  </si>
  <si>
    <t>M</t>
  </si>
  <si>
    <t>calculo de capital</t>
  </si>
  <si>
    <t>i( capitalizable mensual)</t>
  </si>
  <si>
    <t>R (Menuales)</t>
  </si>
  <si>
    <t>n(mesual)</t>
  </si>
  <si>
    <t>i</t>
  </si>
  <si>
    <t>n(anual)</t>
  </si>
  <si>
    <t>R (mensual)</t>
  </si>
  <si>
    <t>R (Bimestral)</t>
  </si>
  <si>
    <t>R</t>
  </si>
  <si>
    <t>ACTIVIDAD 2 UNIDAD 4- MAURICIO ACOSTA ZAPATA</t>
  </si>
  <si>
    <t>TASA DE INTERES CAPITALIZABLE MESUAL</t>
  </si>
  <si>
    <t>TIEMPO DE FINANCIACIÓN MESES</t>
  </si>
  <si>
    <t>TIEMPO DE FINANCIACIÓN AÑOS</t>
  </si>
  <si>
    <t>SALDO</t>
  </si>
  <si>
    <t>AMORTIZACION</t>
  </si>
  <si>
    <t>INTERES DEL SALDO</t>
  </si>
  <si>
    <t>PAGO</t>
  </si>
  <si>
    <t>VALOR MOTO</t>
  </si>
  <si>
    <t>ACTIVIDAD 3 UNIDAD 4 MAURICIO ACOSTA ZAPATA</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</si>
</sst>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00"/>
    <numFmt numFmtId="165" formatCode="0.0%"/>
    <numFmt numFmtId="166" formatCode="0.000%"/>
    <numFmt numFmtId="167" formatCode="&quot;$&quot;#,##0"/>
    <numFmt numFmtId="168" formatCode="&quot;$&quot;#,##0.0"/>
    <numFmt numFmtId="169" formatCode="0.0000%"/>
    <numFmt numFmtId="170" formatCode="&quot;$&quot;#,##0.0000"/>
  </numFmts>
  <fonts count="31" x14ac:knownFonts="1">
    <font>
      <sz val="11"/>
      <color theme="1"/>
      <name val="Calibri"/>
      <family val="2"/>
      <scheme val="minor"/>
    </font>
    <font>
      <b/>
      <sz val="14"/>
      <color theme="1"/>
      <name val="Calibri"/>
      <family val="2"/>
      <scheme val="minor"/>
    </font>
    <font>
      <b/>
      <sz val="12"/>
      <color theme="1"/>
      <name val="Arial"/>
      <family val="2"/>
    </font>
    <font>
      <b/>
      <sz val="18"/>
      <color theme="1"/>
      <name val="Calibri"/>
      <family val="2"/>
      <scheme val="minor"/>
    </font>
    <font>
      <b/>
      <sz val="28"/>
      <color theme="1"/>
      <name val="Calibri"/>
      <family val="2"/>
      <scheme val="minor"/>
    </font>
    <font>
      <b/>
      <sz val="26"/>
      <color theme="1"/>
      <name val="Calibri"/>
      <family val="2"/>
      <scheme val="minor"/>
    </font>
    <font>
      <sz val="11"/>
      <color rgb="FFFF0000"/>
      <name val="Calibri"/>
      <family val="2"/>
      <scheme val="minor"/>
    </font>
    <font>
      <b/>
      <sz val="11"/>
      <color theme="1"/>
      <name val="Calibri"/>
      <family val="2"/>
      <scheme val="minor"/>
    </font>
    <font>
      <b/>
      <sz val="16"/>
      <color theme="1"/>
      <name val="Calibri"/>
      <family val="2"/>
      <scheme val="minor"/>
    </font>
    <font>
      <b/>
      <sz val="22"/>
      <color theme="1"/>
      <name val="Calibri"/>
      <family val="2"/>
      <scheme val="minor"/>
    </font>
    <font>
      <sz val="16"/>
      <color theme="1"/>
      <name val="Calibri"/>
      <family val="2"/>
      <scheme val="minor"/>
    </font>
    <font>
      <b/>
      <sz val="12"/>
      <color theme="1"/>
      <name val="Calibri"/>
      <family val="2"/>
      <scheme val="minor"/>
    </font>
    <font>
      <sz val="12"/>
      <color theme="1"/>
      <name val="Calibri"/>
      <family val="2"/>
      <scheme val="minor"/>
    </font>
    <font>
      <b/>
      <sz val="9"/>
      <color theme="1"/>
      <name val="Calibri"/>
      <family val="2"/>
      <scheme val="minor"/>
    </font>
    <font>
      <sz val="9"/>
      <color theme="1"/>
      <name val="Calibri"/>
      <family val="2"/>
      <scheme val="minor"/>
    </font>
    <font>
      <b/>
      <sz val="12"/>
      <name val="Calibri"/>
      <family val="2"/>
      <scheme val="minor"/>
    </font>
    <font>
      <b/>
      <sz val="24"/>
      <color theme="1"/>
      <name val="Calibri"/>
      <family val="2"/>
      <scheme val="minor"/>
    </font>
    <font>
      <b/>
      <sz val="26"/>
      <name val="Calibri"/>
      <family val="2"/>
      <scheme val="minor"/>
    </font>
    <font>
      <sz val="12"/>
      <color theme="1"/>
      <name val="Arial"/>
      <family val="2"/>
    </font>
    <font>
      <b/>
      <sz val="14"/>
      <color theme="1"/>
      <name val="Arial"/>
      <family val="2"/>
    </font>
    <font>
      <b/>
      <sz val="20"/>
      <color theme="1"/>
      <name val="Arial"/>
      <family val="2"/>
    </font>
    <font>
      <b/>
      <sz val="18"/>
      <color theme="1"/>
      <name val="Arial"/>
      <family val="2"/>
    </font>
    <font>
      <b/>
      <sz val="22"/>
      <color theme="1"/>
      <name val="Arial"/>
      <family val="2"/>
    </font>
    <font>
      <sz val="22"/>
      <color theme="1"/>
      <name val="Calibri"/>
      <family val="2"/>
      <scheme val="minor"/>
    </font>
    <font>
      <sz val="14"/>
      <color theme="1"/>
      <name val="Calibri"/>
      <family val="2"/>
      <scheme val="minor"/>
    </font>
    <font>
      <sz val="20"/>
      <color theme="1"/>
      <name val="Calibri"/>
      <family val="2"/>
      <scheme val="minor"/>
    </font>
    <font>
      <b/>
      <sz val="20"/>
      <color theme="1"/>
      <name val="Calibri"/>
      <family val="2"/>
      <scheme val="minor"/>
    </font>
    <font>
      <sz val="24"/>
      <color theme="1"/>
      <name val="Calibri"/>
      <family val="2"/>
      <scheme val="minor"/>
    </font>
    <font>
      <sz val="11"/>
      <color theme="4" tint="0.59999389629810485"/>
      <name val="Calibri"/>
      <family val="2"/>
      <scheme val="minor"/>
    </font>
    <font>
      <b/>
      <sz val="9"/>
      <color indexed="81"/>
      <name val="Tahoma"/>
      <family val="2"/>
    </font>
    <font>
      <sz val="9"/>
      <color indexed="81"/>
      <name val="Tahoma"/>
      <family val="2"/>
    </font>
  </fonts>
  <fills count="23">
    <fill>
      <patternFill patternType="none"/>
    </fill>
    <fill>
      <patternFill patternType="gray125"/>
    </fill>
    <fill>
      <patternFill patternType="solid">
        <fgColor theme="1" tint="0.499984740745262"/>
        <bgColor indexed="64"/>
      </patternFill>
    </fill>
    <fill>
      <patternFill patternType="solid">
        <fgColor theme="1" tint="0.34998626667073579"/>
        <bgColor indexed="64"/>
      </patternFill>
    </fill>
    <fill>
      <patternFill patternType="solid">
        <fgColor theme="0" tint="-0.499984740745262"/>
        <bgColor indexed="64"/>
      </patternFill>
    </fill>
    <fill>
      <patternFill patternType="solid">
        <fgColor theme="9" tint="-0.499984740745262"/>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0"/>
        <bgColor indexed="64"/>
      </patternFill>
    </fill>
    <fill>
      <patternFill patternType="solid">
        <fgColor theme="2" tint="-0.249977111117893"/>
        <bgColor indexed="64"/>
      </patternFill>
    </fill>
    <fill>
      <patternFill patternType="solid">
        <fgColor theme="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theme="7" tint="0.39997558519241921"/>
        <bgColor indexed="64"/>
      </patternFill>
    </fill>
  </fills>
  <borders count="62">
    <border>
      <left/>
      <right/>
      <top/>
      <bottom/>
      <diagonal/>
    </border>
    <border>
      <left style="thin">
        <color auto="1"/>
      </left>
      <right style="thin">
        <color auto="1"/>
      </right>
      <top style="thin">
        <color auto="1"/>
      </top>
      <bottom style="thin">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medium">
        <color auto="1"/>
      </left>
      <right style="medium">
        <color auto="1"/>
      </right>
      <top style="medium">
        <color auto="1"/>
      </top>
      <bottom style="medium">
        <color auto="1"/>
      </bottom>
      <diagonal/>
    </border>
    <border>
      <left style="medium">
        <color auto="1"/>
      </left>
      <right style="thick">
        <color auto="1"/>
      </right>
      <top style="medium">
        <color auto="1"/>
      </top>
      <bottom style="thick">
        <color auto="1"/>
      </bottom>
      <diagonal/>
    </border>
    <border>
      <left style="thick">
        <color auto="1"/>
      </left>
      <right style="medium">
        <color auto="1"/>
      </right>
      <top style="medium">
        <color auto="1"/>
      </top>
      <bottom style="thick">
        <color auto="1"/>
      </bottom>
      <diagonal/>
    </border>
    <border>
      <left style="medium">
        <color auto="1"/>
      </left>
      <right style="thick">
        <color auto="1"/>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thick">
        <color auto="1"/>
      </right>
      <top style="thick">
        <color auto="1"/>
      </top>
      <bottom style="medium">
        <color auto="1"/>
      </bottom>
      <diagonal/>
    </border>
    <border>
      <left style="thick">
        <color auto="1"/>
      </left>
      <right style="medium">
        <color auto="1"/>
      </right>
      <top style="thick">
        <color auto="1"/>
      </top>
      <bottom style="medium">
        <color auto="1"/>
      </bottom>
      <diagonal/>
    </border>
    <border>
      <left style="thin">
        <color auto="1"/>
      </left>
      <right style="thick">
        <color auto="1"/>
      </right>
      <top style="thin">
        <color auto="1"/>
      </top>
      <bottom style="thick">
        <color auto="1"/>
      </bottom>
      <diagonal/>
    </border>
    <border>
      <left style="thin">
        <color auto="1"/>
      </left>
      <right style="thin">
        <color auto="1"/>
      </right>
      <top style="thin">
        <color auto="1"/>
      </top>
      <bottom style="thick">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n">
        <color auto="1"/>
      </bottom>
      <diagonal/>
    </border>
    <border>
      <left/>
      <right style="thick">
        <color auto="1"/>
      </right>
      <top/>
      <bottom/>
      <diagonal/>
    </border>
    <border>
      <left style="thick">
        <color auto="1"/>
      </left>
      <right/>
      <top/>
      <bottom/>
      <diagonal/>
    </border>
    <border>
      <left style="medium">
        <color indexed="64"/>
      </left>
      <right/>
      <top style="medium">
        <color indexed="64"/>
      </top>
      <bottom style="medium">
        <color indexed="64"/>
      </bottom>
      <diagonal/>
    </border>
    <border>
      <left style="thick">
        <color auto="1"/>
      </left>
      <right style="thick">
        <color auto="1"/>
      </right>
      <top style="thick">
        <color auto="1"/>
      </top>
      <bottom style="thick">
        <color auto="1"/>
      </bottom>
      <diagonal/>
    </border>
    <border>
      <left style="thick">
        <color auto="1"/>
      </left>
      <right style="thick">
        <color auto="1"/>
      </right>
      <top/>
      <bottom style="thick">
        <color auto="1"/>
      </bottom>
      <diagonal/>
    </border>
    <border>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style="thin">
        <color auto="1"/>
      </left>
      <right style="thick">
        <color auto="1"/>
      </right>
      <top style="thick">
        <color auto="1"/>
      </top>
      <bottom style="thin">
        <color auto="1"/>
      </bottom>
      <diagonal/>
    </border>
    <border>
      <left style="thin">
        <color auto="1"/>
      </left>
      <right style="thin">
        <color auto="1"/>
      </right>
      <top style="thick">
        <color auto="1"/>
      </top>
      <bottom style="thin">
        <color auto="1"/>
      </bottom>
      <diagonal/>
    </border>
    <border>
      <left style="thick">
        <color auto="1"/>
      </left>
      <right style="thin">
        <color auto="1"/>
      </right>
      <top style="thick">
        <color auto="1"/>
      </top>
      <bottom style="thin">
        <color auto="1"/>
      </bottom>
      <diagonal/>
    </border>
    <border>
      <left style="thin">
        <color auto="1"/>
      </left>
      <right style="thick">
        <color auto="1"/>
      </right>
      <top/>
      <bottom style="thin">
        <color auto="1"/>
      </bottom>
      <diagonal/>
    </border>
    <border>
      <left style="thin">
        <color auto="1"/>
      </left>
      <right style="thin">
        <color auto="1"/>
      </right>
      <top/>
      <bottom style="thin">
        <color auto="1"/>
      </bottom>
      <diagonal/>
    </border>
    <border>
      <left style="thick">
        <color auto="1"/>
      </left>
      <right style="thin">
        <color auto="1"/>
      </right>
      <top/>
      <bottom style="thin">
        <color auto="1"/>
      </bottom>
      <diagonal/>
    </border>
    <border>
      <left style="thin">
        <color auto="1"/>
      </left>
      <right style="thick">
        <color auto="1"/>
      </right>
      <top style="thick">
        <color auto="1"/>
      </top>
      <bottom style="thick">
        <color auto="1"/>
      </bottom>
      <diagonal/>
    </border>
    <border>
      <left style="thin">
        <color auto="1"/>
      </left>
      <right style="thin">
        <color auto="1"/>
      </right>
      <top style="thick">
        <color auto="1"/>
      </top>
      <bottom style="thick">
        <color auto="1"/>
      </bottom>
      <diagonal/>
    </border>
    <border>
      <left style="thick">
        <color auto="1"/>
      </left>
      <right style="thin">
        <color auto="1"/>
      </right>
      <top style="thick">
        <color auto="1"/>
      </top>
      <bottom style="thick">
        <color auto="1"/>
      </bottom>
      <diagonal/>
    </border>
    <border>
      <left style="thin">
        <color auto="1"/>
      </left>
      <right style="thick">
        <color auto="1"/>
      </right>
      <top style="thin">
        <color auto="1"/>
      </top>
      <bottom/>
      <diagonal/>
    </border>
    <border>
      <left style="thin">
        <color auto="1"/>
      </left>
      <right style="thin">
        <color auto="1"/>
      </right>
      <top style="thin">
        <color auto="1"/>
      </top>
      <bottom/>
      <diagonal/>
    </border>
    <border>
      <left style="thick">
        <color auto="1"/>
      </left>
      <right style="thin">
        <color auto="1"/>
      </right>
      <top style="thin">
        <color auto="1"/>
      </top>
      <bottom/>
      <diagonal/>
    </border>
    <border>
      <left style="medium">
        <color auto="1"/>
      </left>
      <right style="medium">
        <color auto="1"/>
      </right>
      <top style="medium">
        <color auto="1"/>
      </top>
      <bottom style="thick">
        <color auto="1"/>
      </bottom>
      <diagonal/>
    </border>
    <border>
      <left style="medium">
        <color auto="1"/>
      </left>
      <right style="medium">
        <color auto="1"/>
      </right>
      <top style="thick">
        <color auto="1"/>
      </top>
      <bottom style="medium">
        <color auto="1"/>
      </bottom>
      <diagonal/>
    </border>
    <border>
      <left/>
      <right style="thick">
        <color auto="1"/>
      </right>
      <top style="thick">
        <color auto="1"/>
      </top>
      <bottom style="thick">
        <color auto="1"/>
      </bottom>
      <diagonal/>
    </border>
    <border>
      <left/>
      <right/>
      <top style="thick">
        <color auto="1"/>
      </top>
      <bottom style="thick">
        <color auto="1"/>
      </bottom>
      <diagonal/>
    </border>
    <border>
      <left style="thick">
        <color auto="1"/>
      </left>
      <right/>
      <top style="thick">
        <color auto="1"/>
      </top>
      <bottom style="thick">
        <color auto="1"/>
      </bottom>
      <diagonal/>
    </border>
    <border>
      <left/>
      <right/>
      <top style="medium">
        <color auto="1"/>
      </top>
      <bottom style="thick">
        <color auto="1"/>
      </bottom>
      <diagonal/>
    </border>
    <border>
      <left/>
      <right style="medium">
        <color auto="1"/>
      </right>
      <top style="medium">
        <color auto="1"/>
      </top>
      <bottom style="thick">
        <color auto="1"/>
      </bottom>
      <diagonal/>
    </border>
    <border>
      <left/>
      <right style="medium">
        <color auto="1"/>
      </right>
      <top style="thick">
        <color auto="1"/>
      </top>
      <bottom style="thick">
        <color auto="1"/>
      </bottom>
      <diagonal/>
    </border>
    <border>
      <left style="medium">
        <color auto="1"/>
      </left>
      <right/>
      <top style="thick">
        <color auto="1"/>
      </top>
      <bottom style="thick">
        <color auto="1"/>
      </bottom>
      <diagonal/>
    </border>
    <border>
      <left style="thick">
        <color auto="1"/>
      </left>
      <right style="thick">
        <color auto="1"/>
      </right>
      <top style="thick">
        <color auto="1"/>
      </top>
      <bottom/>
      <diagonal/>
    </border>
    <border>
      <left/>
      <right style="thick">
        <color auto="1"/>
      </right>
      <top/>
      <bottom style="thin">
        <color auto="1"/>
      </bottom>
      <diagonal/>
    </border>
    <border>
      <left/>
      <right/>
      <top style="thin">
        <color auto="1"/>
      </top>
      <bottom style="thick">
        <color auto="1"/>
      </bottom>
      <diagonal/>
    </border>
    <border>
      <left/>
      <right style="thick">
        <color auto="1"/>
      </right>
      <top style="thin">
        <color auto="1"/>
      </top>
      <bottom style="thick">
        <color auto="1"/>
      </bottom>
      <diagonal/>
    </border>
    <border>
      <left style="thick">
        <color auto="1"/>
      </left>
      <right/>
      <top style="medium">
        <color auto="1"/>
      </top>
      <bottom style="thick">
        <color auto="1"/>
      </bottom>
      <diagonal/>
    </border>
    <border>
      <left style="medium">
        <color auto="1"/>
      </left>
      <right style="medium">
        <color auto="1"/>
      </right>
      <top/>
      <bottom style="medium">
        <color auto="1"/>
      </bottom>
      <diagonal/>
    </border>
    <border>
      <left style="thick">
        <color auto="1"/>
      </left>
      <right style="thick">
        <color auto="1"/>
      </right>
      <top style="thick">
        <color auto="1"/>
      </top>
      <bottom style="medium">
        <color auto="1"/>
      </bottom>
      <diagonal/>
    </border>
    <border>
      <left style="medium">
        <color auto="1"/>
      </left>
      <right style="thick">
        <color auto="1"/>
      </right>
      <top/>
      <bottom style="medium">
        <color auto="1"/>
      </bottom>
      <diagonal/>
    </border>
    <border>
      <left style="thick">
        <color auto="1"/>
      </left>
      <right style="medium">
        <color auto="1"/>
      </right>
      <top/>
      <bottom style="medium">
        <color auto="1"/>
      </bottom>
      <diagonal/>
    </border>
    <border>
      <left style="medium">
        <color auto="1"/>
      </left>
      <right style="thick">
        <color auto="1"/>
      </right>
      <top style="thick">
        <color auto="1"/>
      </top>
      <bottom style="thick">
        <color auto="1"/>
      </bottom>
      <diagonal/>
    </border>
    <border>
      <left style="thick">
        <color auto="1"/>
      </left>
      <right/>
      <top/>
      <bottom style="thin">
        <color auto="1"/>
      </bottom>
      <diagonal/>
    </border>
    <border>
      <left/>
      <right style="thick">
        <color auto="1"/>
      </right>
      <top style="thin">
        <color auto="1"/>
      </top>
      <bottom/>
      <diagonal/>
    </border>
    <border>
      <left style="thick">
        <color auto="1"/>
      </left>
      <right/>
      <top style="thin">
        <color auto="1"/>
      </top>
      <bottom/>
      <diagonal/>
    </border>
  </borders>
  <cellStyleXfs count="1">
    <xf numFmtId="0" fontId="0" fillId="0" borderId="0"/>
  </cellStyleXfs>
  <cellXfs count="364">
    <xf numFmtId="0" fontId="0" fillId="0" borderId="0" xfId="0"/>
    <xf numFmtId="0" fontId="0" fillId="0" borderId="0" xfId="0" applyAlignment="1">
      <alignment horizontal="center"/>
    </xf>
    <xf numFmtId="0" fontId="2" fillId="0" borderId="1" xfId="0" applyFont="1" applyBorder="1" applyAlignment="1">
      <alignment horizontal="center" wrapText="1"/>
    </xf>
    <xf numFmtId="0" fontId="2" fillId="0" borderId="1" xfId="0" applyFont="1" applyBorder="1" applyAlignment="1">
      <alignment wrapText="1"/>
    </xf>
    <xf numFmtId="0" fontId="1" fillId="0" borderId="1" xfId="0" applyFont="1" applyBorder="1" applyAlignment="1">
      <alignment horizontal="center"/>
    </xf>
    <xf numFmtId="0" fontId="0" fillId="0" borderId="0" xfId="0" applyFill="1"/>
    <xf numFmtId="0" fontId="1" fillId="3" borderId="0" xfId="0" applyFont="1" applyFill="1" applyAlignment="1">
      <alignment horizontal="center"/>
    </xf>
    <xf numFmtId="0" fontId="1" fillId="3" borderId="0" xfId="0" applyFont="1" applyFill="1" applyAlignment="1"/>
    <xf numFmtId="0" fontId="4" fillId="3" borderId="0" xfId="0" applyFont="1" applyFill="1" applyAlignment="1"/>
    <xf numFmtId="0" fontId="0" fillId="3" borderId="0" xfId="0" applyFill="1"/>
    <xf numFmtId="0" fontId="1" fillId="4" borderId="0" xfId="0" applyFont="1" applyFill="1" applyAlignment="1"/>
    <xf numFmtId="0" fontId="0" fillId="4" borderId="0" xfId="0" applyFill="1"/>
    <xf numFmtId="0" fontId="1" fillId="4" borderId="0" xfId="0" applyFont="1" applyFill="1" applyAlignment="1">
      <alignment horizontal="center"/>
    </xf>
    <xf numFmtId="0" fontId="4" fillId="4" borderId="0" xfId="0" applyFont="1" applyFill="1" applyAlignment="1"/>
    <xf numFmtId="0" fontId="0" fillId="5" borderId="0" xfId="0" applyFill="1"/>
    <xf numFmtId="0" fontId="0" fillId="6" borderId="0" xfId="0" applyFill="1"/>
    <xf numFmtId="0" fontId="1" fillId="0" borderId="0" xfId="0" applyFont="1"/>
    <xf numFmtId="9" fontId="0" fillId="0" borderId="8" xfId="0" applyNumberFormat="1" applyBorder="1"/>
    <xf numFmtId="0" fontId="0" fillId="0" borderId="8" xfId="0" applyBorder="1"/>
    <xf numFmtId="0" fontId="0" fillId="0" borderId="9" xfId="0" applyFill="1" applyBorder="1"/>
    <xf numFmtId="0" fontId="0" fillId="0" borderId="10" xfId="0" applyBorder="1"/>
    <xf numFmtId="0" fontId="0" fillId="0" borderId="11" xfId="0" applyFill="1" applyBorder="1"/>
    <xf numFmtId="0" fontId="0" fillId="0" borderId="12" xfId="0" applyBorder="1"/>
    <xf numFmtId="0" fontId="0" fillId="7" borderId="8" xfId="0" applyFill="1" applyBorder="1"/>
    <xf numFmtId="0" fontId="7" fillId="8" borderId="13" xfId="0" applyFont="1" applyFill="1" applyBorder="1" applyAlignment="1">
      <alignment horizontal="center"/>
    </xf>
    <xf numFmtId="0" fontId="7" fillId="8" borderId="14" xfId="0" applyFont="1" applyFill="1" applyBorder="1" applyAlignment="1">
      <alignment horizontal="center"/>
    </xf>
    <xf numFmtId="0" fontId="0" fillId="9" borderId="0" xfId="0" applyFill="1"/>
    <xf numFmtId="0" fontId="0" fillId="0" borderId="15" xfId="0" applyBorder="1"/>
    <xf numFmtId="0" fontId="0" fillId="0" borderId="16" xfId="0" applyBorder="1"/>
    <xf numFmtId="0" fontId="0" fillId="0" borderId="17" xfId="0" applyBorder="1"/>
    <xf numFmtId="0" fontId="0" fillId="0" borderId="18" xfId="0" applyBorder="1"/>
    <xf numFmtId="0" fontId="0" fillId="0" borderId="1" xfId="0" applyBorder="1"/>
    <xf numFmtId="0" fontId="0" fillId="0" borderId="19" xfId="0" applyBorder="1"/>
    <xf numFmtId="164" fontId="0" fillId="0" borderId="18" xfId="0" applyNumberFormat="1" applyBorder="1"/>
    <xf numFmtId="164" fontId="0" fillId="10" borderId="18" xfId="0" applyNumberFormat="1" applyFill="1" applyBorder="1"/>
    <xf numFmtId="0" fontId="0" fillId="4" borderId="18" xfId="0" applyFill="1" applyBorder="1"/>
    <xf numFmtId="0" fontId="0" fillId="4" borderId="1" xfId="0" applyFill="1" applyBorder="1"/>
    <xf numFmtId="0" fontId="0" fillId="4" borderId="19" xfId="0" applyFill="1" applyBorder="1"/>
    <xf numFmtId="0" fontId="0" fillId="11" borderId="19" xfId="0" applyFill="1" applyBorder="1"/>
    <xf numFmtId="0" fontId="0" fillId="10" borderId="18" xfId="0" applyFill="1" applyBorder="1"/>
    <xf numFmtId="0" fontId="0" fillId="8" borderId="18" xfId="0" applyFill="1" applyBorder="1"/>
    <xf numFmtId="0" fontId="11" fillId="0" borderId="8" xfId="0" applyFont="1" applyBorder="1" applyAlignment="1">
      <alignment horizontal="center"/>
    </xf>
    <xf numFmtId="0" fontId="0" fillId="9" borderId="0" xfId="0" applyFill="1" applyBorder="1" applyAlignment="1">
      <alignment horizontal="center"/>
    </xf>
    <xf numFmtId="0" fontId="0" fillId="9" borderId="0" xfId="0" applyFill="1" applyBorder="1"/>
    <xf numFmtId="0" fontId="0" fillId="0" borderId="8" xfId="0" applyBorder="1" applyAlignment="1">
      <alignment horizontal="center"/>
    </xf>
    <xf numFmtId="0" fontId="0" fillId="9" borderId="3" xfId="0" applyFill="1" applyBorder="1" applyAlignment="1"/>
    <xf numFmtId="9" fontId="0" fillId="9" borderId="0" xfId="0" applyNumberFormat="1" applyFill="1"/>
    <xf numFmtId="9" fontId="1" fillId="0" borderId="15" xfId="0" applyNumberFormat="1" applyFont="1" applyFill="1" applyBorder="1" applyAlignment="1"/>
    <xf numFmtId="0" fontId="1" fillId="0" borderId="16" xfId="0" applyFont="1" applyFill="1" applyBorder="1" applyAlignment="1"/>
    <xf numFmtId="0" fontId="12" fillId="0" borderId="16" xfId="0" applyFont="1" applyFill="1" applyBorder="1" applyAlignment="1"/>
    <xf numFmtId="9" fontId="1" fillId="0" borderId="18" xfId="0" applyNumberFormat="1" applyFont="1" applyFill="1" applyBorder="1" applyAlignment="1"/>
    <xf numFmtId="0" fontId="1" fillId="0" borderId="1" xfId="0" applyFont="1" applyFill="1" applyBorder="1" applyAlignment="1"/>
    <xf numFmtId="0" fontId="12" fillId="0" borderId="1" xfId="0" applyFont="1" applyFill="1" applyBorder="1" applyAlignment="1"/>
    <xf numFmtId="0" fontId="1" fillId="0" borderId="28" xfId="0" applyFont="1" applyFill="1" applyBorder="1" applyAlignment="1">
      <alignment horizontal="center" vertical="center"/>
    </xf>
    <xf numFmtId="0" fontId="13" fillId="0" borderId="29" xfId="0" applyFont="1" applyFill="1" applyBorder="1" applyAlignment="1">
      <alignment horizontal="center" vertical="center" wrapText="1"/>
    </xf>
    <xf numFmtId="0" fontId="11" fillId="0" borderId="29" xfId="0" applyFont="1" applyFill="1" applyBorder="1" applyAlignment="1">
      <alignment horizontal="center" vertical="center" wrapText="1"/>
    </xf>
    <xf numFmtId="0" fontId="11" fillId="0" borderId="29" xfId="0" applyFont="1" applyBorder="1" applyAlignment="1">
      <alignment horizontal="center" vertical="center" wrapText="1"/>
    </xf>
    <xf numFmtId="0" fontId="0" fillId="0" borderId="5" xfId="0" applyBorder="1"/>
    <xf numFmtId="0" fontId="11" fillId="0" borderId="15" xfId="0" applyFont="1" applyFill="1" applyBorder="1"/>
    <xf numFmtId="0" fontId="11" fillId="0" borderId="16" xfId="0" applyFont="1" applyFill="1" applyBorder="1"/>
    <xf numFmtId="0" fontId="11" fillId="0" borderId="17" xfId="0" applyFont="1" applyFill="1" applyBorder="1"/>
    <xf numFmtId="0" fontId="1" fillId="7" borderId="20" xfId="0" applyFont="1" applyFill="1" applyBorder="1" applyAlignment="1">
      <alignment horizontal="center" vertical="top" wrapText="1"/>
    </xf>
    <xf numFmtId="0" fontId="11" fillId="0" borderId="18" xfId="0" applyFont="1" applyFill="1" applyBorder="1"/>
    <xf numFmtId="0" fontId="11" fillId="0" borderId="1" xfId="0" applyFont="1" applyFill="1" applyBorder="1"/>
    <xf numFmtId="0" fontId="11" fillId="0" borderId="19" xfId="0" applyFont="1" applyFill="1" applyBorder="1"/>
    <xf numFmtId="1" fontId="0" fillId="0" borderId="20" xfId="0" applyNumberFormat="1" applyBorder="1"/>
    <xf numFmtId="1" fontId="0" fillId="0" borderId="0" xfId="0" applyNumberFormat="1" applyBorder="1"/>
    <xf numFmtId="0" fontId="0" fillId="0" borderId="21" xfId="0" applyBorder="1"/>
    <xf numFmtId="0" fontId="0" fillId="0" borderId="20" xfId="0" applyBorder="1"/>
    <xf numFmtId="0" fontId="0" fillId="0" borderId="0" xfId="0" applyBorder="1"/>
    <xf numFmtId="0" fontId="14" fillId="0" borderId="21" xfId="0" applyFont="1" applyBorder="1"/>
    <xf numFmtId="0" fontId="7" fillId="7" borderId="20" xfId="0" applyFont="1" applyFill="1" applyBorder="1" applyAlignment="1">
      <alignment horizontal="center"/>
    </xf>
    <xf numFmtId="0" fontId="1" fillId="0" borderId="21" xfId="0" applyFont="1" applyBorder="1"/>
    <xf numFmtId="0" fontId="0" fillId="0" borderId="4" xfId="0" applyBorder="1"/>
    <xf numFmtId="0" fontId="0" fillId="0" borderId="3" xfId="0" applyBorder="1"/>
    <xf numFmtId="0" fontId="0" fillId="0" borderId="2" xfId="0" applyBorder="1"/>
    <xf numFmtId="0" fontId="15" fillId="0" borderId="1" xfId="0" applyFont="1" applyFill="1" applyBorder="1"/>
    <xf numFmtId="0" fontId="0" fillId="9" borderId="0" xfId="0" applyFill="1" applyAlignment="1"/>
    <xf numFmtId="0" fontId="9" fillId="9" borderId="0" xfId="0" applyFont="1" applyFill="1" applyAlignment="1"/>
    <xf numFmtId="0" fontId="0" fillId="13" borderId="7" xfId="0" applyFill="1" applyBorder="1"/>
    <xf numFmtId="0" fontId="0" fillId="13" borderId="6" xfId="0" applyFill="1" applyBorder="1"/>
    <xf numFmtId="0" fontId="0" fillId="13" borderId="5" xfId="0" applyFill="1" applyBorder="1"/>
    <xf numFmtId="0" fontId="0" fillId="13" borderId="20" xfId="0" applyFill="1" applyBorder="1"/>
    <xf numFmtId="0" fontId="0" fillId="13" borderId="0" xfId="0" applyFill="1" applyBorder="1"/>
    <xf numFmtId="0" fontId="0" fillId="13" borderId="21" xfId="0" applyFill="1" applyBorder="1"/>
    <xf numFmtId="0" fontId="0" fillId="0" borderId="7" xfId="0" applyBorder="1"/>
    <xf numFmtId="0" fontId="0" fillId="13" borderId="0" xfId="0" applyFill="1" applyBorder="1" applyAlignment="1"/>
    <xf numFmtId="2" fontId="0" fillId="0" borderId="15" xfId="0" applyNumberFormat="1" applyBorder="1"/>
    <xf numFmtId="2" fontId="0" fillId="0" borderId="18" xfId="0" applyNumberFormat="1" applyBorder="1"/>
    <xf numFmtId="2" fontId="0" fillId="0" borderId="31" xfId="0" applyNumberFormat="1" applyBorder="1"/>
    <xf numFmtId="0" fontId="0" fillId="0" borderId="37" xfId="0" applyBorder="1"/>
    <xf numFmtId="9" fontId="0" fillId="0" borderId="9" xfId="0" applyNumberFormat="1" applyBorder="1"/>
    <xf numFmtId="0" fontId="0" fillId="0" borderId="40" xfId="0" applyBorder="1"/>
    <xf numFmtId="9" fontId="0" fillId="0" borderId="11" xfId="0" applyNumberFormat="1" applyBorder="1"/>
    <xf numFmtId="0" fontId="0" fillId="0" borderId="31" xfId="0" applyBorder="1"/>
    <xf numFmtId="0" fontId="7" fillId="7" borderId="13" xfId="0" applyFont="1" applyFill="1" applyBorder="1"/>
    <xf numFmtId="0" fontId="7" fillId="7" borderId="41" xfId="0" applyFont="1" applyFill="1" applyBorder="1"/>
    <xf numFmtId="0" fontId="7" fillId="7" borderId="14" xfId="0" applyFont="1" applyFill="1" applyBorder="1"/>
    <xf numFmtId="0" fontId="7" fillId="7" borderId="8" xfId="0" applyFont="1" applyFill="1" applyBorder="1"/>
    <xf numFmtId="0" fontId="0" fillId="13" borderId="4" xfId="0" applyFill="1" applyBorder="1"/>
    <xf numFmtId="0" fontId="0" fillId="13" borderId="3" xfId="0" applyFill="1" applyBorder="1"/>
    <xf numFmtId="0" fontId="0" fillId="13" borderId="2" xfId="0" applyFill="1" applyBorder="1"/>
    <xf numFmtId="0" fontId="0" fillId="0" borderId="0" xfId="0" applyAlignment="1">
      <alignment horizontal="center"/>
    </xf>
    <xf numFmtId="0" fontId="7" fillId="0" borderId="19" xfId="0" applyFont="1" applyBorder="1" applyAlignment="1">
      <alignment horizontal="center"/>
    </xf>
    <xf numFmtId="0" fontId="18" fillId="8" borderId="0" xfId="0" applyFont="1" applyFill="1"/>
    <xf numFmtId="0" fontId="18" fillId="0" borderId="0" xfId="0" applyFont="1"/>
    <xf numFmtId="0" fontId="11" fillId="16" borderId="8" xfId="0" applyFont="1" applyFill="1" applyBorder="1" applyAlignment="1">
      <alignment horizontal="center" wrapText="1"/>
    </xf>
    <xf numFmtId="0" fontId="11" fillId="16" borderId="8" xfId="0" applyFont="1" applyFill="1" applyBorder="1" applyAlignment="1">
      <alignment horizontal="center"/>
    </xf>
    <xf numFmtId="0" fontId="11" fillId="16" borderId="11" xfId="0" applyFont="1" applyFill="1" applyBorder="1" applyAlignment="1">
      <alignment horizontal="center" wrapText="1"/>
    </xf>
    <xf numFmtId="0" fontId="2" fillId="0" borderId="14" xfId="0" applyFont="1" applyBorder="1" applyAlignment="1">
      <alignment horizontal="center"/>
    </xf>
    <xf numFmtId="0" fontId="2" fillId="0" borderId="41" xfId="0" applyFont="1" applyBorder="1" applyAlignment="1">
      <alignment horizontal="center"/>
    </xf>
    <xf numFmtId="0" fontId="18" fillId="0" borderId="41" xfId="0" applyFont="1" applyBorder="1"/>
    <xf numFmtId="0" fontId="18" fillId="0" borderId="13" xfId="0" applyFont="1" applyBorder="1" applyAlignment="1">
      <alignment horizontal="center"/>
    </xf>
    <xf numFmtId="0" fontId="0" fillId="17" borderId="8" xfId="0" applyFill="1" applyBorder="1" applyAlignment="1">
      <alignment horizontal="center"/>
    </xf>
    <xf numFmtId="167" fontId="0" fillId="0" borderId="8" xfId="0" applyNumberFormat="1" applyBorder="1" applyAlignment="1">
      <alignment horizontal="center"/>
    </xf>
    <xf numFmtId="167" fontId="0" fillId="0" borderId="11" xfId="0" applyNumberFormat="1" applyBorder="1" applyAlignment="1">
      <alignment horizontal="center"/>
    </xf>
    <xf numFmtId="0" fontId="18" fillId="0" borderId="12" xfId="0" applyFont="1" applyBorder="1" applyAlignment="1">
      <alignment horizontal="center"/>
    </xf>
    <xf numFmtId="167" fontId="18" fillId="0" borderId="8" xfId="0" applyNumberFormat="1" applyFont="1" applyBorder="1" applyAlignment="1">
      <alignment horizontal="center"/>
    </xf>
    <xf numFmtId="0" fontId="18" fillId="0" borderId="8" xfId="0" applyFont="1" applyBorder="1" applyAlignment="1">
      <alignment horizontal="center"/>
    </xf>
    <xf numFmtId="2" fontId="18" fillId="0" borderId="8" xfId="0" applyNumberFormat="1" applyFont="1" applyBorder="1" applyAlignment="1">
      <alignment horizontal="center"/>
    </xf>
    <xf numFmtId="165" fontId="18" fillId="0" borderId="8" xfId="0" applyNumberFormat="1" applyFont="1" applyBorder="1" applyAlignment="1">
      <alignment horizontal="center"/>
    </xf>
    <xf numFmtId="168" fontId="18" fillId="0" borderId="11" xfId="0" applyNumberFormat="1" applyFont="1" applyBorder="1"/>
    <xf numFmtId="168" fontId="21" fillId="18" borderId="9" xfId="0" applyNumberFormat="1" applyFont="1" applyFill="1" applyBorder="1"/>
    <xf numFmtId="167" fontId="11" fillId="19" borderId="40" xfId="0" applyNumberFormat="1" applyFont="1" applyFill="1" applyBorder="1"/>
    <xf numFmtId="167" fontId="11" fillId="19" borderId="9" xfId="0" applyNumberFormat="1" applyFont="1" applyFill="1" applyBorder="1" applyAlignment="1">
      <alignment horizontal="center"/>
    </xf>
    <xf numFmtId="0" fontId="23" fillId="4" borderId="0" xfId="0" applyFont="1" applyFill="1" applyAlignment="1"/>
    <xf numFmtId="0" fontId="1" fillId="0" borderId="30" xfId="0" applyFont="1" applyBorder="1" applyAlignment="1">
      <alignment horizontal="center"/>
    </xf>
    <xf numFmtId="0" fontId="24" fillId="0" borderId="29" xfId="0" applyFont="1" applyBorder="1"/>
    <xf numFmtId="167" fontId="24" fillId="0" borderId="28" xfId="0" applyNumberFormat="1" applyFont="1" applyBorder="1" applyAlignment="1">
      <alignment horizontal="center"/>
    </xf>
    <xf numFmtId="0" fontId="1" fillId="0" borderId="19" xfId="0" applyFont="1" applyBorder="1" applyAlignment="1">
      <alignment horizontal="center"/>
    </xf>
    <xf numFmtId="0" fontId="24" fillId="0" borderId="1" xfId="0" applyFont="1" applyBorder="1"/>
    <xf numFmtId="0" fontId="24" fillId="0" borderId="18" xfId="0" applyFont="1" applyBorder="1" applyAlignment="1">
      <alignment horizontal="center"/>
    </xf>
    <xf numFmtId="169" fontId="24" fillId="0" borderId="18" xfId="0" applyNumberFormat="1" applyFont="1" applyBorder="1" applyAlignment="1">
      <alignment horizontal="center"/>
    </xf>
    <xf numFmtId="0" fontId="1" fillId="0" borderId="17" xfId="0" applyFont="1" applyBorder="1" applyAlignment="1">
      <alignment horizontal="center"/>
    </xf>
    <xf numFmtId="0" fontId="24" fillId="0" borderId="16" xfId="0" applyFont="1" applyBorder="1"/>
    <xf numFmtId="10" fontId="24" fillId="0" borderId="15" xfId="0" applyNumberFormat="1" applyFont="1" applyBorder="1" applyAlignment="1">
      <alignment horizontal="center"/>
    </xf>
    <xf numFmtId="0" fontId="12" fillId="4" borderId="0" xfId="0" applyFont="1" applyFill="1" applyAlignment="1">
      <alignment wrapText="1"/>
    </xf>
    <xf numFmtId="9" fontId="0" fillId="4" borderId="0" xfId="0" applyNumberFormat="1" applyFill="1" applyAlignment="1">
      <alignment horizontal="center"/>
    </xf>
    <xf numFmtId="9" fontId="0" fillId="4" borderId="0" xfId="0" applyNumberFormat="1" applyFill="1"/>
    <xf numFmtId="0" fontId="11" fillId="4" borderId="0" xfId="0" applyFont="1" applyFill="1" applyBorder="1" applyAlignment="1">
      <alignment horizontal="center"/>
    </xf>
    <xf numFmtId="0" fontId="7" fillId="16" borderId="12" xfId="0" applyFont="1" applyFill="1" applyBorder="1" applyAlignment="1">
      <alignment horizontal="center" wrapText="1"/>
    </xf>
    <xf numFmtId="0" fontId="11" fillId="4" borderId="0" xfId="0" applyFont="1" applyFill="1" applyBorder="1" applyAlignment="1">
      <alignment horizontal="center" wrapText="1"/>
    </xf>
    <xf numFmtId="167" fontId="0" fillId="4" borderId="0" xfId="0" applyNumberFormat="1" applyFill="1" applyBorder="1" applyAlignment="1">
      <alignment horizontal="center"/>
    </xf>
    <xf numFmtId="167" fontId="7" fillId="4" borderId="0" xfId="0" applyNumberFormat="1" applyFont="1" applyFill="1" applyBorder="1" applyAlignment="1">
      <alignment horizontal="center"/>
    </xf>
    <xf numFmtId="0" fontId="0" fillId="21" borderId="0" xfId="0" applyFill="1"/>
    <xf numFmtId="0" fontId="0" fillId="8" borderId="0" xfId="0" applyFill="1"/>
    <xf numFmtId="0" fontId="0" fillId="0" borderId="11" xfId="0" applyBorder="1" applyAlignment="1">
      <alignment horizontal="center"/>
    </xf>
    <xf numFmtId="0" fontId="7" fillId="0" borderId="8" xfId="0" applyFont="1" applyBorder="1"/>
    <xf numFmtId="167" fontId="0" fillId="0" borderId="8" xfId="0" applyNumberFormat="1" applyBorder="1"/>
    <xf numFmtId="0" fontId="7" fillId="0" borderId="12" xfId="0" applyFont="1" applyBorder="1"/>
    <xf numFmtId="0" fontId="24" fillId="0" borderId="14" xfId="0" applyFont="1" applyBorder="1" applyAlignment="1">
      <alignment horizontal="center"/>
    </xf>
    <xf numFmtId="0" fontId="7" fillId="0" borderId="55" xfId="0" applyFont="1" applyBorder="1" applyAlignment="1">
      <alignment horizontal="center"/>
    </xf>
    <xf numFmtId="165" fontId="24" fillId="0" borderId="55" xfId="0" applyNumberFormat="1" applyFont="1" applyBorder="1" applyAlignment="1">
      <alignment horizontal="center"/>
    </xf>
    <xf numFmtId="0" fontId="0" fillId="0" borderId="13" xfId="0" applyBorder="1"/>
    <xf numFmtId="0" fontId="0" fillId="0" borderId="56" xfId="0" applyBorder="1" applyAlignment="1">
      <alignment horizontal="center"/>
    </xf>
    <xf numFmtId="0" fontId="7" fillId="0" borderId="54" xfId="0" applyFont="1" applyBorder="1" applyAlignment="1">
      <alignment horizontal="center"/>
    </xf>
    <xf numFmtId="167" fontId="0" fillId="0" borderId="54" xfId="0" applyNumberFormat="1" applyBorder="1"/>
    <xf numFmtId="0" fontId="7" fillId="0" borderId="57" xfId="0" applyFont="1" applyBorder="1"/>
    <xf numFmtId="0" fontId="7" fillId="0" borderId="57" xfId="0" applyFont="1" applyBorder="1" applyAlignment="1">
      <alignment horizontal="center"/>
    </xf>
    <xf numFmtId="0" fontId="7" fillId="0" borderId="58" xfId="0" applyFont="1" applyBorder="1" applyAlignment="1">
      <alignment horizontal="center"/>
    </xf>
    <xf numFmtId="0" fontId="28" fillId="21" borderId="0" xfId="0" applyFont="1" applyFill="1"/>
    <xf numFmtId="167" fontId="0" fillId="0" borderId="9" xfId="0" applyNumberFormat="1" applyBorder="1" applyAlignment="1">
      <alignment horizontal="center"/>
    </xf>
    <xf numFmtId="167" fontId="0" fillId="0" borderId="40" xfId="0" applyNumberFormat="1" applyBorder="1" applyAlignment="1">
      <alignment horizontal="center"/>
    </xf>
    <xf numFmtId="0" fontId="0" fillId="0" borderId="10" xfId="0" applyBorder="1" applyAlignment="1">
      <alignment horizontal="center"/>
    </xf>
    <xf numFmtId="0" fontId="0" fillId="0" borderId="12" xfId="0" applyBorder="1" applyAlignment="1">
      <alignment horizontal="center"/>
    </xf>
    <xf numFmtId="9" fontId="0" fillId="0" borderId="18" xfId="0" applyNumberFormat="1" applyBorder="1" applyAlignment="1">
      <alignment horizontal="center"/>
    </xf>
    <xf numFmtId="0" fontId="0" fillId="0" borderId="18" xfId="0" applyBorder="1" applyAlignment="1">
      <alignment horizontal="center"/>
    </xf>
    <xf numFmtId="0" fontId="1" fillId="22" borderId="13" xfId="0" applyFont="1" applyFill="1" applyBorder="1" applyAlignment="1">
      <alignment horizontal="center"/>
    </xf>
    <xf numFmtId="0" fontId="1" fillId="22" borderId="41" xfId="0" applyFont="1" applyFill="1" applyBorder="1" applyAlignment="1">
      <alignment horizontal="center"/>
    </xf>
    <xf numFmtId="0" fontId="1" fillId="22" borderId="14" xfId="0" applyFont="1" applyFill="1" applyBorder="1" applyAlignment="1">
      <alignment horizontal="center"/>
    </xf>
    <xf numFmtId="167" fontId="0" fillId="0" borderId="28" xfId="0" applyNumberFormat="1" applyBorder="1" applyAlignment="1">
      <alignment horizontal="center"/>
    </xf>
    <xf numFmtId="0" fontId="7" fillId="0" borderId="30" xfId="0" applyFont="1" applyBorder="1" applyAlignment="1">
      <alignment horizontal="center"/>
    </xf>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0" fontId="5" fillId="0" borderId="5" xfId="0" applyFont="1" applyBorder="1" applyAlignment="1">
      <alignment horizontal="center"/>
    </xf>
    <xf numFmtId="0" fontId="5" fillId="0" borderId="6" xfId="0" applyFont="1" applyBorder="1" applyAlignment="1">
      <alignment horizontal="center"/>
    </xf>
    <xf numFmtId="0" fontId="5" fillId="0" borderId="7" xfId="0" applyFont="1" applyBorder="1" applyAlignment="1">
      <alignment horizontal="center"/>
    </xf>
    <xf numFmtId="0" fontId="0" fillId="3" borderId="0" xfId="0" applyFill="1" applyAlignment="1">
      <alignment horizontal="center"/>
    </xf>
    <xf numFmtId="0" fontId="0" fillId="2" borderId="0" xfId="0" applyFill="1" applyAlignment="1">
      <alignment horizontal="center"/>
    </xf>
    <xf numFmtId="0" fontId="4" fillId="0" borderId="0" xfId="0" applyFont="1" applyAlignment="1">
      <alignment horizontal="center"/>
    </xf>
    <xf numFmtId="0" fontId="1" fillId="0" borderId="0" xfId="0" applyFont="1" applyAlignment="1">
      <alignment horizontal="center" wrapText="1"/>
    </xf>
    <xf numFmtId="0" fontId="0" fillId="0" borderId="0" xfId="0" applyAlignment="1">
      <alignment horizontal="left" vertical="center" wrapText="1"/>
    </xf>
    <xf numFmtId="0" fontId="0" fillId="0" borderId="0" xfId="0" applyAlignment="1">
      <alignment horizontal="center" wrapText="1"/>
    </xf>
    <xf numFmtId="0" fontId="0" fillId="0" borderId="0" xfId="0" applyAlignment="1">
      <alignment horizontal="center"/>
    </xf>
    <xf numFmtId="0" fontId="8" fillId="0" borderId="0" xfId="0" applyFont="1" applyAlignment="1">
      <alignment horizontal="center"/>
    </xf>
    <xf numFmtId="0" fontId="9" fillId="0" borderId="0" xfId="0" applyFont="1" applyAlignment="1">
      <alignment horizontal="center"/>
    </xf>
    <xf numFmtId="0" fontId="1" fillId="7" borderId="0" xfId="0" applyFont="1" applyFill="1" applyAlignment="1">
      <alignment horizontal="left"/>
    </xf>
    <xf numFmtId="0" fontId="7" fillId="7" borderId="0" xfId="0" applyFont="1" applyFill="1" applyAlignment="1">
      <alignment horizontal="center"/>
    </xf>
    <xf numFmtId="0" fontId="11" fillId="0" borderId="19" xfId="0" applyFont="1" applyBorder="1" applyAlignment="1">
      <alignment horizontal="center"/>
    </xf>
    <xf numFmtId="0" fontId="11" fillId="0" borderId="1" xfId="0" applyFont="1" applyBorder="1" applyAlignment="1">
      <alignment horizontal="center"/>
    </xf>
    <xf numFmtId="0" fontId="1" fillId="0" borderId="1" xfId="0" applyFont="1" applyFill="1" applyBorder="1" applyAlignment="1">
      <alignment horizontal="center" vertical="center"/>
    </xf>
    <xf numFmtId="0" fontId="1" fillId="0" borderId="1" xfId="0" applyFont="1" applyFill="1" applyBorder="1" applyAlignment="1">
      <alignment horizontal="center"/>
    </xf>
    <xf numFmtId="0" fontId="9" fillId="8" borderId="30" xfId="0" applyFont="1" applyFill="1" applyBorder="1" applyAlignment="1">
      <alignment horizontal="center"/>
    </xf>
    <xf numFmtId="0" fontId="9" fillId="8" borderId="29" xfId="0" applyFont="1" applyFill="1" applyBorder="1" applyAlignment="1">
      <alignment horizontal="center"/>
    </xf>
    <xf numFmtId="0" fontId="9" fillId="8" borderId="28" xfId="0" applyFont="1" applyFill="1" applyBorder="1" applyAlignment="1">
      <alignment horizontal="center"/>
    </xf>
    <xf numFmtId="0" fontId="16" fillId="0" borderId="2" xfId="0" applyFont="1" applyBorder="1" applyAlignment="1">
      <alignment horizontal="center"/>
    </xf>
    <xf numFmtId="0" fontId="16" fillId="0" borderId="3" xfId="0" applyFont="1" applyBorder="1" applyAlignment="1">
      <alignment horizontal="center"/>
    </xf>
    <xf numFmtId="0" fontId="16" fillId="0" borderId="4" xfId="0" applyFont="1" applyBorder="1" applyAlignment="1">
      <alignment horizontal="center"/>
    </xf>
    <xf numFmtId="0" fontId="16" fillId="0" borderId="5" xfId="0" applyFont="1" applyBorder="1" applyAlignment="1">
      <alignment horizontal="center"/>
    </xf>
    <xf numFmtId="0" fontId="16" fillId="0" borderId="6" xfId="0" applyFont="1" applyBorder="1" applyAlignment="1">
      <alignment horizontal="center"/>
    </xf>
    <xf numFmtId="0" fontId="16" fillId="0" borderId="7" xfId="0" applyFont="1" applyBorder="1" applyAlignment="1">
      <alignment horizontal="center"/>
    </xf>
    <xf numFmtId="0" fontId="1" fillId="7" borderId="21" xfId="0" applyFont="1" applyFill="1" applyBorder="1" applyAlignment="1">
      <alignment horizontal="center" vertical="top" wrapText="1"/>
    </xf>
    <xf numFmtId="0" fontId="1" fillId="7" borderId="0" xfId="0" applyFont="1" applyFill="1" applyBorder="1" applyAlignment="1">
      <alignment horizontal="center" vertical="top" wrapText="1"/>
    </xf>
    <xf numFmtId="0" fontId="11" fillId="12" borderId="0" xfId="0" applyFont="1" applyFill="1" applyBorder="1" applyAlignment="1">
      <alignment horizontal="center"/>
    </xf>
    <xf numFmtId="0" fontId="11" fillId="12" borderId="20" xfId="0" applyFont="1" applyFill="1" applyBorder="1" applyAlignment="1">
      <alignment horizontal="center"/>
    </xf>
    <xf numFmtId="2" fontId="12" fillId="0" borderId="6" xfId="0" applyNumberFormat="1" applyFont="1" applyFill="1" applyBorder="1" applyAlignment="1">
      <alignment horizontal="right" vertical="top" wrapText="1"/>
    </xf>
    <xf numFmtId="2" fontId="12" fillId="0" borderId="7" xfId="0" applyNumberFormat="1" applyFont="1" applyFill="1" applyBorder="1" applyAlignment="1">
      <alignment horizontal="right" vertical="top" wrapText="1"/>
    </xf>
    <xf numFmtId="0" fontId="3" fillId="0" borderId="30" xfId="0" applyFont="1" applyBorder="1" applyAlignment="1">
      <alignment horizontal="center" vertical="center"/>
    </xf>
    <xf numFmtId="0" fontId="3" fillId="0" borderId="29" xfId="0" applyFont="1" applyBorder="1" applyAlignment="1">
      <alignment horizontal="center" vertical="center"/>
    </xf>
    <xf numFmtId="0" fontId="7" fillId="7" borderId="21" xfId="0" applyFont="1" applyFill="1" applyBorder="1" applyAlignment="1">
      <alignment horizontal="center"/>
    </xf>
    <xf numFmtId="0" fontId="7" fillId="7" borderId="0" xfId="0" applyFont="1" applyFill="1" applyBorder="1" applyAlignment="1">
      <alignment horizontal="center"/>
    </xf>
    <xf numFmtId="0" fontId="1" fillId="0" borderId="23" xfId="0" applyFont="1" applyBorder="1" applyAlignment="1">
      <alignment horizontal="center"/>
    </xf>
    <xf numFmtId="0" fontId="0" fillId="2" borderId="23" xfId="0" applyFill="1" applyBorder="1" applyAlignment="1">
      <alignment horizontal="center"/>
    </xf>
    <xf numFmtId="0" fontId="6" fillId="4" borderId="24" xfId="0" applyFont="1" applyFill="1" applyBorder="1" applyAlignment="1">
      <alignment horizontal="center"/>
    </xf>
    <xf numFmtId="0" fontId="7" fillId="8" borderId="30" xfId="0" applyFont="1" applyFill="1" applyBorder="1" applyAlignment="1">
      <alignment horizontal="center" wrapText="1"/>
    </xf>
    <xf numFmtId="0" fontId="7" fillId="8" borderId="29" xfId="0" applyFont="1" applyFill="1" applyBorder="1" applyAlignment="1">
      <alignment horizontal="center" wrapText="1"/>
    </xf>
    <xf numFmtId="0" fontId="7" fillId="8" borderId="28" xfId="0" applyFont="1" applyFill="1" applyBorder="1" applyAlignment="1">
      <alignment horizontal="center" wrapText="1"/>
    </xf>
    <xf numFmtId="0" fontId="11" fillId="0" borderId="27" xfId="0" applyFont="1" applyBorder="1" applyAlignment="1">
      <alignment horizontal="center"/>
    </xf>
    <xf numFmtId="0" fontId="11" fillId="0" borderId="26" xfId="0" applyFont="1" applyBorder="1" applyAlignment="1">
      <alignment horizontal="center"/>
    </xf>
    <xf numFmtId="0" fontId="11" fillId="0" borderId="25" xfId="0" applyFont="1" applyBorder="1" applyAlignment="1">
      <alignment horizontal="center"/>
    </xf>
    <xf numFmtId="0" fontId="11" fillId="0" borderId="17" xfId="0" applyFont="1" applyBorder="1" applyAlignment="1">
      <alignment horizontal="center"/>
    </xf>
    <xf numFmtId="0" fontId="11" fillId="0" borderId="16" xfId="0" applyFont="1" applyBorder="1" applyAlignment="1">
      <alignment horizontal="center"/>
    </xf>
    <xf numFmtId="0" fontId="1" fillId="0" borderId="16" xfId="0" applyFont="1" applyFill="1" applyBorder="1" applyAlignment="1">
      <alignment horizontal="center"/>
    </xf>
    <xf numFmtId="0" fontId="0" fillId="4" borderId="23" xfId="0" applyFill="1" applyBorder="1" applyAlignment="1">
      <alignment horizontal="center"/>
    </xf>
    <xf numFmtId="0" fontId="0" fillId="8" borderId="19" xfId="0" applyFill="1" applyBorder="1" applyAlignment="1">
      <alignment horizontal="center"/>
    </xf>
    <xf numFmtId="0" fontId="0" fillId="8" borderId="1" xfId="0" applyFill="1" applyBorder="1" applyAlignment="1">
      <alignment horizontal="center"/>
    </xf>
    <xf numFmtId="0" fontId="1" fillId="4" borderId="8" xfId="0" applyFont="1" applyFill="1" applyBorder="1" applyAlignment="1">
      <alignment horizontal="center"/>
    </xf>
    <xf numFmtId="0" fontId="1" fillId="4" borderId="22" xfId="0" applyFont="1" applyFill="1" applyBorder="1" applyAlignment="1">
      <alignment horizontal="center"/>
    </xf>
    <xf numFmtId="0" fontId="7" fillId="0" borderId="23" xfId="0" applyFont="1" applyBorder="1" applyAlignment="1">
      <alignment horizontal="center"/>
    </xf>
    <xf numFmtId="164" fontId="1" fillId="0" borderId="23" xfId="0" applyNumberFormat="1" applyFont="1" applyBorder="1" applyAlignment="1">
      <alignment horizontal="center"/>
    </xf>
    <xf numFmtId="0" fontId="10" fillId="0" borderId="2" xfId="0" applyFont="1" applyBorder="1" applyAlignment="1">
      <alignment horizontal="center" vertical="center" wrapText="1"/>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10" fillId="0" borderId="21" xfId="0" applyFont="1" applyBorder="1" applyAlignment="1">
      <alignment horizontal="center" vertical="center"/>
    </xf>
    <xf numFmtId="0" fontId="10" fillId="0" borderId="0" xfId="0" applyFont="1" applyBorder="1" applyAlignment="1">
      <alignment horizontal="center" vertical="center"/>
    </xf>
    <xf numFmtId="0" fontId="10" fillId="0" borderId="20" xfId="0" applyFont="1" applyBorder="1" applyAlignment="1">
      <alignment horizontal="center" vertical="center"/>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7" fillId="0" borderId="2" xfId="0" applyFont="1" applyFill="1" applyBorder="1" applyAlignment="1">
      <alignment horizontal="center"/>
    </xf>
    <xf numFmtId="0" fontId="17" fillId="0" borderId="3" xfId="0" applyFont="1" applyFill="1" applyBorder="1" applyAlignment="1">
      <alignment horizontal="center"/>
    </xf>
    <xf numFmtId="0" fontId="17" fillId="0" borderId="4" xfId="0" applyFont="1" applyFill="1" applyBorder="1" applyAlignment="1">
      <alignment horizontal="center"/>
    </xf>
    <xf numFmtId="0" fontId="17" fillId="0" borderId="5" xfId="0" applyFont="1" applyFill="1" applyBorder="1" applyAlignment="1">
      <alignment horizontal="center"/>
    </xf>
    <xf numFmtId="0" fontId="17" fillId="0" borderId="6" xfId="0" applyFont="1" applyFill="1" applyBorder="1" applyAlignment="1">
      <alignment horizontal="center"/>
    </xf>
    <xf numFmtId="0" fontId="17" fillId="0" borderId="7" xfId="0" applyFont="1" applyFill="1" applyBorder="1" applyAlignment="1">
      <alignment horizontal="center"/>
    </xf>
    <xf numFmtId="0" fontId="7" fillId="0" borderId="39" xfId="0" applyFont="1" applyBorder="1" applyAlignment="1">
      <alignment horizontal="center"/>
    </xf>
    <xf numFmtId="0" fontId="7" fillId="0" borderId="38" xfId="0" applyFont="1" applyBorder="1" applyAlignment="1">
      <alignment horizontal="center"/>
    </xf>
    <xf numFmtId="0" fontId="7" fillId="8" borderId="44" xfId="0" applyFont="1" applyFill="1" applyBorder="1" applyAlignment="1">
      <alignment horizontal="center"/>
    </xf>
    <xf numFmtId="0" fontId="7" fillId="8" borderId="43" xfId="0" applyFont="1" applyFill="1" applyBorder="1" applyAlignment="1">
      <alignment horizontal="center"/>
    </xf>
    <xf numFmtId="0" fontId="7" fillId="8" borderId="42" xfId="0" applyFont="1" applyFill="1" applyBorder="1" applyAlignment="1">
      <alignment horizontal="center"/>
    </xf>
    <xf numFmtId="0" fontId="0" fillId="0" borderId="21" xfId="0" applyBorder="1" applyAlignment="1">
      <alignment horizontal="center"/>
    </xf>
    <xf numFmtId="0" fontId="0" fillId="0" borderId="0" xfId="0" applyBorder="1" applyAlignment="1">
      <alignment horizontal="center"/>
    </xf>
    <xf numFmtId="0" fontId="0" fillId="0" borderId="20" xfId="0" applyBorder="1" applyAlignment="1">
      <alignment horizontal="center"/>
    </xf>
    <xf numFmtId="164" fontId="0" fillId="0" borderId="5" xfId="0" applyNumberFormat="1" applyBorder="1" applyAlignment="1">
      <alignment horizontal="center"/>
    </xf>
    <xf numFmtId="164" fontId="0" fillId="0" borderId="6" xfId="0" applyNumberFormat="1" applyBorder="1" applyAlignment="1">
      <alignment horizontal="center"/>
    </xf>
    <xf numFmtId="164" fontId="0" fillId="0" borderId="7" xfId="0" applyNumberFormat="1" applyBorder="1" applyAlignment="1">
      <alignment horizontal="center"/>
    </xf>
    <xf numFmtId="0" fontId="7" fillId="8" borderId="36" xfId="0" applyFont="1" applyFill="1" applyBorder="1" applyAlignment="1">
      <alignment horizontal="center"/>
    </xf>
    <xf numFmtId="0" fontId="7" fillId="8" borderId="35" xfId="0" applyFont="1" applyFill="1" applyBorder="1" applyAlignment="1">
      <alignment horizontal="center"/>
    </xf>
    <xf numFmtId="0" fontId="7" fillId="8" borderId="34" xfId="0" applyFont="1" applyFill="1" applyBorder="1" applyAlignment="1">
      <alignment horizontal="center"/>
    </xf>
    <xf numFmtId="0" fontId="7" fillId="0" borderId="33" xfId="0" applyFont="1" applyBorder="1" applyAlignment="1">
      <alignment horizontal="center"/>
    </xf>
    <xf numFmtId="0" fontId="7" fillId="0" borderId="32" xfId="0" applyFont="1" applyBorder="1" applyAlignment="1">
      <alignment horizontal="center"/>
    </xf>
    <xf numFmtId="0" fontId="7" fillId="0" borderId="19" xfId="0" applyFont="1" applyBorder="1" applyAlignment="1">
      <alignment horizontal="center"/>
    </xf>
    <xf numFmtId="0" fontId="7" fillId="0" borderId="1" xfId="0" applyFont="1" applyBorder="1" applyAlignment="1">
      <alignment horizontal="center"/>
    </xf>
    <xf numFmtId="0" fontId="1" fillId="7" borderId="21" xfId="0" applyFont="1" applyFill="1" applyBorder="1" applyAlignment="1">
      <alignment horizontal="left"/>
    </xf>
    <xf numFmtId="0" fontId="1" fillId="7" borderId="20" xfId="0" applyFont="1" applyFill="1" applyBorder="1" applyAlignment="1">
      <alignment horizontal="left"/>
    </xf>
    <xf numFmtId="0" fontId="7" fillId="7" borderId="20" xfId="0" applyFont="1" applyFill="1" applyBorder="1" applyAlignment="1">
      <alignment horizontal="center"/>
    </xf>
    <xf numFmtId="0" fontId="7" fillId="0" borderId="17" xfId="0" applyFont="1" applyBorder="1" applyAlignment="1">
      <alignment horizontal="center"/>
    </xf>
    <xf numFmtId="0" fontId="7" fillId="0" borderId="16" xfId="0" applyFont="1" applyBorder="1" applyAlignment="1">
      <alignment horizontal="center"/>
    </xf>
    <xf numFmtId="0" fontId="0" fillId="4" borderId="0" xfId="0" applyFill="1" applyAlignment="1">
      <alignment horizontal="center"/>
    </xf>
    <xf numFmtId="0" fontId="23" fillId="0" borderId="2" xfId="0" applyFont="1" applyBorder="1" applyAlignment="1">
      <alignment horizontal="center"/>
    </xf>
    <xf numFmtId="0" fontId="23" fillId="0" borderId="3" xfId="0" applyFont="1" applyBorder="1" applyAlignment="1">
      <alignment horizontal="center"/>
    </xf>
    <xf numFmtId="0" fontId="23" fillId="0" borderId="4" xfId="0" applyFont="1" applyBorder="1" applyAlignment="1">
      <alignment horizontal="center"/>
    </xf>
    <xf numFmtId="0" fontId="23" fillId="0" borderId="5" xfId="0" applyFont="1" applyBorder="1" applyAlignment="1">
      <alignment horizontal="center"/>
    </xf>
    <xf numFmtId="0" fontId="23" fillId="0" borderId="6" xfId="0" applyFont="1" applyBorder="1" applyAlignment="1">
      <alignment horizontal="center"/>
    </xf>
    <xf numFmtId="0" fontId="23" fillId="0" borderId="7" xfId="0" applyFont="1" applyBorder="1" applyAlignment="1">
      <alignment horizontal="center"/>
    </xf>
    <xf numFmtId="0" fontId="25" fillId="0" borderId="44" xfId="0" applyFont="1" applyBorder="1" applyAlignment="1">
      <alignment horizontal="center"/>
    </xf>
    <xf numFmtId="0" fontId="25" fillId="0" borderId="43" xfId="0" applyFont="1" applyBorder="1" applyAlignment="1">
      <alignment horizontal="center"/>
    </xf>
    <xf numFmtId="0" fontId="25" fillId="0" borderId="42" xfId="0" applyFont="1" applyBorder="1" applyAlignment="1">
      <alignment horizontal="center"/>
    </xf>
    <xf numFmtId="0" fontId="18" fillId="0" borderId="26" xfId="0" applyFont="1" applyBorder="1" applyAlignment="1">
      <alignment horizontal="center" wrapText="1"/>
    </xf>
    <xf numFmtId="0" fontId="18" fillId="0" borderId="50" xfId="0" applyFont="1" applyBorder="1" applyAlignment="1">
      <alignment horizontal="center" wrapText="1"/>
    </xf>
    <xf numFmtId="0" fontId="18" fillId="0" borderId="51" xfId="0" applyFont="1" applyBorder="1" applyAlignment="1">
      <alignment horizontal="center" wrapText="1"/>
    </xf>
    <xf numFmtId="0" fontId="18" fillId="0" borderId="52" xfId="0" applyFont="1" applyBorder="1" applyAlignment="1">
      <alignment horizontal="center" wrapText="1"/>
    </xf>
    <xf numFmtId="0" fontId="11" fillId="19" borderId="14" xfId="0" applyFont="1" applyFill="1" applyBorder="1" applyAlignment="1">
      <alignment horizontal="center"/>
    </xf>
    <xf numFmtId="0" fontId="11" fillId="19" borderId="41" xfId="0" applyFont="1" applyFill="1" applyBorder="1" applyAlignment="1">
      <alignment horizontal="center"/>
    </xf>
    <xf numFmtId="0" fontId="11" fillId="19" borderId="13" xfId="0" applyFont="1" applyFill="1" applyBorder="1" applyAlignment="1">
      <alignment horizontal="center"/>
    </xf>
    <xf numFmtId="0" fontId="0" fillId="20" borderId="12" xfId="0" applyFill="1" applyBorder="1" applyAlignment="1">
      <alignment horizontal="center"/>
    </xf>
    <xf numFmtId="0" fontId="11" fillId="19" borderId="53" xfId="0" applyFont="1" applyFill="1" applyBorder="1" applyAlignment="1">
      <alignment horizontal="center"/>
    </xf>
    <xf numFmtId="0" fontId="11" fillId="19" borderId="45" xfId="0" applyFont="1" applyFill="1" applyBorder="1" applyAlignment="1">
      <alignment horizontal="center"/>
    </xf>
    <xf numFmtId="0" fontId="11" fillId="19" borderId="46" xfId="0" applyFont="1" applyFill="1" applyBorder="1" applyAlignment="1">
      <alignment horizontal="center"/>
    </xf>
    <xf numFmtId="0" fontId="8" fillId="11" borderId="0" xfId="0" applyFont="1" applyFill="1" applyAlignment="1">
      <alignment horizontal="center"/>
    </xf>
    <xf numFmtId="0" fontId="20" fillId="15" borderId="2" xfId="0" applyFont="1" applyFill="1" applyBorder="1" applyAlignment="1">
      <alignment horizontal="center"/>
    </xf>
    <xf numFmtId="0" fontId="20" fillId="15" borderId="3" xfId="0" applyFont="1" applyFill="1" applyBorder="1" applyAlignment="1">
      <alignment horizontal="center"/>
    </xf>
    <xf numFmtId="0" fontId="20" fillId="15" borderId="4" xfId="0" applyFont="1" applyFill="1" applyBorder="1" applyAlignment="1">
      <alignment horizontal="center"/>
    </xf>
    <xf numFmtId="0" fontId="20" fillId="15" borderId="5" xfId="0" applyFont="1" applyFill="1" applyBorder="1" applyAlignment="1">
      <alignment horizontal="center"/>
    </xf>
    <xf numFmtId="0" fontId="20" fillId="15" borderId="6" xfId="0" applyFont="1" applyFill="1" applyBorder="1" applyAlignment="1">
      <alignment horizontal="center"/>
    </xf>
    <xf numFmtId="0" fontId="20" fillId="15" borderId="7" xfId="0" applyFont="1" applyFill="1" applyBorder="1" applyAlignment="1">
      <alignment horizontal="center"/>
    </xf>
    <xf numFmtId="0" fontId="1" fillId="0" borderId="41" xfId="0" applyFont="1" applyFill="1" applyBorder="1" applyAlignment="1">
      <alignment horizontal="center"/>
    </xf>
    <xf numFmtId="0" fontId="1" fillId="0" borderId="13" xfId="0" applyFont="1" applyFill="1" applyBorder="1" applyAlignment="1">
      <alignment horizontal="center"/>
    </xf>
    <xf numFmtId="0" fontId="1" fillId="8" borderId="2" xfId="0" applyFont="1" applyFill="1" applyBorder="1" applyAlignment="1">
      <alignment horizontal="center"/>
    </xf>
    <xf numFmtId="0" fontId="1" fillId="8" borderId="21" xfId="0" applyFont="1" applyFill="1" applyBorder="1" applyAlignment="1">
      <alignment horizontal="center"/>
    </xf>
    <xf numFmtId="0" fontId="21" fillId="0" borderId="10" xfId="0" applyFont="1" applyBorder="1" applyAlignment="1">
      <alignment horizontal="center"/>
    </xf>
    <xf numFmtId="0" fontId="21" fillId="0" borderId="40" xfId="0" applyFont="1" applyBorder="1" applyAlignment="1">
      <alignment horizont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19" fillId="14" borderId="44" xfId="0" applyFont="1" applyFill="1" applyBorder="1" applyAlignment="1">
      <alignment horizontal="center"/>
    </xf>
    <xf numFmtId="0" fontId="19" fillId="14" borderId="43" xfId="0" applyFont="1" applyFill="1" applyBorder="1" applyAlignment="1">
      <alignment horizontal="center"/>
    </xf>
    <xf numFmtId="0" fontId="19" fillId="14" borderId="42" xfId="0" applyFont="1" applyFill="1" applyBorder="1" applyAlignment="1">
      <alignment horizontal="center"/>
    </xf>
    <xf numFmtId="165" fontId="18" fillId="0" borderId="44" xfId="0" applyNumberFormat="1" applyFont="1" applyBorder="1" applyAlignment="1">
      <alignment horizontal="center"/>
    </xf>
    <xf numFmtId="165" fontId="18" fillId="0" borderId="43" xfId="0" applyNumberFormat="1" applyFont="1" applyBorder="1" applyAlignment="1">
      <alignment horizontal="center"/>
    </xf>
    <xf numFmtId="165" fontId="18" fillId="0" borderId="42" xfId="0" applyNumberFormat="1" applyFont="1" applyBorder="1" applyAlignment="1">
      <alignment horizontal="center"/>
    </xf>
    <xf numFmtId="166" fontId="18" fillId="0" borderId="44" xfId="0" applyNumberFormat="1" applyFont="1" applyBorder="1" applyAlignment="1">
      <alignment horizontal="center"/>
    </xf>
    <xf numFmtId="166" fontId="18" fillId="0" borderId="43" xfId="0" applyNumberFormat="1" applyFont="1" applyBorder="1" applyAlignment="1">
      <alignment horizontal="center"/>
    </xf>
    <xf numFmtId="166" fontId="18" fillId="0" borderId="42" xfId="0" applyNumberFormat="1" applyFont="1" applyBorder="1" applyAlignment="1">
      <alignment horizontal="center"/>
    </xf>
    <xf numFmtId="0" fontId="11" fillId="19" borderId="43" xfId="0" applyFont="1" applyFill="1" applyBorder="1" applyAlignment="1">
      <alignment horizontal="center" wrapText="1"/>
    </xf>
    <xf numFmtId="0" fontId="11" fillId="19" borderId="47" xfId="0" applyFont="1" applyFill="1" applyBorder="1" applyAlignment="1">
      <alignment horizontal="center" wrapText="1"/>
    </xf>
    <xf numFmtId="167" fontId="11" fillId="19" borderId="48" xfId="0" applyNumberFormat="1" applyFont="1" applyFill="1" applyBorder="1" applyAlignment="1">
      <alignment horizontal="center" wrapText="1"/>
    </xf>
    <xf numFmtId="167" fontId="11" fillId="19" borderId="42" xfId="0" applyNumberFormat="1" applyFont="1" applyFill="1" applyBorder="1" applyAlignment="1">
      <alignment horizontal="center" wrapText="1"/>
    </xf>
    <xf numFmtId="0" fontId="22" fillId="0" borderId="49" xfId="0" applyFont="1" applyBorder="1" applyAlignment="1">
      <alignment horizontal="center"/>
    </xf>
    <xf numFmtId="0" fontId="22" fillId="0" borderId="24" xfId="0" applyFont="1" applyBorder="1" applyAlignment="1">
      <alignment horizontal="center"/>
    </xf>
    <xf numFmtId="167" fontId="22" fillId="18" borderId="49" xfId="0" applyNumberFormat="1" applyFont="1" applyFill="1" applyBorder="1" applyAlignment="1">
      <alignment horizontal="center"/>
    </xf>
    <xf numFmtId="0" fontId="22" fillId="18" borderId="49" xfId="0" applyFont="1" applyFill="1" applyBorder="1" applyAlignment="1">
      <alignment horizontal="center"/>
    </xf>
    <xf numFmtId="0" fontId="22" fillId="18" borderId="24" xfId="0" applyFont="1" applyFill="1" applyBorder="1" applyAlignment="1">
      <alignment horizontal="center"/>
    </xf>
    <xf numFmtId="0" fontId="26" fillId="0" borderId="54" xfId="0" applyFont="1" applyBorder="1" applyAlignment="1">
      <alignment horizontal="center"/>
    </xf>
    <xf numFmtId="167" fontId="26" fillId="22" borderId="54" xfId="0" applyNumberFormat="1" applyFont="1"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167" fontId="24" fillId="0" borderId="44" xfId="0" applyNumberFormat="1" applyFont="1" applyBorder="1" applyAlignment="1">
      <alignment horizontal="center"/>
    </xf>
    <xf numFmtId="167" fontId="24" fillId="0" borderId="43" xfId="0" applyNumberFormat="1" applyFont="1" applyBorder="1" applyAlignment="1">
      <alignment horizontal="center"/>
    </xf>
    <xf numFmtId="167" fontId="24" fillId="0" borderId="47" xfId="0" applyNumberFormat="1" applyFont="1" applyBorder="1" applyAlignment="1">
      <alignment horizontal="center"/>
    </xf>
    <xf numFmtId="0" fontId="0" fillId="8" borderId="0" xfId="0" applyFill="1" applyAlignment="1">
      <alignment horizontal="center"/>
    </xf>
    <xf numFmtId="170" fontId="11" fillId="0" borderId="0" xfId="0" applyNumberFormat="1" applyFont="1" applyAlignment="1">
      <alignment horizontal="center"/>
    </xf>
    <xf numFmtId="0" fontId="7" fillId="0" borderId="10" xfId="0" applyFont="1" applyBorder="1" applyAlignment="1">
      <alignment horizontal="center"/>
    </xf>
    <xf numFmtId="0" fontId="7" fillId="0" borderId="40" xfId="0" applyFont="1" applyBorder="1" applyAlignment="1">
      <alignment horizontal="center"/>
    </xf>
    <xf numFmtId="165" fontId="0" fillId="0" borderId="40" xfId="0" applyNumberFormat="1" applyBorder="1" applyAlignment="1">
      <alignment horizontal="center"/>
    </xf>
    <xf numFmtId="165" fontId="0" fillId="0" borderId="9" xfId="0" applyNumberFormat="1" applyBorder="1" applyAlignment="1">
      <alignment horizontal="center"/>
    </xf>
    <xf numFmtId="0" fontId="3" fillId="0" borderId="44" xfId="0" applyFont="1" applyBorder="1" applyAlignment="1">
      <alignment horizontal="center"/>
    </xf>
    <xf numFmtId="0" fontId="3" fillId="0" borderId="43" xfId="0" applyFont="1" applyBorder="1" applyAlignment="1">
      <alignment horizontal="center"/>
    </xf>
    <xf numFmtId="0" fontId="3" fillId="0" borderId="42" xfId="0" applyFont="1" applyBorder="1" applyAlignment="1">
      <alignment horizontal="center"/>
    </xf>
    <xf numFmtId="0" fontId="9" fillId="15" borderId="2" xfId="0" applyFont="1" applyFill="1" applyBorder="1" applyAlignment="1">
      <alignment horizontal="center"/>
    </xf>
    <xf numFmtId="0" fontId="9" fillId="15" borderId="3" xfId="0" applyFont="1" applyFill="1" applyBorder="1" applyAlignment="1">
      <alignment horizontal="center"/>
    </xf>
    <xf numFmtId="0" fontId="9" fillId="15" borderId="4" xfId="0" applyFont="1" applyFill="1" applyBorder="1" applyAlignment="1">
      <alignment horizontal="center"/>
    </xf>
    <xf numFmtId="0" fontId="9" fillId="15" borderId="5" xfId="0" applyFont="1" applyFill="1" applyBorder="1" applyAlignment="1">
      <alignment horizontal="center"/>
    </xf>
    <xf numFmtId="0" fontId="9" fillId="15" borderId="6" xfId="0" applyFont="1" applyFill="1" applyBorder="1" applyAlignment="1">
      <alignment horizontal="center"/>
    </xf>
    <xf numFmtId="0" fontId="9" fillId="15" borderId="7" xfId="0" applyFont="1" applyFill="1" applyBorder="1" applyAlignment="1">
      <alignment horizontal="center"/>
    </xf>
    <xf numFmtId="167" fontId="11" fillId="0" borderId="0" xfId="0" applyNumberFormat="1" applyFont="1" applyAlignment="1">
      <alignment horizontal="center"/>
    </xf>
    <xf numFmtId="0" fontId="27" fillId="0" borderId="0" xfId="0" applyFont="1" applyAlignment="1">
      <alignment horizontal="center"/>
    </xf>
    <xf numFmtId="167" fontId="26" fillId="22" borderId="0" xfId="0" applyNumberFormat="1" applyFont="1" applyFill="1" applyAlignment="1">
      <alignment horizontal="center"/>
    </xf>
    <xf numFmtId="0" fontId="3" fillId="0" borderId="19" xfId="0" applyFont="1" applyBorder="1" applyAlignment="1">
      <alignment horizontal="center"/>
    </xf>
    <xf numFmtId="0" fontId="3" fillId="0" borderId="18" xfId="0" applyFont="1" applyBorder="1" applyAlignment="1">
      <alignment horizontal="center"/>
    </xf>
    <xf numFmtId="167" fontId="1" fillId="0" borderId="17" xfId="0" applyNumberFormat="1" applyFont="1" applyBorder="1" applyAlignment="1">
      <alignment horizontal="center"/>
    </xf>
    <xf numFmtId="0" fontId="1" fillId="0" borderId="15" xfId="0" applyFont="1" applyBorder="1" applyAlignment="1">
      <alignment horizontal="center"/>
    </xf>
    <xf numFmtId="0" fontId="0" fillId="0" borderId="61" xfId="0" applyBorder="1" applyAlignment="1">
      <alignment horizontal="center"/>
    </xf>
    <xf numFmtId="0" fontId="0" fillId="0" borderId="60" xfId="0" applyBorder="1" applyAlignment="1">
      <alignment horizontal="center"/>
    </xf>
    <xf numFmtId="0" fontId="0" fillId="0" borderId="59" xfId="0" applyBorder="1" applyAlignment="1">
      <alignment horizontal="center"/>
    </xf>
    <xf numFmtId="0" fontId="0" fillId="0" borderId="50"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Promedio de Goles / Año</a:t>
            </a:r>
            <a:r>
              <a:rPr lang="en-US" sz="1400" b="1" baseline="0"/>
              <a:t> del mundial</a:t>
            </a:r>
            <a:endParaRPr lang="en-US"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'Actividas 1,2'!$B$7</c:f>
              <c:strCache>
                <c:ptCount val="1"/>
                <c:pt idx="0">
                  <c:v>Promedio de Goles</c:v>
                </c:pt>
              </c:strCache>
            </c:strRef>
          </c:tx>
          <c:spPr>
            <a:ln w="28575" cap="rnd">
              <a:solidFill>
                <a:schemeClr val="accent1"/>
              </a:solidFill>
              <a:round/>
            </a:ln>
            <a:effectLst/>
          </c:spPr>
          <c:marker>
            <c:symbol val="none"/>
          </c:marker>
          <c:cat>
            <c:numRef>
              <c:f>'Actividas 1,2'!$A$8:$A$23</c:f>
              <c:numCache>
                <c:formatCode>General</c:formatCode>
                <c:ptCount val="16"/>
                <c:pt idx="0">
                  <c:v>1950</c:v>
                </c:pt>
                <c:pt idx="1">
                  <c:v>1954</c:v>
                </c:pt>
                <c:pt idx="2">
                  <c:v>1958</c:v>
                </c:pt>
                <c:pt idx="3">
                  <c:v>1962</c:v>
                </c:pt>
                <c:pt idx="4">
                  <c:v>1966</c:v>
                </c:pt>
                <c:pt idx="5">
                  <c:v>1970</c:v>
                </c:pt>
                <c:pt idx="6">
                  <c:v>1974</c:v>
                </c:pt>
                <c:pt idx="7">
                  <c:v>1978</c:v>
                </c:pt>
                <c:pt idx="8">
                  <c:v>1982</c:v>
                </c:pt>
                <c:pt idx="9">
                  <c:v>1986</c:v>
                </c:pt>
                <c:pt idx="10">
                  <c:v>1990</c:v>
                </c:pt>
                <c:pt idx="11">
                  <c:v>1994</c:v>
                </c:pt>
                <c:pt idx="12">
                  <c:v>1998</c:v>
                </c:pt>
                <c:pt idx="13">
                  <c:v>2002</c:v>
                </c:pt>
                <c:pt idx="14">
                  <c:v>2006</c:v>
                </c:pt>
                <c:pt idx="15">
                  <c:v>2010</c:v>
                </c:pt>
              </c:numCache>
            </c:numRef>
          </c:cat>
          <c:val>
            <c:numRef>
              <c:f>'Actividas 1,2'!$B$8:$B$23</c:f>
              <c:numCache>
                <c:formatCode>General</c:formatCode>
                <c:ptCount val="16"/>
                <c:pt idx="0">
                  <c:v>4</c:v>
                </c:pt>
                <c:pt idx="1">
                  <c:v>5.36</c:v>
                </c:pt>
                <c:pt idx="2">
                  <c:v>3.6</c:v>
                </c:pt>
                <c:pt idx="3">
                  <c:v>2.78</c:v>
                </c:pt>
                <c:pt idx="4">
                  <c:v>2.78</c:v>
                </c:pt>
                <c:pt idx="5">
                  <c:v>2.97</c:v>
                </c:pt>
                <c:pt idx="6">
                  <c:v>2.5499999999999998</c:v>
                </c:pt>
                <c:pt idx="7">
                  <c:v>2.68</c:v>
                </c:pt>
                <c:pt idx="8">
                  <c:v>2.81</c:v>
                </c:pt>
                <c:pt idx="9">
                  <c:v>2.54</c:v>
                </c:pt>
                <c:pt idx="10">
                  <c:v>2.21</c:v>
                </c:pt>
                <c:pt idx="11">
                  <c:v>2.71</c:v>
                </c:pt>
                <c:pt idx="12">
                  <c:v>2.67</c:v>
                </c:pt>
                <c:pt idx="13">
                  <c:v>2.52</c:v>
                </c:pt>
                <c:pt idx="14">
                  <c:v>2.2999999999999998</c:v>
                </c:pt>
                <c:pt idx="15">
                  <c:v>2.27</c:v>
                </c:pt>
              </c:numCache>
            </c:numRef>
          </c:val>
          <c:smooth val="0"/>
          <c:extLst xmlns:c16r2="http://schemas.microsoft.com/office/drawing/2015/06/chart">
            <c:ext xmlns:c16="http://schemas.microsoft.com/office/drawing/2014/chart" uri="{C3380CC4-5D6E-409C-BE32-E72D297353CC}">
              <c16:uniqueId val="{00000000-7E7E-48A4-8A75-BA878DBB7CB8}"/>
            </c:ext>
          </c:extLst>
        </c:ser>
        <c:dLbls>
          <c:showLegendKey val="0"/>
          <c:showVal val="0"/>
          <c:showCatName val="0"/>
          <c:showSerName val="0"/>
          <c:showPercent val="0"/>
          <c:showBubbleSize val="0"/>
        </c:dLbls>
        <c:smooth val="0"/>
        <c:axId val="193883560"/>
        <c:axId val="195256776"/>
      </c:lineChart>
      <c:catAx>
        <c:axId val="193883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5256776"/>
        <c:crosses val="autoZero"/>
        <c:auto val="1"/>
        <c:lblAlgn val="ctr"/>
        <c:lblOffset val="100"/>
        <c:noMultiLvlLbl val="0"/>
      </c:catAx>
      <c:valAx>
        <c:axId val="195256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3883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INTERES COMPUESTO/SEMESTRE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ES"/>
        </a:p>
      </c:txPr>
    </c:title>
    <c:autoTitleDeleted val="0"/>
    <c:plotArea>
      <c:layout/>
      <c:scatterChart>
        <c:scatterStyle val="lineMarker"/>
        <c:varyColors val="0"/>
        <c:ser>
          <c:idx val="0"/>
          <c:order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xVal>
            <c:numRef>
              <c:f>'Atividad 3,2'!$J$12:$J$21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'Atividad 3,2'!$L$12:$L$21</c:f>
              <c:numCache>
                <c:formatCode>"$"#,##0</c:formatCode>
                <c:ptCount val="10"/>
                <c:pt idx="0">
                  <c:v>150000</c:v>
                </c:pt>
                <c:pt idx="1">
                  <c:v>172500</c:v>
                </c:pt>
                <c:pt idx="2">
                  <c:v>198375</c:v>
                </c:pt>
                <c:pt idx="3">
                  <c:v>228131.25</c:v>
                </c:pt>
                <c:pt idx="4">
                  <c:v>262350.9375</c:v>
                </c:pt>
                <c:pt idx="5">
                  <c:v>301703.578125</c:v>
                </c:pt>
                <c:pt idx="6">
                  <c:v>346959.11484374997</c:v>
                </c:pt>
                <c:pt idx="7">
                  <c:v>399002.98207031249</c:v>
                </c:pt>
                <c:pt idx="8">
                  <c:v>458853.42938085931</c:v>
                </c:pt>
                <c:pt idx="9">
                  <c:v>527681.44378798816</c:v>
                </c:pt>
              </c:numCache>
            </c:numRef>
          </c:yVal>
          <c:smooth val="0"/>
          <c:extLst xmlns:c16r2="http://schemas.microsoft.com/office/drawing/2015/06/chart">
            <c:ext xmlns:c16="http://schemas.microsoft.com/office/drawing/2014/chart" uri="{C3380CC4-5D6E-409C-BE32-E72D297353CC}">
              <c16:uniqueId val="{00000000-50F4-4EB7-A851-4AABC6E4B61F}"/>
            </c:ext>
          </c:extLst>
        </c:ser>
        <c:dLbls>
          <c:showLegendKey val="0"/>
          <c:showVal val="0"/>
          <c:showCatName val="0"/>
          <c:showSerName val="0"/>
          <c:showPercent val="0"/>
          <c:showBubbleSize val="0"/>
        </c:dLbls>
        <c:axId val="193720496"/>
        <c:axId val="193720888"/>
      </c:scatterChart>
      <c:valAx>
        <c:axId val="193720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s-ES"/>
          </a:p>
        </c:txPr>
        <c:crossAx val="193720888"/>
        <c:crosses val="autoZero"/>
        <c:crossBetween val="midCat"/>
      </c:valAx>
      <c:valAx>
        <c:axId val="1937208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3720496"/>
        <c:crosses val="autoZero"/>
        <c:crossBetween val="midCat"/>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INTERES SIMPLE POR ASOCIADO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8.8971052396527167E-2"/>
          <c:y val="0.14459778000074661"/>
          <c:w val="0.8935037248311708"/>
          <c:h val="0.79288311542167489"/>
        </c:manualLayout>
      </c:layout>
      <c:barChart>
        <c:barDir val="col"/>
        <c:grouping val="clustered"/>
        <c:varyColors val="0"/>
        <c:ser>
          <c:idx val="0"/>
          <c:order val="0"/>
          <c:spPr>
            <a:solidFill>
              <a:schemeClr val="accent1"/>
            </a:solidFill>
            <a:ln>
              <a:noFill/>
            </a:ln>
            <a:effectLst/>
          </c:spPr>
          <c:invertIfNegative val="0"/>
          <c:cat>
            <c:strRef>
              <c:f>'Actividad 3,3'!$B$12:$B$19</c:f>
              <c:strCache>
                <c:ptCount val="8"/>
                <c:pt idx="0">
                  <c:v>Acevedo Diego</c:v>
                </c:pt>
                <c:pt idx="1">
                  <c:v>Buitrago  Claudia</c:v>
                </c:pt>
                <c:pt idx="2">
                  <c:v>Casas Javier</c:v>
                </c:pt>
                <c:pt idx="3">
                  <c:v>Gomez Esperanza</c:v>
                </c:pt>
                <c:pt idx="4">
                  <c:v>Vega Jose Maria</c:v>
                </c:pt>
                <c:pt idx="5">
                  <c:v>Tinjaca Nelson</c:v>
                </c:pt>
                <c:pt idx="6">
                  <c:v>Zarate Yulieth</c:v>
                </c:pt>
                <c:pt idx="7">
                  <c:v>Zuluaga Tomas</c:v>
                </c:pt>
              </c:strCache>
            </c:strRef>
          </c:cat>
          <c:val>
            <c:numRef>
              <c:f>'Actividad 3,3'!$G$12:$G$19</c:f>
              <c:numCache>
                <c:formatCode>"$"#,##0.0</c:formatCode>
                <c:ptCount val="8"/>
                <c:pt idx="0">
                  <c:v>88000</c:v>
                </c:pt>
                <c:pt idx="1">
                  <c:v>44000</c:v>
                </c:pt>
                <c:pt idx="2">
                  <c:v>88000</c:v>
                </c:pt>
                <c:pt idx="3">
                  <c:v>13750</c:v>
                </c:pt>
                <c:pt idx="4">
                  <c:v>22915.75</c:v>
                </c:pt>
                <c:pt idx="5">
                  <c:v>96250</c:v>
                </c:pt>
                <c:pt idx="6">
                  <c:v>115500</c:v>
                </c:pt>
                <c:pt idx="7">
                  <c:v>201658.59999999998</c:v>
                </c:pt>
              </c:numCache>
            </c:numRef>
          </c:val>
          <c:extLst xmlns:c16r2="http://schemas.microsoft.com/office/drawing/2015/06/chart">
            <c:ext xmlns:c16="http://schemas.microsoft.com/office/drawing/2014/chart" uri="{C3380CC4-5D6E-409C-BE32-E72D297353CC}">
              <c16:uniqueId val="{00000000-28DC-489A-8E85-FAB1C911C59B}"/>
            </c:ext>
          </c:extLst>
        </c:ser>
        <c:dLbls>
          <c:showLegendKey val="0"/>
          <c:showVal val="0"/>
          <c:showCatName val="0"/>
          <c:showSerName val="0"/>
          <c:showPercent val="0"/>
          <c:showBubbleSize val="0"/>
        </c:dLbls>
        <c:gapWidth val="219"/>
        <c:overlap val="-27"/>
        <c:axId val="193721672"/>
        <c:axId val="193722064"/>
      </c:barChart>
      <c:catAx>
        <c:axId val="193721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crossAx val="193722064"/>
        <c:crosses val="autoZero"/>
        <c:auto val="1"/>
        <c:lblAlgn val="ctr"/>
        <c:lblOffset val="100"/>
        <c:noMultiLvlLbl val="0"/>
      </c:catAx>
      <c:valAx>
        <c:axId val="1937220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3721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Promedio de Goles / Año del mundial</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2.6830903128112173E-2"/>
          <c:y val="0.13541811436794504"/>
          <c:w val="0.92905024069731168"/>
          <c:h val="0.77355644803869539"/>
        </c:manualLayout>
      </c:layout>
      <c:areaChart>
        <c:grouping val="stacked"/>
        <c:varyColors val="0"/>
        <c:ser>
          <c:idx val="0"/>
          <c:order val="0"/>
          <c:tx>
            <c:strRef>
              <c:f>'Actividas 1,2'!$B$7</c:f>
              <c:strCache>
                <c:ptCount val="1"/>
                <c:pt idx="0">
                  <c:v>Promedio de Goles</c:v>
                </c:pt>
              </c:strCache>
            </c:strRef>
          </c:tx>
          <c:spPr>
            <a:solidFill>
              <a:schemeClr val="accent1">
                <a:alpha val="74000"/>
              </a:schemeClr>
            </a:solidFill>
            <a:ln>
              <a:noFill/>
            </a:ln>
            <a:effectLst>
              <a:innerShdw blurRad="114300">
                <a:schemeClr val="accent1">
                  <a:lumMod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s-E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'Actividas 1,2'!$A$8:$A$23</c:f>
              <c:numCache>
                <c:formatCode>General</c:formatCode>
                <c:ptCount val="16"/>
                <c:pt idx="0">
                  <c:v>1950</c:v>
                </c:pt>
                <c:pt idx="1">
                  <c:v>1954</c:v>
                </c:pt>
                <c:pt idx="2">
                  <c:v>1958</c:v>
                </c:pt>
                <c:pt idx="3">
                  <c:v>1962</c:v>
                </c:pt>
                <c:pt idx="4">
                  <c:v>1966</c:v>
                </c:pt>
                <c:pt idx="5">
                  <c:v>1970</c:v>
                </c:pt>
                <c:pt idx="6">
                  <c:v>1974</c:v>
                </c:pt>
                <c:pt idx="7">
                  <c:v>1978</c:v>
                </c:pt>
                <c:pt idx="8">
                  <c:v>1982</c:v>
                </c:pt>
                <c:pt idx="9">
                  <c:v>1986</c:v>
                </c:pt>
                <c:pt idx="10">
                  <c:v>1990</c:v>
                </c:pt>
                <c:pt idx="11">
                  <c:v>1994</c:v>
                </c:pt>
                <c:pt idx="12">
                  <c:v>1998</c:v>
                </c:pt>
                <c:pt idx="13">
                  <c:v>2002</c:v>
                </c:pt>
                <c:pt idx="14">
                  <c:v>2006</c:v>
                </c:pt>
                <c:pt idx="15">
                  <c:v>2010</c:v>
                </c:pt>
              </c:numCache>
            </c:numRef>
          </c:cat>
          <c:val>
            <c:numRef>
              <c:f>'Actividas 1,2'!$B$8:$B$23</c:f>
              <c:numCache>
                <c:formatCode>General</c:formatCode>
                <c:ptCount val="16"/>
                <c:pt idx="0">
                  <c:v>4</c:v>
                </c:pt>
                <c:pt idx="1">
                  <c:v>5.36</c:v>
                </c:pt>
                <c:pt idx="2">
                  <c:v>3.6</c:v>
                </c:pt>
                <c:pt idx="3">
                  <c:v>2.78</c:v>
                </c:pt>
                <c:pt idx="4">
                  <c:v>2.78</c:v>
                </c:pt>
                <c:pt idx="5">
                  <c:v>2.97</c:v>
                </c:pt>
                <c:pt idx="6">
                  <c:v>2.5499999999999998</c:v>
                </c:pt>
                <c:pt idx="7">
                  <c:v>2.68</c:v>
                </c:pt>
                <c:pt idx="8">
                  <c:v>2.81</c:v>
                </c:pt>
                <c:pt idx="9">
                  <c:v>2.54</c:v>
                </c:pt>
                <c:pt idx="10">
                  <c:v>2.21</c:v>
                </c:pt>
                <c:pt idx="11">
                  <c:v>2.71</c:v>
                </c:pt>
                <c:pt idx="12">
                  <c:v>2.67</c:v>
                </c:pt>
                <c:pt idx="13">
                  <c:v>2.52</c:v>
                </c:pt>
                <c:pt idx="14">
                  <c:v>2.2999999999999998</c:v>
                </c:pt>
                <c:pt idx="15">
                  <c:v>2.27</c:v>
                </c:pt>
              </c:numCache>
            </c:numRef>
          </c:val>
          <c:extLst xmlns:c16r2="http://schemas.microsoft.com/office/drawing/2015/06/chart">
            <c:ext xmlns:c16="http://schemas.microsoft.com/office/drawing/2014/chart" uri="{C3380CC4-5D6E-409C-BE32-E72D297353CC}">
              <c16:uniqueId val="{00000000-5C72-4E62-B4DD-7190A32E4F9B}"/>
            </c:ext>
          </c:extLst>
        </c:ser>
        <c:dLbls>
          <c:showLegendKey val="0"/>
          <c:showVal val="1"/>
          <c:showCatName val="0"/>
          <c:showSerName val="0"/>
          <c:showPercent val="0"/>
          <c:showBubbleSize val="0"/>
        </c:dLbls>
        <c:dropLines>
          <c:spPr>
            <a:ln w="9525">
              <a:solidFill>
                <a:schemeClr val="tx1">
                  <a:lumMod val="35000"/>
                  <a:lumOff val="65000"/>
                </a:schemeClr>
              </a:solidFill>
              <a:round/>
            </a:ln>
            <a:effectLst/>
          </c:spPr>
        </c:dropLines>
        <c:axId val="195122560"/>
        <c:axId val="195592752"/>
      </c:areaChart>
      <c:catAx>
        <c:axId val="19512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s-ES"/>
          </a:p>
        </c:txPr>
        <c:crossAx val="195592752"/>
        <c:crosses val="autoZero"/>
        <c:auto val="1"/>
        <c:lblAlgn val="ctr"/>
        <c:lblOffset val="100"/>
        <c:noMultiLvlLbl val="0"/>
      </c:catAx>
      <c:valAx>
        <c:axId val="195592752"/>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s-ES"/>
          </a:p>
        </c:txPr>
        <c:crossAx val="195122560"/>
        <c:crosses val="autoZero"/>
        <c:crossBetween val="midCat"/>
      </c:valAx>
      <c:spPr>
        <a:noFill/>
        <a:ln>
          <a:noFill/>
        </a:ln>
        <a:effectLst/>
      </c:spPr>
    </c:plotArea>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PROMEDIO</a:t>
            </a:r>
            <a:r>
              <a:rPr lang="en-US" baseline="0"/>
              <a:t> DE GOLES/AÑO MUNDIAL</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1-D64A-43EB-B218-29FFE983A867}"/>
              </c:ext>
            </c:extLst>
          </c:dPt>
          <c:dPt>
            <c:idx val="1"/>
            <c:bubble3D val="0"/>
            <c:spPr>
              <a:solidFill>
                <a:schemeClr val="accent2"/>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3-D64A-43EB-B218-29FFE983A867}"/>
              </c:ext>
            </c:extLst>
          </c:dPt>
          <c:dPt>
            <c:idx val="2"/>
            <c:bubble3D val="0"/>
            <c:spPr>
              <a:solidFill>
                <a:schemeClr val="accent3"/>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5-D64A-43EB-B218-29FFE983A867}"/>
              </c:ext>
            </c:extLst>
          </c:dPt>
          <c:dPt>
            <c:idx val="3"/>
            <c:bubble3D val="0"/>
            <c:spPr>
              <a:solidFill>
                <a:schemeClr val="accent4"/>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7-D64A-43EB-B218-29FFE983A867}"/>
              </c:ext>
            </c:extLst>
          </c:dPt>
          <c:dPt>
            <c:idx val="4"/>
            <c:bubble3D val="0"/>
            <c:spPr>
              <a:solidFill>
                <a:schemeClr val="accent5"/>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9-D64A-43EB-B218-29FFE983A867}"/>
              </c:ext>
            </c:extLst>
          </c:dPt>
          <c:dPt>
            <c:idx val="5"/>
            <c:bubble3D val="0"/>
            <c:spPr>
              <a:solidFill>
                <a:schemeClr val="accent6"/>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B-D64A-43EB-B218-29FFE983A867}"/>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D-D64A-43EB-B218-29FFE983A867}"/>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F-D64A-43EB-B218-29FFE983A867}"/>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1-D64A-43EB-B218-29FFE983A867}"/>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3-D64A-43EB-B218-29FFE983A867}"/>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5-D64A-43EB-B218-29FFE983A867}"/>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7-D64A-43EB-B218-29FFE983A867}"/>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9-D64A-43EB-B218-29FFE983A867}"/>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B-D64A-43EB-B218-29FFE983A867}"/>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D-D64A-43EB-B218-29FFE983A867}"/>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F-D64A-43EB-B218-29FFE983A867}"/>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numRef>
              <c:f>'Actividas 1,2'!$A$8:$A$23</c:f>
              <c:numCache>
                <c:formatCode>General</c:formatCode>
                <c:ptCount val="16"/>
                <c:pt idx="0">
                  <c:v>1950</c:v>
                </c:pt>
                <c:pt idx="1">
                  <c:v>1954</c:v>
                </c:pt>
                <c:pt idx="2">
                  <c:v>1958</c:v>
                </c:pt>
                <c:pt idx="3">
                  <c:v>1962</c:v>
                </c:pt>
                <c:pt idx="4">
                  <c:v>1966</c:v>
                </c:pt>
                <c:pt idx="5">
                  <c:v>1970</c:v>
                </c:pt>
                <c:pt idx="6">
                  <c:v>1974</c:v>
                </c:pt>
                <c:pt idx="7">
                  <c:v>1978</c:v>
                </c:pt>
                <c:pt idx="8">
                  <c:v>1982</c:v>
                </c:pt>
                <c:pt idx="9">
                  <c:v>1986</c:v>
                </c:pt>
                <c:pt idx="10">
                  <c:v>1990</c:v>
                </c:pt>
                <c:pt idx="11">
                  <c:v>1994</c:v>
                </c:pt>
                <c:pt idx="12">
                  <c:v>1998</c:v>
                </c:pt>
                <c:pt idx="13">
                  <c:v>2002</c:v>
                </c:pt>
                <c:pt idx="14">
                  <c:v>2006</c:v>
                </c:pt>
                <c:pt idx="15">
                  <c:v>2010</c:v>
                </c:pt>
              </c:numCache>
            </c:numRef>
          </c:cat>
          <c:val>
            <c:numRef>
              <c:f>'Actividas 1,2'!$A$8:$A$23</c:f>
              <c:numCache>
                <c:formatCode>General</c:formatCode>
                <c:ptCount val="16"/>
                <c:pt idx="0">
                  <c:v>1950</c:v>
                </c:pt>
                <c:pt idx="1">
                  <c:v>1954</c:v>
                </c:pt>
                <c:pt idx="2">
                  <c:v>1958</c:v>
                </c:pt>
                <c:pt idx="3">
                  <c:v>1962</c:v>
                </c:pt>
                <c:pt idx="4">
                  <c:v>1966</c:v>
                </c:pt>
                <c:pt idx="5">
                  <c:v>1970</c:v>
                </c:pt>
                <c:pt idx="6">
                  <c:v>1974</c:v>
                </c:pt>
                <c:pt idx="7">
                  <c:v>1978</c:v>
                </c:pt>
                <c:pt idx="8">
                  <c:v>1982</c:v>
                </c:pt>
                <c:pt idx="9">
                  <c:v>1986</c:v>
                </c:pt>
                <c:pt idx="10">
                  <c:v>1990</c:v>
                </c:pt>
                <c:pt idx="11">
                  <c:v>1994</c:v>
                </c:pt>
                <c:pt idx="12">
                  <c:v>1998</c:v>
                </c:pt>
                <c:pt idx="13">
                  <c:v>2002</c:v>
                </c:pt>
                <c:pt idx="14">
                  <c:v>2006</c:v>
                </c:pt>
                <c:pt idx="15">
                  <c:v>2010</c:v>
                </c:pt>
              </c:numCache>
            </c:numRef>
          </c:val>
          <c:extLst xmlns:c16r2="http://schemas.microsoft.com/office/drawing/2015/06/chart">
            <c:ext xmlns:c16="http://schemas.microsoft.com/office/drawing/2014/chart" uri="{C3380CC4-5D6E-409C-BE32-E72D297353CC}">
              <c16:uniqueId val="{00000000-9F65-41D9-8B67-883916BE7EE9}"/>
            </c:ext>
          </c:extLst>
        </c:ser>
        <c:dLbls>
          <c:dLblPos val="ctr"/>
          <c:showLegendKey val="0"/>
          <c:showVal val="0"/>
          <c:showCatName val="1"/>
          <c:showSerName val="0"/>
          <c:showPercent val="0"/>
          <c:showBubbleSize val="0"/>
          <c:showLeaderLines val="1"/>
        </c:dLbls>
      </c:pie3DChart>
      <c:spPr>
        <a:noFill/>
        <a:ln>
          <a:noFill/>
        </a:ln>
        <a:effectLst/>
      </c:spPr>
    </c:plotArea>
    <c:legend>
      <c:legendPos val="r"/>
      <c:layout>
        <c:manualLayout>
          <c:xMode val="edge"/>
          <c:yMode val="edge"/>
          <c:x val="0.86611912453621653"/>
          <c:y val="0.17160990271323751"/>
          <c:w val="0.12358320939871495"/>
          <c:h val="0.74189085864449333"/>
        </c:manualLayout>
      </c:layout>
      <c:overlay val="0"/>
      <c:spPr>
        <a:solidFill>
          <a:schemeClr val="lt1">
            <a:lumMod val="95000"/>
            <a:alpha val="39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rPr>
              <a:t>PROMEDIO DE GOLES/AÑO MUNDIAL</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'Actividas 1,2'!$A$8</c:f>
              <c:strCache>
                <c:ptCount val="1"/>
                <c:pt idx="0">
                  <c:v>1950</c:v>
                </c:pt>
              </c:strCache>
            </c:strRef>
          </c:tx>
          <c:spPr>
            <a:solidFill>
              <a:schemeClr val="accent1"/>
            </a:solidFill>
            <a:ln>
              <a:noFill/>
            </a:ln>
            <a:effectLst/>
          </c:spPr>
          <c:invertIfNegative val="0"/>
          <c:val>
            <c:numRef>
              <c:f>'Actividas 1,2'!$B$8</c:f>
              <c:numCache>
                <c:formatCode>General</c:formatCode>
                <c:ptCount val="1"/>
                <c:pt idx="0">
                  <c:v>4</c:v>
                </c:pt>
              </c:numCache>
            </c:numRef>
          </c:val>
          <c:extLst xmlns:c16r2="http://schemas.microsoft.com/office/drawing/2015/06/chart">
            <c:ext xmlns:c16="http://schemas.microsoft.com/office/drawing/2014/chart" uri="{C3380CC4-5D6E-409C-BE32-E72D297353CC}">
              <c16:uniqueId val="{00000000-A73E-4DCA-B526-958FDE3A74DA}"/>
            </c:ext>
          </c:extLst>
        </c:ser>
        <c:ser>
          <c:idx val="1"/>
          <c:order val="1"/>
          <c:tx>
            <c:strRef>
              <c:f>'Actividas 1,2'!$A$9</c:f>
              <c:strCache>
                <c:ptCount val="1"/>
                <c:pt idx="0">
                  <c:v>1954</c:v>
                </c:pt>
              </c:strCache>
            </c:strRef>
          </c:tx>
          <c:spPr>
            <a:solidFill>
              <a:schemeClr val="accent2"/>
            </a:solidFill>
            <a:ln>
              <a:noFill/>
            </a:ln>
            <a:effectLst/>
          </c:spPr>
          <c:invertIfNegative val="0"/>
          <c:val>
            <c:numRef>
              <c:f>'Actividas 1,2'!$B$9</c:f>
              <c:numCache>
                <c:formatCode>General</c:formatCode>
                <c:ptCount val="1"/>
                <c:pt idx="0">
                  <c:v>5.36</c:v>
                </c:pt>
              </c:numCache>
            </c:numRef>
          </c:val>
          <c:extLst xmlns:c16r2="http://schemas.microsoft.com/office/drawing/2015/06/chart">
            <c:ext xmlns:c16="http://schemas.microsoft.com/office/drawing/2014/chart" uri="{C3380CC4-5D6E-409C-BE32-E72D297353CC}">
              <c16:uniqueId val="{00000001-A73E-4DCA-B526-958FDE3A74DA}"/>
            </c:ext>
          </c:extLst>
        </c:ser>
        <c:ser>
          <c:idx val="2"/>
          <c:order val="2"/>
          <c:tx>
            <c:strRef>
              <c:f>'Actividas 1,2'!$A$10</c:f>
              <c:strCache>
                <c:ptCount val="1"/>
                <c:pt idx="0">
                  <c:v>1958</c:v>
                </c:pt>
              </c:strCache>
            </c:strRef>
          </c:tx>
          <c:spPr>
            <a:solidFill>
              <a:schemeClr val="accent3"/>
            </a:solidFill>
            <a:ln>
              <a:noFill/>
            </a:ln>
            <a:effectLst/>
          </c:spPr>
          <c:invertIfNegative val="0"/>
          <c:val>
            <c:numRef>
              <c:f>'Actividas 1,2'!$B$10</c:f>
              <c:numCache>
                <c:formatCode>General</c:formatCode>
                <c:ptCount val="1"/>
                <c:pt idx="0">
                  <c:v>3.6</c:v>
                </c:pt>
              </c:numCache>
            </c:numRef>
          </c:val>
          <c:extLst xmlns:c16r2="http://schemas.microsoft.com/office/drawing/2015/06/chart">
            <c:ext xmlns:c16="http://schemas.microsoft.com/office/drawing/2014/chart" uri="{C3380CC4-5D6E-409C-BE32-E72D297353CC}">
              <c16:uniqueId val="{00000002-A73E-4DCA-B526-958FDE3A74DA}"/>
            </c:ext>
          </c:extLst>
        </c:ser>
        <c:ser>
          <c:idx val="3"/>
          <c:order val="3"/>
          <c:tx>
            <c:strRef>
              <c:f>'Actividas 1,2'!$A$11</c:f>
              <c:strCache>
                <c:ptCount val="1"/>
                <c:pt idx="0">
                  <c:v>1962</c:v>
                </c:pt>
              </c:strCache>
            </c:strRef>
          </c:tx>
          <c:spPr>
            <a:solidFill>
              <a:schemeClr val="accent4"/>
            </a:solidFill>
            <a:ln>
              <a:noFill/>
            </a:ln>
            <a:effectLst/>
          </c:spPr>
          <c:invertIfNegative val="0"/>
          <c:val>
            <c:numRef>
              <c:f>'Actividas 1,2'!$B$11</c:f>
              <c:numCache>
                <c:formatCode>General</c:formatCode>
                <c:ptCount val="1"/>
                <c:pt idx="0">
                  <c:v>2.78</c:v>
                </c:pt>
              </c:numCache>
            </c:numRef>
          </c:val>
          <c:extLst xmlns:c16r2="http://schemas.microsoft.com/office/drawing/2015/06/chart">
            <c:ext xmlns:c16="http://schemas.microsoft.com/office/drawing/2014/chart" uri="{C3380CC4-5D6E-409C-BE32-E72D297353CC}">
              <c16:uniqueId val="{00000003-A73E-4DCA-B526-958FDE3A74DA}"/>
            </c:ext>
          </c:extLst>
        </c:ser>
        <c:ser>
          <c:idx val="4"/>
          <c:order val="4"/>
          <c:tx>
            <c:strRef>
              <c:f>'Actividas 1,2'!$A$12</c:f>
              <c:strCache>
                <c:ptCount val="1"/>
                <c:pt idx="0">
                  <c:v>1966</c:v>
                </c:pt>
              </c:strCache>
            </c:strRef>
          </c:tx>
          <c:spPr>
            <a:solidFill>
              <a:schemeClr val="accent5"/>
            </a:solidFill>
            <a:ln>
              <a:noFill/>
            </a:ln>
            <a:effectLst/>
          </c:spPr>
          <c:invertIfNegative val="0"/>
          <c:val>
            <c:numRef>
              <c:f>'Actividas 1,2'!$B$12</c:f>
              <c:numCache>
                <c:formatCode>General</c:formatCode>
                <c:ptCount val="1"/>
                <c:pt idx="0">
                  <c:v>2.78</c:v>
                </c:pt>
              </c:numCache>
            </c:numRef>
          </c:val>
          <c:extLst xmlns:c16r2="http://schemas.microsoft.com/office/drawing/2015/06/chart">
            <c:ext xmlns:c16="http://schemas.microsoft.com/office/drawing/2014/chart" uri="{C3380CC4-5D6E-409C-BE32-E72D297353CC}">
              <c16:uniqueId val="{00000004-A73E-4DCA-B526-958FDE3A74DA}"/>
            </c:ext>
          </c:extLst>
        </c:ser>
        <c:ser>
          <c:idx val="5"/>
          <c:order val="5"/>
          <c:tx>
            <c:strRef>
              <c:f>'Actividas 1,2'!$A$13</c:f>
              <c:strCache>
                <c:ptCount val="1"/>
                <c:pt idx="0">
                  <c:v>1970</c:v>
                </c:pt>
              </c:strCache>
            </c:strRef>
          </c:tx>
          <c:spPr>
            <a:solidFill>
              <a:schemeClr val="accent6"/>
            </a:solidFill>
            <a:ln>
              <a:noFill/>
            </a:ln>
            <a:effectLst/>
          </c:spPr>
          <c:invertIfNegative val="0"/>
          <c:val>
            <c:numRef>
              <c:f>'Actividas 1,2'!$B$13</c:f>
              <c:numCache>
                <c:formatCode>General</c:formatCode>
                <c:ptCount val="1"/>
                <c:pt idx="0">
                  <c:v>2.97</c:v>
                </c:pt>
              </c:numCache>
            </c:numRef>
          </c:val>
          <c:extLst xmlns:c16r2="http://schemas.microsoft.com/office/drawing/2015/06/chart">
            <c:ext xmlns:c16="http://schemas.microsoft.com/office/drawing/2014/chart" uri="{C3380CC4-5D6E-409C-BE32-E72D297353CC}">
              <c16:uniqueId val="{00000005-A73E-4DCA-B526-958FDE3A74DA}"/>
            </c:ext>
          </c:extLst>
        </c:ser>
        <c:ser>
          <c:idx val="6"/>
          <c:order val="6"/>
          <c:tx>
            <c:strRef>
              <c:f>'Actividas 1,2'!$A$14</c:f>
              <c:strCache>
                <c:ptCount val="1"/>
                <c:pt idx="0">
                  <c:v>1974</c:v>
                </c:pt>
              </c:strCache>
            </c:strRef>
          </c:tx>
          <c:spPr>
            <a:solidFill>
              <a:schemeClr val="accent1">
                <a:lumMod val="60000"/>
              </a:schemeClr>
            </a:solidFill>
            <a:ln>
              <a:noFill/>
            </a:ln>
            <a:effectLst/>
          </c:spPr>
          <c:invertIfNegative val="0"/>
          <c:val>
            <c:numRef>
              <c:f>'Actividas 1,2'!$B$14</c:f>
              <c:numCache>
                <c:formatCode>General</c:formatCode>
                <c:ptCount val="1"/>
                <c:pt idx="0">
                  <c:v>2.5499999999999998</c:v>
                </c:pt>
              </c:numCache>
            </c:numRef>
          </c:val>
          <c:extLst xmlns:c16r2="http://schemas.microsoft.com/office/drawing/2015/06/chart">
            <c:ext xmlns:c16="http://schemas.microsoft.com/office/drawing/2014/chart" uri="{C3380CC4-5D6E-409C-BE32-E72D297353CC}">
              <c16:uniqueId val="{00000006-A73E-4DCA-B526-958FDE3A74DA}"/>
            </c:ext>
          </c:extLst>
        </c:ser>
        <c:ser>
          <c:idx val="7"/>
          <c:order val="7"/>
          <c:tx>
            <c:strRef>
              <c:f>'Actividas 1,2'!$A$15</c:f>
              <c:strCache>
                <c:ptCount val="1"/>
                <c:pt idx="0">
                  <c:v>1978</c:v>
                </c:pt>
              </c:strCache>
            </c:strRef>
          </c:tx>
          <c:spPr>
            <a:solidFill>
              <a:schemeClr val="accent2">
                <a:lumMod val="60000"/>
              </a:schemeClr>
            </a:solidFill>
            <a:ln>
              <a:noFill/>
            </a:ln>
            <a:effectLst/>
          </c:spPr>
          <c:invertIfNegative val="0"/>
          <c:val>
            <c:numRef>
              <c:f>'Actividas 1,2'!$B$15</c:f>
              <c:numCache>
                <c:formatCode>General</c:formatCode>
                <c:ptCount val="1"/>
                <c:pt idx="0">
                  <c:v>2.68</c:v>
                </c:pt>
              </c:numCache>
            </c:numRef>
          </c:val>
          <c:extLst xmlns:c16r2="http://schemas.microsoft.com/office/drawing/2015/06/chart">
            <c:ext xmlns:c16="http://schemas.microsoft.com/office/drawing/2014/chart" uri="{C3380CC4-5D6E-409C-BE32-E72D297353CC}">
              <c16:uniqueId val="{00000007-A73E-4DCA-B526-958FDE3A74DA}"/>
            </c:ext>
          </c:extLst>
        </c:ser>
        <c:ser>
          <c:idx val="8"/>
          <c:order val="8"/>
          <c:tx>
            <c:strRef>
              <c:f>'Actividas 1,2'!$A$16</c:f>
              <c:strCache>
                <c:ptCount val="1"/>
                <c:pt idx="0">
                  <c:v>1982</c:v>
                </c:pt>
              </c:strCache>
            </c:strRef>
          </c:tx>
          <c:spPr>
            <a:solidFill>
              <a:schemeClr val="accent3">
                <a:lumMod val="60000"/>
              </a:schemeClr>
            </a:solidFill>
            <a:ln>
              <a:noFill/>
            </a:ln>
            <a:effectLst/>
          </c:spPr>
          <c:invertIfNegative val="0"/>
          <c:val>
            <c:numRef>
              <c:f>'Actividas 1,2'!$B$16</c:f>
              <c:numCache>
                <c:formatCode>General</c:formatCode>
                <c:ptCount val="1"/>
                <c:pt idx="0">
                  <c:v>2.81</c:v>
                </c:pt>
              </c:numCache>
            </c:numRef>
          </c:val>
          <c:extLst xmlns:c16r2="http://schemas.microsoft.com/office/drawing/2015/06/chart">
            <c:ext xmlns:c16="http://schemas.microsoft.com/office/drawing/2014/chart" uri="{C3380CC4-5D6E-409C-BE32-E72D297353CC}">
              <c16:uniqueId val="{00000008-A73E-4DCA-B526-958FDE3A74DA}"/>
            </c:ext>
          </c:extLst>
        </c:ser>
        <c:ser>
          <c:idx val="9"/>
          <c:order val="9"/>
          <c:tx>
            <c:strRef>
              <c:f>'Actividas 1,2'!$A$17</c:f>
              <c:strCache>
                <c:ptCount val="1"/>
                <c:pt idx="0">
                  <c:v>1986</c:v>
                </c:pt>
              </c:strCache>
            </c:strRef>
          </c:tx>
          <c:spPr>
            <a:solidFill>
              <a:schemeClr val="accent4">
                <a:lumMod val="60000"/>
              </a:schemeClr>
            </a:solidFill>
            <a:ln>
              <a:noFill/>
            </a:ln>
            <a:effectLst/>
          </c:spPr>
          <c:invertIfNegative val="0"/>
          <c:val>
            <c:numRef>
              <c:f>'Actividas 1,2'!$B$17</c:f>
              <c:numCache>
                <c:formatCode>General</c:formatCode>
                <c:ptCount val="1"/>
                <c:pt idx="0">
                  <c:v>2.54</c:v>
                </c:pt>
              </c:numCache>
            </c:numRef>
          </c:val>
          <c:extLst xmlns:c16r2="http://schemas.microsoft.com/office/drawing/2015/06/chart">
            <c:ext xmlns:c16="http://schemas.microsoft.com/office/drawing/2014/chart" uri="{C3380CC4-5D6E-409C-BE32-E72D297353CC}">
              <c16:uniqueId val="{00000009-A73E-4DCA-B526-958FDE3A74DA}"/>
            </c:ext>
          </c:extLst>
        </c:ser>
        <c:ser>
          <c:idx val="10"/>
          <c:order val="10"/>
          <c:tx>
            <c:strRef>
              <c:f>'Actividas 1,2'!$A$18</c:f>
              <c:strCache>
                <c:ptCount val="1"/>
                <c:pt idx="0">
                  <c:v>1990</c:v>
                </c:pt>
              </c:strCache>
            </c:strRef>
          </c:tx>
          <c:spPr>
            <a:solidFill>
              <a:schemeClr val="accent5">
                <a:lumMod val="60000"/>
              </a:schemeClr>
            </a:solidFill>
            <a:ln>
              <a:noFill/>
            </a:ln>
            <a:effectLst/>
          </c:spPr>
          <c:invertIfNegative val="0"/>
          <c:val>
            <c:numRef>
              <c:f>'Actividas 1,2'!$B$18</c:f>
              <c:numCache>
                <c:formatCode>General</c:formatCode>
                <c:ptCount val="1"/>
                <c:pt idx="0">
                  <c:v>2.21</c:v>
                </c:pt>
              </c:numCache>
            </c:numRef>
          </c:val>
          <c:extLst xmlns:c16r2="http://schemas.microsoft.com/office/drawing/2015/06/chart">
            <c:ext xmlns:c16="http://schemas.microsoft.com/office/drawing/2014/chart" uri="{C3380CC4-5D6E-409C-BE32-E72D297353CC}">
              <c16:uniqueId val="{0000000A-A73E-4DCA-B526-958FDE3A74DA}"/>
            </c:ext>
          </c:extLst>
        </c:ser>
        <c:ser>
          <c:idx val="11"/>
          <c:order val="11"/>
          <c:tx>
            <c:strRef>
              <c:f>'Actividas 1,2'!$A$19</c:f>
              <c:strCache>
                <c:ptCount val="1"/>
                <c:pt idx="0">
                  <c:v>1994</c:v>
                </c:pt>
              </c:strCache>
            </c:strRef>
          </c:tx>
          <c:spPr>
            <a:solidFill>
              <a:schemeClr val="accent6">
                <a:lumMod val="60000"/>
              </a:schemeClr>
            </a:solidFill>
            <a:ln>
              <a:noFill/>
            </a:ln>
            <a:effectLst/>
          </c:spPr>
          <c:invertIfNegative val="0"/>
          <c:val>
            <c:numRef>
              <c:f>'Actividas 1,2'!$B$19</c:f>
              <c:numCache>
                <c:formatCode>General</c:formatCode>
                <c:ptCount val="1"/>
                <c:pt idx="0">
                  <c:v>2.71</c:v>
                </c:pt>
              </c:numCache>
            </c:numRef>
          </c:val>
          <c:extLst xmlns:c16r2="http://schemas.microsoft.com/office/drawing/2015/06/chart">
            <c:ext xmlns:c16="http://schemas.microsoft.com/office/drawing/2014/chart" uri="{C3380CC4-5D6E-409C-BE32-E72D297353CC}">
              <c16:uniqueId val="{0000000B-A73E-4DCA-B526-958FDE3A74DA}"/>
            </c:ext>
          </c:extLst>
        </c:ser>
        <c:ser>
          <c:idx val="12"/>
          <c:order val="12"/>
          <c:tx>
            <c:strRef>
              <c:f>'Actividas 1,2'!$A$20</c:f>
              <c:strCache>
                <c:ptCount val="1"/>
                <c:pt idx="0">
                  <c:v>1998</c:v>
                </c:pt>
              </c:strCache>
            </c:strRef>
          </c:tx>
          <c:spPr>
            <a:solidFill>
              <a:schemeClr val="accent1">
                <a:lumMod val="80000"/>
                <a:lumOff val="20000"/>
              </a:schemeClr>
            </a:solidFill>
            <a:ln>
              <a:noFill/>
            </a:ln>
            <a:effectLst/>
          </c:spPr>
          <c:invertIfNegative val="0"/>
          <c:val>
            <c:numRef>
              <c:f>'Actividas 1,2'!$B$20</c:f>
              <c:numCache>
                <c:formatCode>General</c:formatCode>
                <c:ptCount val="1"/>
                <c:pt idx="0">
                  <c:v>2.67</c:v>
                </c:pt>
              </c:numCache>
            </c:numRef>
          </c:val>
          <c:extLst xmlns:c16r2="http://schemas.microsoft.com/office/drawing/2015/06/chart">
            <c:ext xmlns:c16="http://schemas.microsoft.com/office/drawing/2014/chart" uri="{C3380CC4-5D6E-409C-BE32-E72D297353CC}">
              <c16:uniqueId val="{0000000C-A73E-4DCA-B526-958FDE3A74DA}"/>
            </c:ext>
          </c:extLst>
        </c:ser>
        <c:ser>
          <c:idx val="13"/>
          <c:order val="13"/>
          <c:tx>
            <c:strRef>
              <c:f>'Actividas 1,2'!$A$21</c:f>
              <c:strCache>
                <c:ptCount val="1"/>
                <c:pt idx="0">
                  <c:v>2002</c:v>
                </c:pt>
              </c:strCache>
            </c:strRef>
          </c:tx>
          <c:spPr>
            <a:solidFill>
              <a:schemeClr val="accent2">
                <a:lumMod val="80000"/>
                <a:lumOff val="20000"/>
              </a:schemeClr>
            </a:solidFill>
            <a:ln>
              <a:noFill/>
            </a:ln>
            <a:effectLst/>
          </c:spPr>
          <c:invertIfNegative val="0"/>
          <c:val>
            <c:numRef>
              <c:f>'Actividas 1,2'!$B$21</c:f>
              <c:numCache>
                <c:formatCode>General</c:formatCode>
                <c:ptCount val="1"/>
                <c:pt idx="0">
                  <c:v>2.52</c:v>
                </c:pt>
              </c:numCache>
            </c:numRef>
          </c:val>
          <c:extLst xmlns:c16r2="http://schemas.microsoft.com/office/drawing/2015/06/chart">
            <c:ext xmlns:c16="http://schemas.microsoft.com/office/drawing/2014/chart" uri="{C3380CC4-5D6E-409C-BE32-E72D297353CC}">
              <c16:uniqueId val="{0000000D-A73E-4DCA-B526-958FDE3A74DA}"/>
            </c:ext>
          </c:extLst>
        </c:ser>
        <c:ser>
          <c:idx val="14"/>
          <c:order val="14"/>
          <c:tx>
            <c:strRef>
              <c:f>'Actividas 1,2'!$A$22</c:f>
              <c:strCache>
                <c:ptCount val="1"/>
                <c:pt idx="0">
                  <c:v>2006</c:v>
                </c:pt>
              </c:strCache>
            </c:strRef>
          </c:tx>
          <c:spPr>
            <a:solidFill>
              <a:schemeClr val="accent3">
                <a:lumMod val="80000"/>
                <a:lumOff val="20000"/>
              </a:schemeClr>
            </a:solidFill>
            <a:ln>
              <a:noFill/>
            </a:ln>
            <a:effectLst/>
          </c:spPr>
          <c:invertIfNegative val="0"/>
          <c:val>
            <c:numRef>
              <c:f>'Actividas 1,2'!$B$22</c:f>
              <c:numCache>
                <c:formatCode>General</c:formatCode>
                <c:ptCount val="1"/>
                <c:pt idx="0">
                  <c:v>2.2999999999999998</c:v>
                </c:pt>
              </c:numCache>
            </c:numRef>
          </c:val>
          <c:extLst xmlns:c16r2="http://schemas.microsoft.com/office/drawing/2015/06/chart">
            <c:ext xmlns:c16="http://schemas.microsoft.com/office/drawing/2014/chart" uri="{C3380CC4-5D6E-409C-BE32-E72D297353CC}">
              <c16:uniqueId val="{0000000E-A73E-4DCA-B526-958FDE3A74DA}"/>
            </c:ext>
          </c:extLst>
        </c:ser>
        <c:ser>
          <c:idx val="15"/>
          <c:order val="15"/>
          <c:tx>
            <c:strRef>
              <c:f>'Actividas 1,2'!$A$23</c:f>
              <c:strCache>
                <c:ptCount val="1"/>
                <c:pt idx="0">
                  <c:v>2010</c:v>
                </c:pt>
              </c:strCache>
            </c:strRef>
          </c:tx>
          <c:spPr>
            <a:solidFill>
              <a:schemeClr val="accent4">
                <a:lumMod val="80000"/>
                <a:lumOff val="20000"/>
              </a:schemeClr>
            </a:solidFill>
            <a:ln>
              <a:noFill/>
            </a:ln>
            <a:effectLst/>
          </c:spPr>
          <c:invertIfNegative val="0"/>
          <c:val>
            <c:numRef>
              <c:f>'Actividas 1,2'!$B$23</c:f>
              <c:numCache>
                <c:formatCode>General</c:formatCode>
                <c:ptCount val="1"/>
                <c:pt idx="0">
                  <c:v>2.27</c:v>
                </c:pt>
              </c:numCache>
            </c:numRef>
          </c:val>
          <c:extLst xmlns:c16r2="http://schemas.microsoft.com/office/drawing/2015/06/chart">
            <c:ext xmlns:c16="http://schemas.microsoft.com/office/drawing/2014/chart" uri="{C3380CC4-5D6E-409C-BE32-E72D297353CC}">
              <c16:uniqueId val="{0000000F-A73E-4DCA-B526-958FDE3A74DA}"/>
            </c:ext>
          </c:extLst>
        </c:ser>
        <c:dLbls>
          <c:showLegendKey val="0"/>
          <c:showVal val="0"/>
          <c:showCatName val="0"/>
          <c:showSerName val="0"/>
          <c:showPercent val="0"/>
          <c:showBubbleSize val="0"/>
        </c:dLbls>
        <c:gapWidth val="219"/>
        <c:overlap val="-27"/>
        <c:axId val="195663832"/>
        <c:axId val="195796248"/>
      </c:barChart>
      <c:catAx>
        <c:axId val="195663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5796248"/>
        <c:crosses val="autoZero"/>
        <c:auto val="1"/>
        <c:lblAlgn val="ctr"/>
        <c:lblOffset val="100"/>
        <c:noMultiLvlLbl val="0"/>
      </c:catAx>
      <c:valAx>
        <c:axId val="195796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5663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a:t>X ALTURA PERSONAS EN METROS; Y NUMERO DE PERSONAS</a:t>
            </a:r>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noFill/>
            <a:ln w="25400" cap="flat" cmpd="sng" algn="ctr">
              <a:solidFill>
                <a:schemeClr val="accent1"/>
              </a:solidFill>
              <a:miter lim="800000"/>
            </a:ln>
            <a:effectLst/>
          </c:spPr>
          <c:invertIfNegative val="0"/>
          <c:cat>
            <c:strRef>
              <c:f>'actividad 1,3'!$F$13:$F$16</c:f>
              <c:strCache>
                <c:ptCount val="4"/>
                <c:pt idx="0">
                  <c:v>1,59-1,64</c:v>
                </c:pt>
                <c:pt idx="1">
                  <c:v>1,65-1,7</c:v>
                </c:pt>
                <c:pt idx="2">
                  <c:v>1,71-1,76</c:v>
                </c:pt>
                <c:pt idx="3">
                  <c:v>1,77-1,82</c:v>
                </c:pt>
              </c:strCache>
            </c:strRef>
          </c:cat>
          <c:val>
            <c:numRef>
              <c:f>'actividad 1,3'!$G$13:$G$16</c:f>
              <c:numCache>
                <c:formatCode>General</c:formatCode>
                <c:ptCount val="4"/>
                <c:pt idx="0">
                  <c:v>4</c:v>
                </c:pt>
                <c:pt idx="1">
                  <c:v>2</c:v>
                </c:pt>
                <c:pt idx="2">
                  <c:v>3</c:v>
                </c:pt>
                <c:pt idx="3">
                  <c:v>2</c:v>
                </c:pt>
              </c:numCache>
            </c:numRef>
          </c:val>
          <c:extLst xmlns:c16r2="http://schemas.microsoft.com/office/drawing/2015/06/chart">
            <c:ext xmlns:c16="http://schemas.microsoft.com/office/drawing/2014/chart" uri="{C3380CC4-5D6E-409C-BE32-E72D297353CC}">
              <c16:uniqueId val="{00000000-5A7F-4C18-94C2-EF2805FE124E}"/>
            </c:ext>
          </c:extLst>
        </c:ser>
        <c:dLbls>
          <c:showLegendKey val="0"/>
          <c:showVal val="0"/>
          <c:showCatName val="0"/>
          <c:showSerName val="0"/>
          <c:showPercent val="0"/>
          <c:showBubbleSize val="0"/>
        </c:dLbls>
        <c:gapWidth val="164"/>
        <c:overlap val="-35"/>
        <c:axId val="195067512"/>
        <c:axId val="196038264"/>
      </c:barChart>
      <c:catAx>
        <c:axId val="1950675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196038264"/>
        <c:crosses val="autoZero"/>
        <c:auto val="1"/>
        <c:lblAlgn val="ctr"/>
        <c:lblOffset val="100"/>
        <c:noMultiLvlLbl val="0"/>
      </c:catAx>
      <c:valAx>
        <c:axId val="1960382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195067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baseline="0">
                <a:effectLst/>
              </a:rPr>
              <a:t>Y:ALTURA PERSONAS EN METROS; X NUMERO DE PERSONAS</a:t>
            </a:r>
            <a:endParaRPr lang="en-US" sz="1400">
              <a:effectLst/>
            </a:endParaRPr>
          </a:p>
          <a:p>
            <a:pPr marL="0" marR="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sz="1400"/>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'actividad 1,3'!$G$12</c:f>
              <c:strCache>
                <c:ptCount val="1"/>
                <c:pt idx="0">
                  <c:v>FRECUENCIA</c:v>
                </c:pt>
              </c:strCache>
            </c:strRef>
          </c:tx>
          <c:spPr>
            <a:solidFill>
              <a:schemeClr val="accent1"/>
            </a:solidFill>
            <a:ln>
              <a:noFill/>
            </a:ln>
            <a:effectLst/>
            <a:sp3d/>
          </c:spPr>
          <c:invertIfNegative val="0"/>
          <c:cat>
            <c:strRef>
              <c:f>'actividad 1,3'!$F$13:$F$16</c:f>
              <c:strCache>
                <c:ptCount val="4"/>
                <c:pt idx="0">
                  <c:v>1,59-1,64</c:v>
                </c:pt>
                <c:pt idx="1">
                  <c:v>1,65-1,7</c:v>
                </c:pt>
                <c:pt idx="2">
                  <c:v>1,71-1,76</c:v>
                </c:pt>
                <c:pt idx="3">
                  <c:v>1,77-1,82</c:v>
                </c:pt>
              </c:strCache>
            </c:strRef>
          </c:cat>
          <c:val>
            <c:numRef>
              <c:f>'actividad 1,3'!$G$13:$G$16</c:f>
              <c:numCache>
                <c:formatCode>General</c:formatCode>
                <c:ptCount val="4"/>
                <c:pt idx="0">
                  <c:v>4</c:v>
                </c:pt>
                <c:pt idx="1">
                  <c:v>2</c:v>
                </c:pt>
                <c:pt idx="2">
                  <c:v>3</c:v>
                </c:pt>
                <c:pt idx="3">
                  <c:v>2</c:v>
                </c:pt>
              </c:numCache>
            </c:numRef>
          </c:val>
          <c:extLst xmlns:c16r2="http://schemas.microsoft.com/office/drawing/2015/06/chart">
            <c:ext xmlns:c16="http://schemas.microsoft.com/office/drawing/2014/chart" uri="{C3380CC4-5D6E-409C-BE32-E72D297353CC}">
              <c16:uniqueId val="{00000000-CC2B-4A44-97F3-6B6BAC99F67A}"/>
            </c:ext>
          </c:extLst>
        </c:ser>
        <c:dLbls>
          <c:showLegendKey val="0"/>
          <c:showVal val="0"/>
          <c:showCatName val="0"/>
          <c:showSerName val="0"/>
          <c:showPercent val="0"/>
          <c:showBubbleSize val="0"/>
        </c:dLbls>
        <c:gapWidth val="150"/>
        <c:shape val="box"/>
        <c:axId val="151238472"/>
        <c:axId val="151235728"/>
        <c:axId val="0"/>
      </c:bar3DChart>
      <c:catAx>
        <c:axId val="1512384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1235728"/>
        <c:crosses val="autoZero"/>
        <c:auto val="1"/>
        <c:lblAlgn val="ctr"/>
        <c:lblOffset val="100"/>
        <c:noMultiLvlLbl val="0"/>
      </c:catAx>
      <c:valAx>
        <c:axId val="1512357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12384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ALTURA PERSONAS</a:t>
            </a:r>
            <a:r>
              <a:rPr lang="en-US" baseline="0"/>
              <a:t> EN METROS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'actividad 2,3'!$E$14:$E$17</c:f>
              <c:strCache>
                <c:ptCount val="4"/>
                <c:pt idx="0">
                  <c:v>1,59-1,64</c:v>
                </c:pt>
                <c:pt idx="1">
                  <c:v>1,65-1,7</c:v>
                </c:pt>
                <c:pt idx="2">
                  <c:v>1,71-1,76</c:v>
                </c:pt>
                <c:pt idx="3">
                  <c:v>1,77-1,82</c:v>
                </c:pt>
              </c:strCache>
            </c:strRef>
          </c:cat>
          <c:val>
            <c:numRef>
              <c:f>'actividad 2,3'!$F$14:$F$17</c:f>
              <c:numCache>
                <c:formatCode>General</c:formatCode>
                <c:ptCount val="4"/>
                <c:pt idx="0">
                  <c:v>4</c:v>
                </c:pt>
                <c:pt idx="1">
                  <c:v>2</c:v>
                </c:pt>
                <c:pt idx="2">
                  <c:v>3</c:v>
                </c:pt>
                <c:pt idx="3">
                  <c:v>2</c:v>
                </c:pt>
              </c:numCache>
            </c:numRef>
          </c:val>
          <c:extLst xmlns:c16r2="http://schemas.microsoft.com/office/drawing/2015/06/chart">
            <c:ext xmlns:c16="http://schemas.microsoft.com/office/drawing/2014/chart" uri="{C3380CC4-5D6E-409C-BE32-E72D297353CC}">
              <c16:uniqueId val="{00000000-8D36-4FA0-B908-83343C9E611C}"/>
            </c:ext>
          </c:extLst>
        </c:ser>
        <c:dLbls>
          <c:showLegendKey val="0"/>
          <c:showVal val="0"/>
          <c:showCatName val="0"/>
          <c:showSerName val="0"/>
          <c:showPercent val="0"/>
          <c:showBubbleSize val="0"/>
        </c:dLbls>
        <c:gapWidth val="219"/>
        <c:overlap val="-27"/>
        <c:axId val="151233768"/>
        <c:axId val="151234160"/>
      </c:barChart>
      <c:catAx>
        <c:axId val="151233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1234160"/>
        <c:crosses val="autoZero"/>
        <c:auto val="1"/>
        <c:lblAlgn val="ctr"/>
        <c:lblOffset val="100"/>
        <c:noMultiLvlLbl val="0"/>
      </c:catAx>
      <c:valAx>
        <c:axId val="151234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1233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200" b="1" i="0" u="none" strike="noStrike" kern="1200" baseline="0">
                <a:solidFill>
                  <a:sysClr val="windowText" lastClr="000000">
                    <a:lumMod val="75000"/>
                    <a:lumOff val="25000"/>
                  </a:sysClr>
                </a:solidFill>
                <a:latin typeface="+mn-lt"/>
                <a:ea typeface="+mn-ea"/>
                <a:cs typeface="+mn-cs"/>
              </a:defRPr>
            </a:pPr>
            <a:r>
              <a:rPr lang="en-US" sz="1200" b="0" i="0" baseline="0">
                <a:effectLst/>
              </a:rPr>
              <a:t>ALTURA PERSONAS EN METROS</a:t>
            </a:r>
            <a:endParaRPr lang="en-US" sz="1200">
              <a:effectLst/>
            </a:endParaRPr>
          </a:p>
          <a:p>
            <a:pPr marL="0" marR="0" indent="0" algn="ctr" defTabSz="914400" rtl="0" eaLnBrk="1" fontAlgn="auto" latinLnBrk="0" hangingPunct="1">
              <a:lnSpc>
                <a:spcPct val="100000"/>
              </a:lnSpc>
              <a:spcBef>
                <a:spcPts val="0"/>
              </a:spcBef>
              <a:spcAft>
                <a:spcPts val="0"/>
              </a:spcAft>
              <a:buClrTx/>
              <a:buSzTx/>
              <a:buFontTx/>
              <a:buNone/>
              <a:tabLst/>
              <a:defRPr sz="1200">
                <a:solidFill>
                  <a:sysClr val="windowText" lastClr="000000">
                    <a:lumMod val="75000"/>
                    <a:lumOff val="25000"/>
                  </a:sysClr>
                </a:solidFill>
              </a:defRPr>
            </a:pPr>
            <a:endParaRPr lang="en-US" sz="1200"/>
          </a:p>
        </c:rich>
      </c:tx>
      <c:layout>
        <c:manualLayout>
          <c:xMode val="edge"/>
          <c:yMode val="edge"/>
          <c:x val="0.16297900262467194"/>
          <c:y val="4.6296296296296294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200" b="1" i="0" u="none" strike="noStrike" kern="1200" baseline="0">
              <a:solidFill>
                <a:sysClr val="windowText" lastClr="000000">
                  <a:lumMod val="75000"/>
                  <a:lumOff val="25000"/>
                </a:sysClr>
              </a:solidFill>
              <a:latin typeface="+mn-lt"/>
              <a:ea typeface="+mn-ea"/>
              <a:cs typeface="+mn-cs"/>
            </a:defRPr>
          </a:pPr>
          <a:endParaRPr lang="es-ES"/>
        </a:p>
      </c:txPr>
    </c:title>
    <c:autoTitleDeleted val="0"/>
    <c:plotArea>
      <c:layout/>
      <c:pieChart>
        <c:varyColors val="1"/>
        <c:ser>
          <c:idx val="0"/>
          <c:order val="0"/>
          <c:tx>
            <c:strRef>
              <c:f>'actividad 2,3'!$F$13</c:f>
              <c:strCache>
                <c:ptCount val="1"/>
                <c:pt idx="0">
                  <c:v>FRECUENCIA</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1-5795-4126-B3C8-073067884BE5}"/>
              </c:ext>
            </c:extLst>
          </c:dPt>
          <c:dPt>
            <c:idx val="1"/>
            <c:bubble3D val="0"/>
            <c:spPr>
              <a:solidFill>
                <a:schemeClr val="accent2"/>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3-5795-4126-B3C8-073067884BE5}"/>
              </c:ext>
            </c:extLst>
          </c:dPt>
          <c:dPt>
            <c:idx val="2"/>
            <c:bubble3D val="0"/>
            <c:spPr>
              <a:solidFill>
                <a:schemeClr val="accent3"/>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5-5795-4126-B3C8-073067884BE5}"/>
              </c:ext>
            </c:extLst>
          </c:dPt>
          <c:dPt>
            <c:idx val="3"/>
            <c:bubble3D val="0"/>
            <c:spPr>
              <a:solidFill>
                <a:schemeClr val="accent4"/>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7-5795-4126-B3C8-073067884BE5}"/>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'actividad 2,3'!$E$14:$E$17</c:f>
              <c:strCache>
                <c:ptCount val="4"/>
                <c:pt idx="0">
                  <c:v>1,59-1,64</c:v>
                </c:pt>
                <c:pt idx="1">
                  <c:v>1,65-1,7</c:v>
                </c:pt>
                <c:pt idx="2">
                  <c:v>1,71-1,76</c:v>
                </c:pt>
                <c:pt idx="3">
                  <c:v>1,77-1,82</c:v>
                </c:pt>
              </c:strCache>
            </c:strRef>
          </c:cat>
          <c:val>
            <c:numRef>
              <c:f>'actividad 2,3'!$F$14:$F$17</c:f>
              <c:numCache>
                <c:formatCode>General</c:formatCode>
                <c:ptCount val="4"/>
                <c:pt idx="0">
                  <c:v>4</c:v>
                </c:pt>
                <c:pt idx="1">
                  <c:v>2</c:v>
                </c:pt>
                <c:pt idx="2">
                  <c:v>3</c:v>
                </c:pt>
                <c:pt idx="3">
                  <c:v>2</c:v>
                </c:pt>
              </c:numCache>
            </c:numRef>
          </c:val>
          <c:extLst xmlns:c16r2="http://schemas.microsoft.com/office/drawing/2015/06/chart">
            <c:ext xmlns:c16="http://schemas.microsoft.com/office/drawing/2014/chart" uri="{C3380CC4-5D6E-409C-BE32-E72D297353CC}">
              <c16:uniqueId val="{00000008-5795-4126-B3C8-073067884BE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INTERES SIMPLE/SEMESTRE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spPr>
            <a:ln w="28575" cap="rnd">
              <a:solidFill>
                <a:schemeClr val="accent1"/>
              </a:solidFill>
              <a:round/>
            </a:ln>
            <a:effectLst/>
          </c:spPr>
          <c:marker>
            <c:symbol val="none"/>
          </c:marker>
          <c:cat>
            <c:numRef>
              <c:f>'Atividad 3,2'!$C$12:$C$21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'Atividad 3,2'!$E$12:$E$21</c:f>
              <c:numCache>
                <c:formatCode>"$"#,##0</c:formatCode>
                <c:ptCount val="10"/>
                <c:pt idx="0">
                  <c:v>150000</c:v>
                </c:pt>
                <c:pt idx="1">
                  <c:v>150000</c:v>
                </c:pt>
                <c:pt idx="2">
                  <c:v>150000</c:v>
                </c:pt>
                <c:pt idx="3">
                  <c:v>150000</c:v>
                </c:pt>
                <c:pt idx="4">
                  <c:v>150000</c:v>
                </c:pt>
                <c:pt idx="5">
                  <c:v>150000</c:v>
                </c:pt>
                <c:pt idx="6">
                  <c:v>150000</c:v>
                </c:pt>
                <c:pt idx="7">
                  <c:v>150000</c:v>
                </c:pt>
                <c:pt idx="8">
                  <c:v>150000</c:v>
                </c:pt>
                <c:pt idx="9">
                  <c:v>150000</c:v>
                </c:pt>
              </c:numCache>
            </c:numRef>
          </c:val>
          <c:smooth val="0"/>
          <c:extLst xmlns:c16r2="http://schemas.microsoft.com/office/drawing/2015/06/chart">
            <c:ext xmlns:c16="http://schemas.microsoft.com/office/drawing/2014/chart" uri="{C3380CC4-5D6E-409C-BE32-E72D297353CC}">
              <c16:uniqueId val="{00000000-2384-4732-964E-C8438CBB50CE}"/>
            </c:ext>
          </c:extLst>
        </c:ser>
        <c:dLbls>
          <c:showLegendKey val="0"/>
          <c:showVal val="0"/>
          <c:showCatName val="0"/>
          <c:showSerName val="0"/>
          <c:showPercent val="0"/>
          <c:showBubbleSize val="0"/>
        </c:dLbls>
        <c:smooth val="0"/>
        <c:axId val="151238864"/>
        <c:axId val="151237296"/>
      </c:lineChart>
      <c:catAx>
        <c:axId val="151238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1237296"/>
        <c:crosses val="autoZero"/>
        <c:auto val="1"/>
        <c:lblAlgn val="ctr"/>
        <c:lblOffset val="100"/>
        <c:noMultiLvlLbl val="0"/>
      </c:catAx>
      <c:valAx>
        <c:axId val="1512372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12388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4">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cs:styleClr val="auto">
        <a:lumMod val="50000"/>
      </cs:styleClr>
    </cs:fontRef>
    <cs:defRPr sz="10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
  <cs:dataPoint3D>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chart" Target="../charts/chart8.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6.png"/><Relationship Id="rId7" Type="http://schemas.openxmlformats.org/officeDocument/2006/relationships/image" Target="../media/image10.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 Id="rId9" Type="http://schemas.openxmlformats.org/officeDocument/2006/relationships/image" Target="../media/image1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xdr:from>
      <xdr:col>2</xdr:col>
      <xdr:colOff>202405</xdr:colOff>
      <xdr:row>6</xdr:row>
      <xdr:rowOff>297656</xdr:rowOff>
    </xdr:from>
    <xdr:to>
      <xdr:col>8</xdr:col>
      <xdr:colOff>619124</xdr:colOff>
      <xdr:row>22</xdr:row>
      <xdr:rowOff>71436</xdr:rowOff>
    </xdr:to>
    <xdr:graphicFrame macro="">
      <xdr:nvGraphicFramePr>
        <xdr:cNvPr id="6" name="Gráfico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333375</xdr:colOff>
      <xdr:row>24</xdr:row>
      <xdr:rowOff>23811</xdr:rowOff>
    </xdr:from>
    <xdr:to>
      <xdr:col>8</xdr:col>
      <xdr:colOff>666750</xdr:colOff>
      <xdr:row>43</xdr:row>
      <xdr:rowOff>59531</xdr:rowOff>
    </xdr:to>
    <xdr:graphicFrame macro="">
      <xdr:nvGraphicFramePr>
        <xdr:cNvPr id="7" name="Gráfico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86120</xdr:colOff>
      <xdr:row>2</xdr:row>
      <xdr:rowOff>311944</xdr:rowOff>
    </xdr:from>
    <xdr:to>
      <xdr:col>23</xdr:col>
      <xdr:colOff>107950</xdr:colOff>
      <xdr:row>24</xdr:row>
      <xdr:rowOff>139699</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104774</xdr:colOff>
      <xdr:row>25</xdr:row>
      <xdr:rowOff>152400</xdr:rowOff>
    </xdr:from>
    <xdr:to>
      <xdr:col>23</xdr:col>
      <xdr:colOff>57150</xdr:colOff>
      <xdr:row>52</xdr:row>
      <xdr:rowOff>38100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2</xdr:col>
      <xdr:colOff>0</xdr:colOff>
      <xdr:row>21</xdr:row>
      <xdr:rowOff>22151</xdr:rowOff>
    </xdr:from>
    <xdr:ext cx="1871772" cy="407951"/>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0" y="4022651"/>
          <a:ext cx="1871772" cy="4079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376570</xdr:colOff>
      <xdr:row>26</xdr:row>
      <xdr:rowOff>11075</xdr:rowOff>
    </xdr:from>
    <xdr:ext cx="487324" cy="388901"/>
    <xdr:pic>
      <xdr:nvPicPr>
        <xdr:cNvPr id="3" name="Imagen 2"/>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6155" t="6082" r="3571" b="4788"/>
        <a:stretch/>
      </xdr:blipFill>
      <xdr:spPr bwMode="auto">
        <a:xfrm>
          <a:off x="2662570" y="4964075"/>
          <a:ext cx="487324" cy="38890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xdr:col>
      <xdr:colOff>268137</xdr:colOff>
      <xdr:row>20</xdr:row>
      <xdr:rowOff>64985</xdr:rowOff>
    </xdr:from>
    <xdr:to>
      <xdr:col>9</xdr:col>
      <xdr:colOff>1371480</xdr:colOff>
      <xdr:row>36</xdr:row>
      <xdr:rowOff>155058</xdr:rowOff>
    </xdr:to>
    <xdr:graphicFrame macro="">
      <xdr:nvGraphicFramePr>
        <xdr:cNvPr id="4" name="Grá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1684299</xdr:colOff>
      <xdr:row>20</xdr:row>
      <xdr:rowOff>23232</xdr:rowOff>
    </xdr:from>
    <xdr:to>
      <xdr:col>16</xdr:col>
      <xdr:colOff>241610</xdr:colOff>
      <xdr:row>36</xdr:row>
      <xdr:rowOff>128704</xdr:rowOff>
    </xdr:to>
    <xdr:graphicFrame macro="">
      <xdr:nvGraphicFramePr>
        <xdr:cNvPr id="5" name="Grá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10</xdr:col>
      <xdr:colOff>28573</xdr:colOff>
      <xdr:row>199</xdr:row>
      <xdr:rowOff>29315</xdr:rowOff>
    </xdr:from>
    <xdr:ext cx="2197292" cy="723495"/>
    <xdr:pic>
      <xdr:nvPicPr>
        <xdr:cNvPr id="2" name="Imagen 1"/>
        <xdr:cNvPicPr>
          <a:picLocks noChangeAspect="1"/>
        </xdr:cNvPicPr>
      </xdr:nvPicPr>
      <xdr:blipFill rotWithShape="1">
        <a:blip xmlns:r="http://schemas.openxmlformats.org/officeDocument/2006/relationships" r:embed="rId1"/>
        <a:srcRect l="45153" t="41790" r="42266" b="47425"/>
        <a:stretch/>
      </xdr:blipFill>
      <xdr:spPr>
        <a:xfrm>
          <a:off x="7648573" y="37938815"/>
          <a:ext cx="2197292" cy="723495"/>
        </a:xfrm>
        <a:prstGeom prst="rect">
          <a:avLst/>
        </a:prstGeom>
      </xdr:spPr>
    </xdr:pic>
    <xdr:clientData/>
  </xdr:oneCellAnchor>
  <xdr:oneCellAnchor>
    <xdr:from>
      <xdr:col>17</xdr:col>
      <xdr:colOff>7658</xdr:colOff>
      <xdr:row>109</xdr:row>
      <xdr:rowOff>49637</xdr:rowOff>
    </xdr:from>
    <xdr:ext cx="1489792" cy="700479"/>
    <xdr:pic>
      <xdr:nvPicPr>
        <xdr:cNvPr id="3" name="Imagen 2"/>
        <xdr:cNvPicPr>
          <a:picLocks noChangeAspect="1"/>
        </xdr:cNvPicPr>
      </xdr:nvPicPr>
      <xdr:blipFill rotWithShape="1">
        <a:blip xmlns:r="http://schemas.openxmlformats.org/officeDocument/2006/relationships" r:embed="rId1"/>
        <a:srcRect l="45153" t="30197" r="42266" b="58209"/>
        <a:stretch/>
      </xdr:blipFill>
      <xdr:spPr>
        <a:xfrm>
          <a:off x="12961658" y="20814137"/>
          <a:ext cx="1489792" cy="700479"/>
        </a:xfrm>
        <a:prstGeom prst="rect">
          <a:avLst/>
        </a:prstGeom>
      </xdr:spPr>
    </xdr:pic>
    <xdr:clientData/>
  </xdr:oneCellAnchor>
  <xdr:oneCellAnchor>
    <xdr:from>
      <xdr:col>12</xdr:col>
      <xdr:colOff>26096</xdr:colOff>
      <xdr:row>9</xdr:row>
      <xdr:rowOff>22151</xdr:rowOff>
    </xdr:from>
    <xdr:ext cx="1873599" cy="383464"/>
    <xdr:pic>
      <xdr:nvPicPr>
        <xdr:cNvPr id="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70096" y="1736651"/>
          <a:ext cx="1873599" cy="38346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13</xdr:col>
      <xdr:colOff>1014464</xdr:colOff>
      <xdr:row>13</xdr:row>
      <xdr:rowOff>42524</xdr:rowOff>
    </xdr:from>
    <xdr:ext cx="400444" cy="296723"/>
    <xdr:pic>
      <xdr:nvPicPr>
        <xdr:cNvPr id="5" name="Imagen 4"/>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6155" t="6082" r="3571" b="4788"/>
        <a:stretch/>
      </xdr:blipFill>
      <xdr:spPr bwMode="auto">
        <a:xfrm>
          <a:off x="10663289" y="2519024"/>
          <a:ext cx="400444" cy="2967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4.xml><?xml version="1.0" encoding="utf-8"?>
<xdr:wsDr xmlns:xdr="http://schemas.openxmlformats.org/drawingml/2006/spreadsheetDrawing" xmlns:a="http://schemas.openxmlformats.org/drawingml/2006/main">
  <xdr:oneCellAnchor>
    <xdr:from>
      <xdr:col>1</xdr:col>
      <xdr:colOff>117432</xdr:colOff>
      <xdr:row>22</xdr:row>
      <xdr:rowOff>22151</xdr:rowOff>
    </xdr:from>
    <xdr:ext cx="1871772" cy="402514"/>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9432" y="4213151"/>
          <a:ext cx="1871772" cy="40251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376570</xdr:colOff>
      <xdr:row>27</xdr:row>
      <xdr:rowOff>11075</xdr:rowOff>
    </xdr:from>
    <xdr:ext cx="487324" cy="361984"/>
    <xdr:pic>
      <xdr:nvPicPr>
        <xdr:cNvPr id="3" name="Imagen 2"/>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6155" t="6082" r="3571" b="4788"/>
        <a:stretch/>
      </xdr:blipFill>
      <xdr:spPr bwMode="auto">
        <a:xfrm>
          <a:off x="1900570" y="5154575"/>
          <a:ext cx="487324" cy="36198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4</xdr:col>
      <xdr:colOff>175211</xdr:colOff>
      <xdr:row>18</xdr:row>
      <xdr:rowOff>18522</xdr:rowOff>
    </xdr:from>
    <xdr:to>
      <xdr:col>8</xdr:col>
      <xdr:colOff>1278554</xdr:colOff>
      <xdr:row>34</xdr:row>
      <xdr:rowOff>38900</xdr:rowOff>
    </xdr:to>
    <xdr:graphicFrame macro="">
      <xdr:nvGraphicFramePr>
        <xdr:cNvPr id="4" name="Grá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220701</xdr:colOff>
      <xdr:row>34</xdr:row>
      <xdr:rowOff>149387</xdr:rowOff>
    </xdr:from>
    <xdr:to>
      <xdr:col>8</xdr:col>
      <xdr:colOff>1161585</xdr:colOff>
      <xdr:row>50</xdr:row>
      <xdr:rowOff>131135</xdr:rowOff>
    </xdr:to>
    <xdr:graphicFrame macro="">
      <xdr:nvGraphicFramePr>
        <xdr:cNvPr id="5" name="Grá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134063</xdr:colOff>
      <xdr:row>25</xdr:row>
      <xdr:rowOff>55715</xdr:rowOff>
    </xdr:from>
    <xdr:to>
      <xdr:col>7</xdr:col>
      <xdr:colOff>74220</xdr:colOff>
      <xdr:row>42</xdr:row>
      <xdr:rowOff>111332</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423058</xdr:colOff>
      <xdr:row>25</xdr:row>
      <xdr:rowOff>49481</xdr:rowOff>
    </xdr:from>
    <xdr:to>
      <xdr:col>14</xdr:col>
      <xdr:colOff>160811</xdr:colOff>
      <xdr:row>42</xdr:row>
      <xdr:rowOff>160813</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61382</xdr:colOff>
      <xdr:row>22</xdr:row>
      <xdr:rowOff>49742</xdr:rowOff>
    </xdr:from>
    <xdr:to>
      <xdr:col>6</xdr:col>
      <xdr:colOff>1068917</xdr:colOff>
      <xdr:row>43</xdr:row>
      <xdr:rowOff>31750</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oneCellAnchor>
    <xdr:from>
      <xdr:col>2</xdr:col>
      <xdr:colOff>100939</xdr:colOff>
      <xdr:row>5</xdr:row>
      <xdr:rowOff>1175725</xdr:rowOff>
    </xdr:from>
    <xdr:ext cx="2264230" cy="1574263"/>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24939" y="1147150"/>
          <a:ext cx="2264230" cy="157426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114627</xdr:colOff>
      <xdr:row>10</xdr:row>
      <xdr:rowOff>58575</xdr:rowOff>
    </xdr:from>
    <xdr:ext cx="1814140" cy="1062113"/>
    <xdr:pic>
      <xdr:nvPicPr>
        <xdr:cNvPr id="3" name="Imagen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6627" y="1963575"/>
          <a:ext cx="1814140" cy="106211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148441</xdr:colOff>
      <xdr:row>4</xdr:row>
      <xdr:rowOff>0</xdr:rowOff>
    </xdr:from>
    <xdr:ext cx="6459683" cy="1476440"/>
    <xdr:pic>
      <xdr:nvPicPr>
        <xdr:cNvPr id="4" name="Imagen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720441" y="762000"/>
          <a:ext cx="6459683" cy="147644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619940</xdr:colOff>
      <xdr:row>5</xdr:row>
      <xdr:rowOff>232179</xdr:rowOff>
    </xdr:from>
    <xdr:ext cx="2573923" cy="1896834"/>
    <xdr:pic>
      <xdr:nvPicPr>
        <xdr:cNvPr id="5" name="Imagen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239940" y="1146579"/>
          <a:ext cx="2573923" cy="1896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74689</xdr:colOff>
      <xdr:row>5</xdr:row>
      <xdr:rowOff>205630</xdr:rowOff>
    </xdr:from>
    <xdr:ext cx="3156808" cy="1952625"/>
    <xdr:pic>
      <xdr:nvPicPr>
        <xdr:cNvPr id="6" name="Imagen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646689" y="1139080"/>
          <a:ext cx="3156808" cy="19526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10468</xdr:colOff>
      <xdr:row>10</xdr:row>
      <xdr:rowOff>55059</xdr:rowOff>
    </xdr:from>
    <xdr:ext cx="1567200" cy="724990"/>
    <xdr:pic>
      <xdr:nvPicPr>
        <xdr:cNvPr id="7" name="Imagen 6"/>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82468" y="1960059"/>
          <a:ext cx="1567200" cy="72499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10468</xdr:colOff>
      <xdr:row>10</xdr:row>
      <xdr:rowOff>55059</xdr:rowOff>
    </xdr:from>
    <xdr:ext cx="1570055" cy="709766"/>
    <xdr:pic>
      <xdr:nvPicPr>
        <xdr:cNvPr id="8" name="Imagen 7"/>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392468" y="1960059"/>
          <a:ext cx="1570055" cy="70976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12370</xdr:colOff>
      <xdr:row>14</xdr:row>
      <xdr:rowOff>24740</xdr:rowOff>
    </xdr:from>
    <xdr:ext cx="3057896" cy="1603169"/>
    <xdr:pic>
      <xdr:nvPicPr>
        <xdr:cNvPr id="9" name="Imagen 8"/>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584370" y="2691740"/>
          <a:ext cx="3057896" cy="160316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24742</xdr:colOff>
      <xdr:row>23</xdr:row>
      <xdr:rowOff>12370</xdr:rowOff>
    </xdr:from>
    <xdr:ext cx="1408474" cy="460169"/>
    <xdr:pic>
      <xdr:nvPicPr>
        <xdr:cNvPr id="10" name="Imagen 9"/>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120742" y="4393870"/>
          <a:ext cx="1408474" cy="46016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4</xdr:row>
      <xdr:rowOff>0</xdr:rowOff>
    </xdr:from>
    <xdr:ext cx="4317100" cy="2691741"/>
    <xdr:pic>
      <xdr:nvPicPr>
        <xdr:cNvPr id="11" name="Imagen 10"/>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0" y="762000"/>
          <a:ext cx="4317100" cy="269174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8.xml><?xml version="1.0" encoding="utf-8"?>
<xdr:wsDr xmlns:xdr="http://schemas.openxmlformats.org/drawingml/2006/spreadsheetDrawing" xmlns:a="http://schemas.openxmlformats.org/drawingml/2006/main">
  <xdr:oneCellAnchor>
    <xdr:from>
      <xdr:col>0</xdr:col>
      <xdr:colOff>323850</xdr:colOff>
      <xdr:row>7</xdr:row>
      <xdr:rowOff>190499</xdr:rowOff>
    </xdr:from>
    <xdr:ext cx="2619375" cy="971551"/>
    <xdr:pic>
      <xdr:nvPicPr>
        <xdr:cNvPr id="2" name="Imagen 1"/>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13559"/>
        <a:stretch/>
      </xdr:blipFill>
      <xdr:spPr bwMode="auto">
        <a:xfrm>
          <a:off x="323850" y="1523999"/>
          <a:ext cx="2619375" cy="9715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5"/>
  <sheetViews>
    <sheetView zoomScale="50" zoomScaleNormal="50" workbookViewId="0">
      <selection activeCell="A6" sqref="A6:I6"/>
    </sheetView>
  </sheetViews>
  <sheetFormatPr baseColWidth="10" defaultRowHeight="15" x14ac:dyDescent="0.25"/>
  <cols>
    <col min="1" max="1" width="18.140625" style="1" customWidth="1"/>
    <col min="2" max="2" width="18.42578125" customWidth="1"/>
    <col min="10" max="10" width="4.42578125" style="9" customWidth="1"/>
    <col min="25" max="25" width="9.7109375" style="14" customWidth="1"/>
  </cols>
  <sheetData>
    <row r="1" spans="1:25" ht="15" customHeight="1" thickTop="1" x14ac:dyDescent="0.25">
      <c r="A1" s="172" t="s">
        <v>4</v>
      </c>
      <c r="B1" s="173"/>
      <c r="C1" s="173"/>
      <c r="D1" s="173"/>
      <c r="E1" s="173"/>
      <c r="F1" s="173"/>
      <c r="G1" s="173"/>
      <c r="H1" s="173"/>
      <c r="I1" s="173"/>
      <c r="J1" s="173"/>
      <c r="K1" s="173"/>
      <c r="L1" s="173"/>
      <c r="M1" s="173"/>
      <c r="N1" s="173"/>
      <c r="O1" s="173"/>
      <c r="P1" s="173"/>
      <c r="Q1" s="173"/>
      <c r="R1" s="173"/>
      <c r="S1" s="173"/>
      <c r="T1" s="173"/>
      <c r="U1" s="173"/>
      <c r="V1" s="173"/>
      <c r="W1" s="173"/>
      <c r="X1" s="174"/>
    </row>
    <row r="2" spans="1:25" ht="15" customHeight="1" thickBot="1" x14ac:dyDescent="0.3">
      <c r="A2" s="175"/>
      <c r="B2" s="176"/>
      <c r="C2" s="176"/>
      <c r="D2" s="176"/>
      <c r="E2" s="176"/>
      <c r="F2" s="176"/>
      <c r="G2" s="176"/>
      <c r="H2" s="176"/>
      <c r="I2" s="176"/>
      <c r="J2" s="176"/>
      <c r="K2" s="176"/>
      <c r="L2" s="176"/>
      <c r="M2" s="176"/>
      <c r="N2" s="176"/>
      <c r="O2" s="176"/>
      <c r="P2" s="176"/>
      <c r="Q2" s="176"/>
      <c r="R2" s="176"/>
      <c r="S2" s="176"/>
      <c r="T2" s="176"/>
      <c r="U2" s="176"/>
      <c r="V2" s="176"/>
      <c r="W2" s="176"/>
      <c r="X2" s="177"/>
    </row>
    <row r="3" spans="1:25" ht="36.75" customHeight="1" thickTop="1" x14ac:dyDescent="0.3">
      <c r="A3" s="181" t="s">
        <v>2</v>
      </c>
      <c r="B3" s="181"/>
      <c r="C3" s="181"/>
      <c r="D3" s="181"/>
      <c r="E3" s="181"/>
      <c r="F3" s="181"/>
      <c r="G3" s="181"/>
      <c r="H3" s="181"/>
      <c r="I3" s="181"/>
      <c r="J3" s="7"/>
      <c r="K3" s="10"/>
      <c r="L3" s="10"/>
      <c r="M3" s="10"/>
      <c r="N3" s="11"/>
      <c r="O3" s="11"/>
      <c r="P3" s="11"/>
      <c r="Q3" s="11"/>
      <c r="R3" s="11"/>
      <c r="S3" s="11"/>
      <c r="T3" s="11"/>
      <c r="U3" s="11"/>
      <c r="V3" s="11"/>
      <c r="W3" s="11"/>
      <c r="X3" s="11"/>
    </row>
    <row r="4" spans="1:25" ht="21.75" customHeight="1" x14ac:dyDescent="0.3">
      <c r="A4" s="181"/>
      <c r="B4" s="181"/>
      <c r="C4" s="181"/>
      <c r="D4" s="181"/>
      <c r="E4" s="181"/>
      <c r="F4" s="181"/>
      <c r="G4" s="181"/>
      <c r="H4" s="181"/>
      <c r="I4" s="181"/>
      <c r="J4" s="7"/>
      <c r="K4" s="10"/>
      <c r="L4" s="10"/>
      <c r="M4" s="10"/>
      <c r="N4" s="11"/>
      <c r="O4" s="11"/>
      <c r="P4" s="11"/>
      <c r="Q4" s="11"/>
      <c r="R4" s="11"/>
      <c r="S4" s="11"/>
      <c r="T4" s="11"/>
      <c r="U4" s="11"/>
      <c r="V4" s="11"/>
      <c r="W4" s="11"/>
      <c r="X4" s="11"/>
    </row>
    <row r="5" spans="1:25" s="5" customFormat="1" ht="18" customHeight="1" x14ac:dyDescent="0.3">
      <c r="A5" s="6"/>
      <c r="B5" s="6"/>
      <c r="C5" s="6"/>
      <c r="D5" s="6"/>
      <c r="E5" s="6"/>
      <c r="F5" s="6"/>
      <c r="G5" s="6"/>
      <c r="H5" s="6"/>
      <c r="I5" s="6"/>
      <c r="J5" s="6"/>
      <c r="K5" s="12"/>
      <c r="L5" s="12"/>
      <c r="M5" s="12"/>
      <c r="N5" s="11"/>
      <c r="O5" s="11"/>
      <c r="P5" s="11"/>
      <c r="Q5" s="11"/>
      <c r="R5" s="11"/>
      <c r="S5" s="11"/>
      <c r="T5" s="11"/>
      <c r="U5" s="11"/>
      <c r="V5" s="11"/>
      <c r="W5" s="11"/>
      <c r="X5" s="11"/>
      <c r="Y5" s="14"/>
    </row>
    <row r="6" spans="1:25" ht="36.75" customHeight="1" x14ac:dyDescent="0.55000000000000004">
      <c r="A6" s="180" t="s">
        <v>3</v>
      </c>
      <c r="B6" s="180"/>
      <c r="C6" s="180"/>
      <c r="D6" s="180"/>
      <c r="E6" s="180"/>
      <c r="F6" s="180"/>
      <c r="G6" s="180"/>
      <c r="H6" s="180"/>
      <c r="I6" s="180"/>
      <c r="J6" s="8"/>
      <c r="K6" s="13"/>
      <c r="L6" s="13"/>
      <c r="M6" s="13"/>
      <c r="N6" s="11"/>
      <c r="O6" s="11"/>
      <c r="P6" s="11"/>
      <c r="Q6" s="11"/>
      <c r="R6" s="11"/>
      <c r="S6" s="11"/>
      <c r="T6" s="11"/>
      <c r="U6" s="11"/>
      <c r="V6" s="11"/>
      <c r="W6" s="11"/>
      <c r="X6" s="11"/>
    </row>
    <row r="7" spans="1:25" ht="31.5" customHeight="1" x14ac:dyDescent="0.25">
      <c r="A7" s="2" t="s">
        <v>1</v>
      </c>
      <c r="B7" s="3" t="s">
        <v>0</v>
      </c>
      <c r="C7" s="179"/>
      <c r="D7" s="179"/>
      <c r="E7" s="179"/>
      <c r="F7" s="179"/>
      <c r="G7" s="179"/>
      <c r="H7" s="179"/>
      <c r="I7" s="179"/>
      <c r="K7" s="11"/>
      <c r="L7" s="11"/>
      <c r="M7" s="11"/>
      <c r="N7" s="11"/>
      <c r="O7" s="11"/>
      <c r="P7" s="11"/>
      <c r="Q7" s="11"/>
      <c r="R7" s="11"/>
      <c r="S7" s="11"/>
      <c r="T7" s="11"/>
      <c r="U7" s="11"/>
      <c r="V7" s="11"/>
      <c r="W7" s="11"/>
      <c r="X7" s="11"/>
    </row>
    <row r="8" spans="1:25" ht="18.75" x14ac:dyDescent="0.3">
      <c r="A8" s="4">
        <v>1950</v>
      </c>
      <c r="B8" s="4">
        <v>4</v>
      </c>
      <c r="C8" s="179"/>
      <c r="D8" s="179"/>
      <c r="E8" s="179"/>
      <c r="F8" s="179"/>
      <c r="G8" s="179"/>
      <c r="H8" s="179"/>
      <c r="I8" s="179"/>
      <c r="K8" s="11"/>
      <c r="L8" s="11"/>
      <c r="M8" s="11"/>
      <c r="N8" s="11"/>
      <c r="O8" s="11"/>
      <c r="P8" s="11"/>
      <c r="Q8" s="11"/>
      <c r="R8" s="11"/>
      <c r="S8" s="11"/>
      <c r="T8" s="11"/>
      <c r="U8" s="11"/>
      <c r="V8" s="11"/>
      <c r="W8" s="11"/>
      <c r="X8" s="11"/>
    </row>
    <row r="9" spans="1:25" ht="18.75" x14ac:dyDescent="0.3">
      <c r="A9" s="4">
        <v>1954</v>
      </c>
      <c r="B9" s="4">
        <v>5.36</v>
      </c>
      <c r="C9" s="179"/>
      <c r="D9" s="179"/>
      <c r="E9" s="179"/>
      <c r="F9" s="179"/>
      <c r="G9" s="179"/>
      <c r="H9" s="179"/>
      <c r="I9" s="179"/>
      <c r="K9" s="11"/>
      <c r="L9" s="11"/>
      <c r="M9" s="11"/>
      <c r="N9" s="11"/>
      <c r="O9" s="11"/>
      <c r="P9" s="11"/>
      <c r="Q9" s="11"/>
      <c r="R9" s="11"/>
      <c r="S9" s="11"/>
      <c r="T9" s="11"/>
      <c r="U9" s="11"/>
      <c r="V9" s="11"/>
      <c r="W9" s="11"/>
      <c r="X9" s="11"/>
    </row>
    <row r="10" spans="1:25" ht="18.75" x14ac:dyDescent="0.3">
      <c r="A10" s="4">
        <v>1958</v>
      </c>
      <c r="B10" s="4">
        <v>3.6</v>
      </c>
      <c r="C10" s="179"/>
      <c r="D10" s="179"/>
      <c r="E10" s="179"/>
      <c r="F10" s="179"/>
      <c r="G10" s="179"/>
      <c r="H10" s="179"/>
      <c r="I10" s="179"/>
      <c r="K10" s="11"/>
      <c r="L10" s="11"/>
      <c r="M10" s="11"/>
      <c r="N10" s="11"/>
      <c r="O10" s="11"/>
      <c r="P10" s="11"/>
      <c r="Q10" s="11"/>
      <c r="R10" s="11"/>
      <c r="S10" s="11"/>
      <c r="T10" s="11"/>
      <c r="U10" s="11"/>
      <c r="V10" s="11"/>
      <c r="W10" s="11"/>
      <c r="X10" s="11"/>
    </row>
    <row r="11" spans="1:25" ht="18.75" x14ac:dyDescent="0.3">
      <c r="A11" s="4">
        <v>1962</v>
      </c>
      <c r="B11" s="4">
        <v>2.78</v>
      </c>
      <c r="C11" s="179"/>
      <c r="D11" s="179"/>
      <c r="E11" s="179"/>
      <c r="F11" s="179"/>
      <c r="G11" s="179"/>
      <c r="H11" s="179"/>
      <c r="I11" s="179"/>
      <c r="K11" s="11"/>
      <c r="L11" s="11"/>
      <c r="M11" s="11"/>
      <c r="N11" s="11"/>
      <c r="O11" s="11"/>
      <c r="P11" s="11"/>
      <c r="Q11" s="11"/>
      <c r="R11" s="11"/>
      <c r="S11" s="11"/>
      <c r="T11" s="11"/>
      <c r="U11" s="11"/>
      <c r="V11" s="11"/>
      <c r="W11" s="11"/>
      <c r="X11" s="11"/>
    </row>
    <row r="12" spans="1:25" ht="18.75" x14ac:dyDescent="0.3">
      <c r="A12" s="4">
        <v>1966</v>
      </c>
      <c r="B12" s="4">
        <v>2.78</v>
      </c>
      <c r="C12" s="179"/>
      <c r="D12" s="179"/>
      <c r="E12" s="179"/>
      <c r="F12" s="179"/>
      <c r="G12" s="179"/>
      <c r="H12" s="179"/>
      <c r="I12" s="179"/>
      <c r="K12" s="11"/>
      <c r="L12" s="11"/>
      <c r="M12" s="11"/>
      <c r="N12" s="11"/>
      <c r="O12" s="11"/>
      <c r="P12" s="11"/>
      <c r="Q12" s="11"/>
      <c r="R12" s="11"/>
      <c r="S12" s="11"/>
      <c r="T12" s="11"/>
      <c r="U12" s="11"/>
      <c r="V12" s="11"/>
      <c r="W12" s="11"/>
      <c r="X12" s="11"/>
    </row>
    <row r="13" spans="1:25" ht="18.75" x14ac:dyDescent="0.3">
      <c r="A13" s="4">
        <v>1970</v>
      </c>
      <c r="B13" s="4">
        <v>2.97</v>
      </c>
      <c r="C13" s="179"/>
      <c r="D13" s="179"/>
      <c r="E13" s="179"/>
      <c r="F13" s="179"/>
      <c r="G13" s="179"/>
      <c r="H13" s="179"/>
      <c r="I13" s="179"/>
      <c r="K13" s="11"/>
      <c r="L13" s="11"/>
      <c r="M13" s="11"/>
      <c r="N13" s="11"/>
      <c r="O13" s="11"/>
      <c r="P13" s="11"/>
      <c r="Q13" s="11"/>
      <c r="R13" s="11"/>
      <c r="S13" s="11"/>
      <c r="T13" s="11"/>
      <c r="U13" s="11"/>
      <c r="V13" s="11"/>
      <c r="W13" s="11"/>
      <c r="X13" s="11"/>
    </row>
    <row r="14" spans="1:25" ht="18.75" x14ac:dyDescent="0.3">
      <c r="A14" s="4">
        <v>1974</v>
      </c>
      <c r="B14" s="4">
        <v>2.5499999999999998</v>
      </c>
      <c r="C14" s="179"/>
      <c r="D14" s="179"/>
      <c r="E14" s="179"/>
      <c r="F14" s="179"/>
      <c r="G14" s="179"/>
      <c r="H14" s="179"/>
      <c r="I14" s="179"/>
      <c r="K14" s="11"/>
      <c r="L14" s="11"/>
      <c r="M14" s="11"/>
      <c r="N14" s="11"/>
      <c r="O14" s="11"/>
      <c r="P14" s="11"/>
      <c r="Q14" s="11"/>
      <c r="R14" s="11"/>
      <c r="S14" s="11"/>
      <c r="T14" s="11"/>
      <c r="U14" s="11"/>
      <c r="V14" s="11"/>
      <c r="W14" s="11"/>
      <c r="X14" s="11"/>
    </row>
    <row r="15" spans="1:25" ht="18.75" x14ac:dyDescent="0.3">
      <c r="A15" s="4">
        <v>1978</v>
      </c>
      <c r="B15" s="4">
        <v>2.68</v>
      </c>
      <c r="C15" s="179"/>
      <c r="D15" s="179"/>
      <c r="E15" s="179"/>
      <c r="F15" s="179"/>
      <c r="G15" s="179"/>
      <c r="H15" s="179"/>
      <c r="I15" s="179"/>
      <c r="K15" s="11"/>
      <c r="L15" s="11"/>
      <c r="M15" s="11"/>
      <c r="N15" s="11"/>
      <c r="O15" s="11"/>
      <c r="P15" s="11"/>
      <c r="Q15" s="11"/>
      <c r="R15" s="11"/>
      <c r="S15" s="11"/>
      <c r="T15" s="11"/>
      <c r="U15" s="11"/>
      <c r="V15" s="11"/>
      <c r="W15" s="11"/>
      <c r="X15" s="11"/>
    </row>
    <row r="16" spans="1:25" ht="18.75" x14ac:dyDescent="0.3">
      <c r="A16" s="4">
        <v>1982</v>
      </c>
      <c r="B16" s="4">
        <v>2.81</v>
      </c>
      <c r="C16" s="179"/>
      <c r="D16" s="179"/>
      <c r="E16" s="179"/>
      <c r="F16" s="179"/>
      <c r="G16" s="179"/>
      <c r="H16" s="179"/>
      <c r="I16" s="179"/>
      <c r="K16" s="11"/>
      <c r="L16" s="11"/>
      <c r="M16" s="11"/>
      <c r="N16" s="11"/>
      <c r="O16" s="11"/>
      <c r="P16" s="11"/>
      <c r="Q16" s="11"/>
      <c r="R16" s="11"/>
      <c r="S16" s="11"/>
      <c r="T16" s="11"/>
      <c r="U16" s="11"/>
      <c r="V16" s="11"/>
      <c r="W16" s="11"/>
      <c r="X16" s="11"/>
    </row>
    <row r="17" spans="1:24" ht="18.75" x14ac:dyDescent="0.3">
      <c r="A17" s="4">
        <v>1986</v>
      </c>
      <c r="B17" s="4">
        <v>2.54</v>
      </c>
      <c r="C17" s="179"/>
      <c r="D17" s="179"/>
      <c r="E17" s="179"/>
      <c r="F17" s="179"/>
      <c r="G17" s="179"/>
      <c r="H17" s="179"/>
      <c r="I17" s="179"/>
      <c r="K17" s="11"/>
      <c r="L17" s="11"/>
      <c r="M17" s="11"/>
      <c r="N17" s="11"/>
      <c r="O17" s="11"/>
      <c r="P17" s="11"/>
      <c r="Q17" s="11"/>
      <c r="R17" s="11"/>
      <c r="S17" s="11"/>
      <c r="T17" s="11"/>
      <c r="U17" s="11"/>
      <c r="V17" s="11"/>
      <c r="W17" s="11"/>
      <c r="X17" s="11"/>
    </row>
    <row r="18" spans="1:24" ht="18.75" x14ac:dyDescent="0.3">
      <c r="A18" s="4">
        <v>1990</v>
      </c>
      <c r="B18" s="4">
        <v>2.21</v>
      </c>
      <c r="C18" s="179"/>
      <c r="D18" s="179"/>
      <c r="E18" s="179"/>
      <c r="F18" s="179"/>
      <c r="G18" s="179"/>
      <c r="H18" s="179"/>
      <c r="I18" s="179"/>
      <c r="K18" s="11"/>
      <c r="L18" s="11"/>
      <c r="M18" s="11"/>
      <c r="N18" s="11"/>
      <c r="O18" s="11"/>
      <c r="P18" s="11"/>
      <c r="Q18" s="11"/>
      <c r="R18" s="11"/>
      <c r="S18" s="11"/>
      <c r="T18" s="11"/>
      <c r="U18" s="11"/>
      <c r="V18" s="11"/>
      <c r="W18" s="11"/>
      <c r="X18" s="11"/>
    </row>
    <row r="19" spans="1:24" ht="18.75" x14ac:dyDescent="0.3">
      <c r="A19" s="4">
        <v>1994</v>
      </c>
      <c r="B19" s="4">
        <v>2.71</v>
      </c>
      <c r="C19" s="179"/>
      <c r="D19" s="179"/>
      <c r="E19" s="179"/>
      <c r="F19" s="179"/>
      <c r="G19" s="179"/>
      <c r="H19" s="179"/>
      <c r="I19" s="179"/>
      <c r="K19" s="11"/>
      <c r="L19" s="11"/>
      <c r="M19" s="11"/>
      <c r="N19" s="11"/>
      <c r="O19" s="11"/>
      <c r="P19" s="11"/>
      <c r="Q19" s="11"/>
      <c r="R19" s="11"/>
      <c r="S19" s="11"/>
      <c r="T19" s="11"/>
      <c r="U19" s="11"/>
      <c r="V19" s="11"/>
      <c r="W19" s="11"/>
      <c r="X19" s="11"/>
    </row>
    <row r="20" spans="1:24" ht="18.75" x14ac:dyDescent="0.3">
      <c r="A20" s="4">
        <v>1998</v>
      </c>
      <c r="B20" s="4">
        <v>2.67</v>
      </c>
      <c r="C20" s="179"/>
      <c r="D20" s="179"/>
      <c r="E20" s="179"/>
      <c r="F20" s="179"/>
      <c r="G20" s="179"/>
      <c r="H20" s="179"/>
      <c r="I20" s="179"/>
      <c r="K20" s="11"/>
      <c r="L20" s="11"/>
      <c r="M20" s="11"/>
      <c r="N20" s="11"/>
      <c r="O20" s="11"/>
      <c r="P20" s="11"/>
      <c r="Q20" s="11"/>
      <c r="R20" s="11"/>
      <c r="S20" s="11"/>
      <c r="T20" s="11"/>
      <c r="U20" s="11"/>
      <c r="V20" s="11"/>
      <c r="W20" s="11"/>
      <c r="X20" s="11"/>
    </row>
    <row r="21" spans="1:24" ht="18.75" x14ac:dyDescent="0.3">
      <c r="A21" s="4">
        <v>2002</v>
      </c>
      <c r="B21" s="4">
        <v>2.52</v>
      </c>
      <c r="C21" s="179"/>
      <c r="D21" s="179"/>
      <c r="E21" s="179"/>
      <c r="F21" s="179"/>
      <c r="G21" s="179"/>
      <c r="H21" s="179"/>
      <c r="I21" s="179"/>
      <c r="K21" s="11"/>
      <c r="L21" s="11"/>
      <c r="M21" s="11"/>
      <c r="N21" s="11"/>
      <c r="O21" s="11"/>
      <c r="P21" s="11"/>
      <c r="Q21" s="11"/>
      <c r="R21" s="11"/>
      <c r="S21" s="11"/>
      <c r="T21" s="11"/>
      <c r="U21" s="11"/>
      <c r="V21" s="11"/>
      <c r="W21" s="11"/>
      <c r="X21" s="11"/>
    </row>
    <row r="22" spans="1:24" ht="18.75" x14ac:dyDescent="0.3">
      <c r="A22" s="4">
        <v>2006</v>
      </c>
      <c r="B22" s="4">
        <v>2.2999999999999998</v>
      </c>
      <c r="C22" s="179"/>
      <c r="D22" s="179"/>
      <c r="E22" s="179"/>
      <c r="F22" s="179"/>
      <c r="G22" s="179"/>
      <c r="H22" s="179"/>
      <c r="I22" s="179"/>
      <c r="K22" s="11"/>
      <c r="L22" s="11"/>
      <c r="M22" s="11"/>
      <c r="N22" s="11"/>
      <c r="O22" s="11"/>
      <c r="P22" s="11"/>
      <c r="Q22" s="11"/>
      <c r="R22" s="11"/>
      <c r="S22" s="11"/>
      <c r="T22" s="11"/>
      <c r="U22" s="11"/>
      <c r="V22" s="11"/>
      <c r="W22" s="11"/>
      <c r="X22" s="11"/>
    </row>
    <row r="23" spans="1:24" ht="18.75" x14ac:dyDescent="0.3">
      <c r="A23" s="4">
        <v>2010</v>
      </c>
      <c r="B23" s="4">
        <v>2.27</v>
      </c>
      <c r="C23" s="179"/>
      <c r="D23" s="179"/>
      <c r="E23" s="179"/>
      <c r="F23" s="179"/>
      <c r="G23" s="179"/>
      <c r="H23" s="179"/>
      <c r="I23" s="179"/>
      <c r="K23" s="11"/>
      <c r="L23" s="11"/>
      <c r="M23" s="11"/>
      <c r="N23" s="11"/>
      <c r="O23" s="11"/>
      <c r="P23" s="11"/>
      <c r="Q23" s="11"/>
      <c r="R23" s="11"/>
      <c r="S23" s="11"/>
      <c r="T23" s="11"/>
      <c r="U23" s="11"/>
      <c r="V23" s="11"/>
      <c r="W23" s="11"/>
      <c r="X23" s="11"/>
    </row>
    <row r="24" spans="1:24" x14ac:dyDescent="0.25">
      <c r="A24" s="178"/>
      <c r="B24" s="178"/>
      <c r="C24" s="178"/>
      <c r="D24" s="178"/>
      <c r="E24" s="178"/>
      <c r="F24" s="178"/>
      <c r="G24" s="178"/>
      <c r="H24" s="178"/>
      <c r="I24" s="178"/>
      <c r="K24" s="11"/>
      <c r="L24" s="11"/>
      <c r="M24" s="11"/>
      <c r="N24" s="11"/>
      <c r="O24" s="11"/>
      <c r="P24" s="11"/>
      <c r="Q24" s="11"/>
      <c r="R24" s="11"/>
      <c r="S24" s="11"/>
      <c r="T24" s="11"/>
      <c r="U24" s="11"/>
      <c r="V24" s="11"/>
      <c r="W24" s="11"/>
      <c r="X24" s="11"/>
    </row>
    <row r="25" spans="1:24" x14ac:dyDescent="0.25">
      <c r="A25" s="178"/>
      <c r="B25" s="178"/>
      <c r="C25" s="178"/>
      <c r="D25" s="178"/>
      <c r="E25" s="178"/>
      <c r="F25" s="178"/>
      <c r="G25" s="178"/>
      <c r="H25" s="178"/>
      <c r="I25" s="178"/>
      <c r="K25" s="11"/>
      <c r="L25" s="11"/>
      <c r="M25" s="11"/>
      <c r="N25" s="11"/>
      <c r="O25" s="11"/>
      <c r="P25" s="11"/>
      <c r="Q25" s="11"/>
      <c r="R25" s="11"/>
      <c r="S25" s="11"/>
      <c r="T25" s="11"/>
      <c r="U25" s="11"/>
      <c r="V25" s="11"/>
      <c r="W25" s="11"/>
      <c r="X25" s="11"/>
    </row>
    <row r="26" spans="1:24" x14ac:dyDescent="0.25">
      <c r="A26" s="178"/>
      <c r="B26" s="178"/>
      <c r="C26" s="178"/>
      <c r="D26" s="178"/>
      <c r="E26" s="178"/>
      <c r="F26" s="178"/>
      <c r="G26" s="178"/>
      <c r="H26" s="178"/>
      <c r="I26" s="178"/>
      <c r="K26" s="11"/>
      <c r="L26" s="11"/>
      <c r="M26" s="11"/>
      <c r="N26" s="11"/>
      <c r="O26" s="11"/>
      <c r="P26" s="11"/>
      <c r="Q26" s="11"/>
      <c r="R26" s="11"/>
      <c r="S26" s="11"/>
      <c r="T26" s="11"/>
      <c r="U26" s="11"/>
      <c r="V26" s="11"/>
      <c r="W26" s="11"/>
      <c r="X26" s="11"/>
    </row>
    <row r="27" spans="1:24" x14ac:dyDescent="0.25">
      <c r="A27" s="178"/>
      <c r="B27" s="178"/>
      <c r="C27" s="178"/>
      <c r="D27" s="178"/>
      <c r="E27" s="178"/>
      <c r="F27" s="178"/>
      <c r="G27" s="178"/>
      <c r="H27" s="178"/>
      <c r="I27" s="178"/>
      <c r="K27" s="11"/>
      <c r="L27" s="11"/>
      <c r="M27" s="11"/>
      <c r="N27" s="11"/>
      <c r="O27" s="11"/>
      <c r="P27" s="11"/>
      <c r="Q27" s="11"/>
      <c r="R27" s="11"/>
      <c r="S27" s="11"/>
      <c r="T27" s="11"/>
      <c r="U27" s="11"/>
      <c r="V27" s="11"/>
      <c r="W27" s="11"/>
      <c r="X27" s="11"/>
    </row>
    <row r="28" spans="1:24" x14ac:dyDescent="0.25">
      <c r="A28" s="178"/>
      <c r="B28" s="178"/>
      <c r="C28" s="178"/>
      <c r="D28" s="178"/>
      <c r="E28" s="178"/>
      <c r="F28" s="178"/>
      <c r="G28" s="178"/>
      <c r="H28" s="178"/>
      <c r="I28" s="178"/>
      <c r="K28" s="11"/>
      <c r="L28" s="11"/>
      <c r="M28" s="11"/>
      <c r="N28" s="11"/>
      <c r="O28" s="11"/>
      <c r="P28" s="11"/>
      <c r="Q28" s="11"/>
      <c r="R28" s="11"/>
      <c r="S28" s="11"/>
      <c r="T28" s="11"/>
      <c r="U28" s="11"/>
      <c r="V28" s="11"/>
      <c r="W28" s="11"/>
      <c r="X28" s="11"/>
    </row>
    <row r="29" spans="1:24" x14ac:dyDescent="0.25">
      <c r="A29" s="178"/>
      <c r="B29" s="178"/>
      <c r="C29" s="178"/>
      <c r="D29" s="178"/>
      <c r="E29" s="178"/>
      <c r="F29" s="178"/>
      <c r="G29" s="178"/>
      <c r="H29" s="178"/>
      <c r="I29" s="178"/>
      <c r="K29" s="11"/>
      <c r="L29" s="11"/>
      <c r="M29" s="11"/>
      <c r="N29" s="11"/>
      <c r="O29" s="11"/>
      <c r="P29" s="11"/>
      <c r="Q29" s="11"/>
      <c r="R29" s="11"/>
      <c r="S29" s="11"/>
      <c r="T29" s="11"/>
      <c r="U29" s="11"/>
      <c r="V29" s="11"/>
      <c r="W29" s="11"/>
      <c r="X29" s="11"/>
    </row>
    <row r="30" spans="1:24" x14ac:dyDescent="0.25">
      <c r="A30" s="178"/>
      <c r="B30" s="178"/>
      <c r="C30" s="178"/>
      <c r="D30" s="178"/>
      <c r="E30" s="178"/>
      <c r="F30" s="178"/>
      <c r="G30" s="178"/>
      <c r="H30" s="178"/>
      <c r="I30" s="178"/>
      <c r="K30" s="11"/>
      <c r="L30" s="11"/>
      <c r="M30" s="11"/>
      <c r="N30" s="11"/>
      <c r="O30" s="11"/>
      <c r="P30" s="11"/>
      <c r="Q30" s="11"/>
      <c r="R30" s="11"/>
      <c r="S30" s="11"/>
      <c r="T30" s="11"/>
      <c r="U30" s="11"/>
      <c r="V30" s="11"/>
      <c r="W30" s="11"/>
      <c r="X30" s="11"/>
    </row>
    <row r="31" spans="1:24" x14ac:dyDescent="0.25">
      <c r="A31" s="178"/>
      <c r="B31" s="178"/>
      <c r="C31" s="178"/>
      <c r="D31" s="178"/>
      <c r="E31" s="178"/>
      <c r="F31" s="178"/>
      <c r="G31" s="178"/>
      <c r="H31" s="178"/>
      <c r="I31" s="178"/>
      <c r="K31" s="11"/>
      <c r="L31" s="11"/>
      <c r="M31" s="11"/>
      <c r="N31" s="11"/>
      <c r="O31" s="11"/>
      <c r="P31" s="11"/>
      <c r="Q31" s="11"/>
      <c r="R31" s="11"/>
      <c r="S31" s="11"/>
      <c r="T31" s="11"/>
      <c r="U31" s="11"/>
      <c r="V31" s="11"/>
      <c r="W31" s="11"/>
      <c r="X31" s="11"/>
    </row>
    <row r="32" spans="1:24" x14ac:dyDescent="0.25">
      <c r="A32" s="178"/>
      <c r="B32" s="178"/>
      <c r="C32" s="178"/>
      <c r="D32" s="178"/>
      <c r="E32" s="178"/>
      <c r="F32" s="178"/>
      <c r="G32" s="178"/>
      <c r="H32" s="178"/>
      <c r="I32" s="178"/>
      <c r="K32" s="11"/>
      <c r="L32" s="11"/>
      <c r="M32" s="11"/>
      <c r="N32" s="11"/>
      <c r="O32" s="11"/>
      <c r="P32" s="11"/>
      <c r="Q32" s="11"/>
      <c r="R32" s="11"/>
      <c r="S32" s="11"/>
      <c r="T32" s="11"/>
      <c r="U32" s="11"/>
      <c r="V32" s="11"/>
      <c r="W32" s="11"/>
      <c r="X32" s="11"/>
    </row>
    <row r="33" spans="1:24" x14ac:dyDescent="0.25">
      <c r="A33" s="178"/>
      <c r="B33" s="178"/>
      <c r="C33" s="178"/>
      <c r="D33" s="178"/>
      <c r="E33" s="178"/>
      <c r="F33" s="178"/>
      <c r="G33" s="178"/>
      <c r="H33" s="178"/>
      <c r="I33" s="178"/>
      <c r="K33" s="11"/>
      <c r="L33" s="11"/>
      <c r="M33" s="11"/>
      <c r="N33" s="11"/>
      <c r="O33" s="11"/>
      <c r="P33" s="11"/>
      <c r="Q33" s="11"/>
      <c r="R33" s="11"/>
      <c r="S33" s="11"/>
      <c r="T33" s="11"/>
      <c r="U33" s="11"/>
      <c r="V33" s="11"/>
      <c r="W33" s="11"/>
      <c r="X33" s="11"/>
    </row>
    <row r="34" spans="1:24" x14ac:dyDescent="0.25">
      <c r="A34" s="178"/>
      <c r="B34" s="178"/>
      <c r="C34" s="178"/>
      <c r="D34" s="178"/>
      <c r="E34" s="178"/>
      <c r="F34" s="178"/>
      <c r="G34" s="178"/>
      <c r="H34" s="178"/>
      <c r="I34" s="178"/>
      <c r="K34" s="11"/>
      <c r="L34" s="11"/>
      <c r="M34" s="11"/>
      <c r="N34" s="11"/>
      <c r="O34" s="11"/>
      <c r="P34" s="11"/>
      <c r="Q34" s="11"/>
      <c r="R34" s="11"/>
      <c r="S34" s="11"/>
      <c r="T34" s="11"/>
      <c r="U34" s="11"/>
      <c r="V34" s="11"/>
      <c r="W34" s="11"/>
      <c r="X34" s="11"/>
    </row>
    <row r="35" spans="1:24" x14ac:dyDescent="0.25">
      <c r="A35" s="178"/>
      <c r="B35" s="178"/>
      <c r="C35" s="178"/>
      <c r="D35" s="178"/>
      <c r="E35" s="178"/>
      <c r="F35" s="178"/>
      <c r="G35" s="178"/>
      <c r="H35" s="178"/>
      <c r="I35" s="178"/>
      <c r="K35" s="11"/>
      <c r="L35" s="11"/>
      <c r="M35" s="11"/>
      <c r="N35" s="11"/>
      <c r="O35" s="11"/>
      <c r="P35" s="11"/>
      <c r="Q35" s="11"/>
      <c r="R35" s="11"/>
      <c r="S35" s="11"/>
      <c r="T35" s="11"/>
      <c r="U35" s="11"/>
      <c r="V35" s="11"/>
      <c r="W35" s="11"/>
      <c r="X35" s="11"/>
    </row>
    <row r="36" spans="1:24" x14ac:dyDescent="0.25">
      <c r="A36" s="178"/>
      <c r="B36" s="178"/>
      <c r="C36" s="178"/>
      <c r="D36" s="178"/>
      <c r="E36" s="178"/>
      <c r="F36" s="178"/>
      <c r="G36" s="178"/>
      <c r="H36" s="178"/>
      <c r="I36" s="178"/>
      <c r="K36" s="11"/>
      <c r="L36" s="11"/>
      <c r="M36" s="11"/>
      <c r="N36" s="11"/>
      <c r="O36" s="11"/>
      <c r="P36" s="11"/>
      <c r="Q36" s="11"/>
      <c r="R36" s="11"/>
      <c r="S36" s="11"/>
      <c r="T36" s="11"/>
      <c r="U36" s="11"/>
      <c r="V36" s="11"/>
      <c r="W36" s="11"/>
      <c r="X36" s="11"/>
    </row>
    <row r="37" spans="1:24" x14ac:dyDescent="0.25">
      <c r="A37" s="178"/>
      <c r="B37" s="178"/>
      <c r="C37" s="178"/>
      <c r="D37" s="178"/>
      <c r="E37" s="178"/>
      <c r="F37" s="178"/>
      <c r="G37" s="178"/>
      <c r="H37" s="178"/>
      <c r="I37" s="178"/>
      <c r="K37" s="11"/>
      <c r="L37" s="11"/>
      <c r="M37" s="11"/>
      <c r="N37" s="11"/>
      <c r="O37" s="11"/>
      <c r="P37" s="11"/>
      <c r="Q37" s="11"/>
      <c r="R37" s="11"/>
      <c r="S37" s="11"/>
      <c r="T37" s="11"/>
      <c r="U37" s="11"/>
      <c r="V37" s="11"/>
      <c r="W37" s="11"/>
      <c r="X37" s="11"/>
    </row>
    <row r="38" spans="1:24" x14ac:dyDescent="0.25">
      <c r="A38" s="178"/>
      <c r="B38" s="178"/>
      <c r="C38" s="178"/>
      <c r="D38" s="178"/>
      <c r="E38" s="178"/>
      <c r="F38" s="178"/>
      <c r="G38" s="178"/>
      <c r="H38" s="178"/>
      <c r="I38" s="178"/>
      <c r="K38" s="11"/>
      <c r="L38" s="11"/>
      <c r="M38" s="11"/>
      <c r="N38" s="11"/>
      <c r="O38" s="11"/>
      <c r="P38" s="11"/>
      <c r="Q38" s="11"/>
      <c r="R38" s="11"/>
      <c r="S38" s="11"/>
      <c r="T38" s="11"/>
      <c r="U38" s="11"/>
      <c r="V38" s="11"/>
      <c r="W38" s="11"/>
      <c r="X38" s="11"/>
    </row>
    <row r="39" spans="1:24" x14ac:dyDescent="0.25">
      <c r="A39" s="178"/>
      <c r="B39" s="178"/>
      <c r="C39" s="178"/>
      <c r="D39" s="178"/>
      <c r="E39" s="178"/>
      <c r="F39" s="178"/>
      <c r="G39" s="178"/>
      <c r="H39" s="178"/>
      <c r="I39" s="178"/>
      <c r="K39" s="11"/>
      <c r="L39" s="11"/>
      <c r="M39" s="11"/>
      <c r="N39" s="11"/>
      <c r="O39" s="11"/>
      <c r="P39" s="11"/>
      <c r="Q39" s="11"/>
      <c r="R39" s="11"/>
      <c r="S39" s="11"/>
      <c r="T39" s="11"/>
      <c r="U39" s="11"/>
      <c r="V39" s="11"/>
      <c r="W39" s="11"/>
      <c r="X39" s="11"/>
    </row>
    <row r="40" spans="1:24" x14ac:dyDescent="0.25">
      <c r="A40" s="178"/>
      <c r="B40" s="178"/>
      <c r="C40" s="178"/>
      <c r="D40" s="178"/>
      <c r="E40" s="178"/>
      <c r="F40" s="178"/>
      <c r="G40" s="178"/>
      <c r="H40" s="178"/>
      <c r="I40" s="178"/>
      <c r="K40" s="11"/>
      <c r="L40" s="11"/>
      <c r="M40" s="11"/>
      <c r="N40" s="11"/>
      <c r="O40" s="11"/>
      <c r="P40" s="11"/>
      <c r="Q40" s="11"/>
      <c r="R40" s="11"/>
      <c r="S40" s="11"/>
      <c r="T40" s="11"/>
      <c r="U40" s="11"/>
      <c r="V40" s="11"/>
      <c r="W40" s="11"/>
      <c r="X40" s="11"/>
    </row>
    <row r="41" spans="1:24" x14ac:dyDescent="0.25">
      <c r="A41" s="178"/>
      <c r="B41" s="178"/>
      <c r="C41" s="178"/>
      <c r="D41" s="178"/>
      <c r="E41" s="178"/>
      <c r="F41" s="178"/>
      <c r="G41" s="178"/>
      <c r="H41" s="178"/>
      <c r="I41" s="178"/>
      <c r="K41" s="11"/>
      <c r="L41" s="11"/>
      <c r="M41" s="11"/>
      <c r="N41" s="11"/>
      <c r="O41" s="11"/>
      <c r="P41" s="11"/>
      <c r="Q41" s="11"/>
      <c r="R41" s="11"/>
      <c r="S41" s="11"/>
      <c r="T41" s="11"/>
      <c r="U41" s="11"/>
      <c r="V41" s="11"/>
      <c r="W41" s="11"/>
      <c r="X41" s="11"/>
    </row>
    <row r="42" spans="1:24" x14ac:dyDescent="0.25">
      <c r="A42" s="178"/>
      <c r="B42" s="178"/>
      <c r="C42" s="178"/>
      <c r="D42" s="178"/>
      <c r="E42" s="178"/>
      <c r="F42" s="178"/>
      <c r="G42" s="178"/>
      <c r="H42" s="178"/>
      <c r="I42" s="178"/>
      <c r="K42" s="11"/>
      <c r="L42" s="11"/>
      <c r="M42" s="11"/>
      <c r="N42" s="11"/>
      <c r="O42" s="11"/>
      <c r="P42" s="11"/>
      <c r="Q42" s="11"/>
      <c r="R42" s="11"/>
      <c r="S42" s="11"/>
      <c r="T42" s="11"/>
      <c r="U42" s="11"/>
      <c r="V42" s="11"/>
      <c r="W42" s="11"/>
      <c r="X42" s="11"/>
    </row>
    <row r="43" spans="1:24" x14ac:dyDescent="0.25">
      <c r="A43" s="178"/>
      <c r="B43" s="178"/>
      <c r="C43" s="178"/>
      <c r="D43" s="178"/>
      <c r="E43" s="178"/>
      <c r="F43" s="178"/>
      <c r="G43" s="178"/>
      <c r="H43" s="178"/>
      <c r="I43" s="178"/>
      <c r="K43" s="11"/>
      <c r="L43" s="11"/>
      <c r="M43" s="11"/>
      <c r="N43" s="11"/>
      <c r="O43" s="11"/>
      <c r="P43" s="11"/>
      <c r="Q43" s="11"/>
      <c r="R43" s="11"/>
      <c r="S43" s="11"/>
      <c r="T43" s="11"/>
      <c r="U43" s="11"/>
      <c r="V43" s="11"/>
      <c r="W43" s="11"/>
      <c r="X43" s="11"/>
    </row>
    <row r="44" spans="1:24" x14ac:dyDescent="0.25">
      <c r="A44" s="178"/>
      <c r="B44" s="178"/>
      <c r="C44" s="178"/>
      <c r="D44" s="178"/>
      <c r="E44" s="178"/>
      <c r="F44" s="178"/>
      <c r="G44" s="178"/>
      <c r="H44" s="178"/>
      <c r="I44" s="178"/>
      <c r="K44" s="11"/>
      <c r="L44" s="11"/>
      <c r="M44" s="11"/>
      <c r="N44" s="11"/>
      <c r="O44" s="11"/>
      <c r="P44" s="11"/>
      <c r="Q44" s="11"/>
      <c r="R44" s="11"/>
      <c r="S44" s="11"/>
      <c r="T44" s="11"/>
      <c r="U44" s="11"/>
      <c r="V44" s="11"/>
      <c r="W44" s="11"/>
      <c r="X44" s="11"/>
    </row>
    <row r="45" spans="1:24" x14ac:dyDescent="0.25">
      <c r="K45" s="11"/>
      <c r="L45" s="11"/>
      <c r="M45" s="11"/>
      <c r="N45" s="11"/>
      <c r="O45" s="11"/>
      <c r="P45" s="11"/>
      <c r="Q45" s="11"/>
      <c r="R45" s="11"/>
      <c r="S45" s="11"/>
      <c r="T45" s="11"/>
      <c r="U45" s="11"/>
      <c r="V45" s="11"/>
      <c r="W45" s="11"/>
      <c r="X45" s="11"/>
    </row>
    <row r="46" spans="1:24" x14ac:dyDescent="0.25">
      <c r="K46" s="11"/>
      <c r="L46" s="11"/>
      <c r="M46" s="11"/>
      <c r="N46" s="11"/>
      <c r="O46" s="11"/>
      <c r="P46" s="11"/>
      <c r="Q46" s="11"/>
      <c r="R46" s="11"/>
      <c r="S46" s="11"/>
      <c r="T46" s="11"/>
      <c r="U46" s="11"/>
      <c r="V46" s="11"/>
      <c r="W46" s="11"/>
      <c r="X46" s="11"/>
    </row>
    <row r="47" spans="1:24" x14ac:dyDescent="0.25">
      <c r="K47" s="11"/>
      <c r="L47" s="11"/>
      <c r="M47" s="11"/>
      <c r="N47" s="11"/>
      <c r="O47" s="11"/>
      <c r="P47" s="11"/>
      <c r="Q47" s="11"/>
      <c r="R47" s="11"/>
      <c r="S47" s="11"/>
      <c r="T47" s="11"/>
      <c r="U47" s="11"/>
      <c r="V47" s="11"/>
      <c r="W47" s="11"/>
      <c r="X47" s="11"/>
    </row>
    <row r="48" spans="1:24" x14ac:dyDescent="0.25">
      <c r="K48" s="11"/>
      <c r="L48" s="11"/>
      <c r="M48" s="11"/>
      <c r="N48" s="11"/>
      <c r="O48" s="11"/>
      <c r="P48" s="11"/>
      <c r="Q48" s="11"/>
      <c r="R48" s="11"/>
      <c r="S48" s="11"/>
      <c r="T48" s="11"/>
      <c r="U48" s="11"/>
      <c r="V48" s="11"/>
      <c r="W48" s="11"/>
      <c r="X48" s="11"/>
    </row>
    <row r="49" spans="11:24" x14ac:dyDescent="0.25">
      <c r="K49" s="11"/>
      <c r="L49" s="11"/>
      <c r="M49" s="11"/>
      <c r="N49" s="11"/>
      <c r="O49" s="11"/>
      <c r="P49" s="11"/>
      <c r="Q49" s="11"/>
      <c r="R49" s="11"/>
      <c r="S49" s="11"/>
      <c r="T49" s="11"/>
      <c r="U49" s="11"/>
      <c r="V49" s="11"/>
      <c r="W49" s="11"/>
      <c r="X49" s="11"/>
    </row>
    <row r="50" spans="11:24" x14ac:dyDescent="0.25">
      <c r="K50" s="11"/>
      <c r="L50" s="11"/>
      <c r="M50" s="11"/>
      <c r="N50" s="11"/>
      <c r="O50" s="11"/>
      <c r="P50" s="11"/>
      <c r="Q50" s="11"/>
      <c r="R50" s="11"/>
      <c r="S50" s="11"/>
      <c r="T50" s="11"/>
      <c r="U50" s="11"/>
      <c r="V50" s="11"/>
      <c r="W50" s="11"/>
      <c r="X50" s="11"/>
    </row>
    <row r="51" spans="11:24" x14ac:dyDescent="0.25">
      <c r="K51" s="11"/>
      <c r="L51" s="11"/>
      <c r="M51" s="11"/>
      <c r="N51" s="11"/>
      <c r="O51" s="11"/>
      <c r="P51" s="11"/>
      <c r="Q51" s="11"/>
      <c r="R51" s="11"/>
      <c r="S51" s="11"/>
      <c r="T51" s="11"/>
      <c r="U51" s="11"/>
      <c r="V51" s="11"/>
      <c r="W51" s="11"/>
      <c r="X51" s="11"/>
    </row>
    <row r="52" spans="11:24" x14ac:dyDescent="0.25">
      <c r="K52" s="11"/>
      <c r="L52" s="11"/>
      <c r="M52" s="11"/>
      <c r="N52" s="11"/>
      <c r="O52" s="11"/>
      <c r="P52" s="11"/>
      <c r="Q52" s="11"/>
      <c r="R52" s="11"/>
      <c r="S52" s="11"/>
      <c r="T52" s="11"/>
      <c r="U52" s="11"/>
      <c r="V52" s="11"/>
      <c r="W52" s="11"/>
      <c r="X52" s="11"/>
    </row>
    <row r="53" spans="11:24" x14ac:dyDescent="0.25">
      <c r="K53" s="11"/>
      <c r="L53" s="11"/>
      <c r="M53" s="11"/>
      <c r="N53" s="11"/>
      <c r="O53" s="11"/>
      <c r="P53" s="11"/>
      <c r="Q53" s="11"/>
      <c r="R53" s="11"/>
      <c r="S53" s="11"/>
      <c r="T53" s="11"/>
      <c r="U53" s="11"/>
      <c r="V53" s="11"/>
      <c r="W53" s="11"/>
      <c r="X53" s="11"/>
    </row>
    <row r="54" spans="11:24" x14ac:dyDescent="0.25">
      <c r="K54" s="11"/>
      <c r="L54" s="11"/>
      <c r="M54" s="11"/>
      <c r="N54" s="11"/>
      <c r="O54" s="11"/>
      <c r="P54" s="11"/>
      <c r="Q54" s="11"/>
      <c r="R54" s="11"/>
      <c r="S54" s="11"/>
      <c r="T54" s="11"/>
      <c r="U54" s="11"/>
      <c r="V54" s="11"/>
      <c r="W54" s="11"/>
      <c r="X54" s="11"/>
    </row>
    <row r="55" spans="11:24" x14ac:dyDescent="0.25">
      <c r="K55" s="11"/>
      <c r="L55" s="11"/>
      <c r="M55" s="11"/>
      <c r="N55" s="11"/>
      <c r="O55" s="11"/>
      <c r="P55" s="11"/>
      <c r="Q55" s="11"/>
      <c r="R55" s="11"/>
      <c r="S55" s="11"/>
      <c r="T55" s="11"/>
      <c r="U55" s="11"/>
      <c r="V55" s="11"/>
      <c r="W55" s="11"/>
      <c r="X55" s="11"/>
    </row>
  </sheetData>
  <mergeCells count="5">
    <mergeCell ref="A1:X2"/>
    <mergeCell ref="A24:I44"/>
    <mergeCell ref="C7:I23"/>
    <mergeCell ref="A6:I6"/>
    <mergeCell ref="A3:I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zoomScale="48" zoomScaleNormal="48" workbookViewId="0">
      <selection activeCell="O5" sqref="O5"/>
    </sheetView>
  </sheetViews>
  <sheetFormatPr baseColWidth="10" defaultRowHeight="15" x14ac:dyDescent="0.25"/>
  <cols>
    <col min="2" max="2" width="9.85546875" customWidth="1"/>
    <col min="3" max="3" width="29.5703125" customWidth="1"/>
    <col min="4" max="4" width="18.42578125" customWidth="1"/>
    <col min="6" max="6" width="21.42578125" customWidth="1"/>
    <col min="7" max="7" width="13.42578125" customWidth="1"/>
    <col min="8" max="8" width="11.42578125" customWidth="1"/>
    <col min="9" max="9" width="18" customWidth="1"/>
    <col min="10" max="10" width="26.28515625" customWidth="1"/>
    <col min="11" max="11" width="15.5703125" customWidth="1"/>
  </cols>
  <sheetData>
    <row r="1" spans="1:17" x14ac:dyDescent="0.25">
      <c r="A1" s="15"/>
      <c r="B1" s="15"/>
      <c r="C1" s="15"/>
      <c r="D1" s="15"/>
      <c r="E1" s="15"/>
      <c r="F1" s="15"/>
      <c r="G1" s="15"/>
      <c r="H1" s="15"/>
      <c r="I1" s="15"/>
      <c r="J1" s="15"/>
      <c r="K1" s="15"/>
      <c r="L1" s="15"/>
      <c r="M1" s="15"/>
      <c r="N1" s="15"/>
      <c r="O1" s="15"/>
      <c r="P1" s="15"/>
      <c r="Q1" s="15"/>
    </row>
    <row r="2" spans="1:17" ht="111.75" customHeight="1" x14ac:dyDescent="0.25">
      <c r="A2" s="15"/>
      <c r="B2" s="182" t="s">
        <v>39</v>
      </c>
      <c r="C2" s="182"/>
      <c r="D2" s="182"/>
      <c r="E2" s="182"/>
      <c r="F2" s="182"/>
      <c r="G2" s="182"/>
      <c r="H2" s="182"/>
      <c r="I2" s="182"/>
      <c r="J2" s="182"/>
      <c r="K2" s="182"/>
      <c r="L2" s="182"/>
      <c r="M2" s="15"/>
      <c r="N2" s="15"/>
      <c r="O2" s="15"/>
      <c r="P2" s="15"/>
      <c r="Q2" s="15"/>
    </row>
    <row r="3" spans="1:17" x14ac:dyDescent="0.25">
      <c r="A3" s="15"/>
      <c r="B3" s="15"/>
      <c r="C3" s="15"/>
      <c r="D3" s="15"/>
      <c r="E3" s="15"/>
      <c r="F3" s="15"/>
      <c r="G3" s="15"/>
      <c r="H3" s="15"/>
      <c r="I3" s="15"/>
      <c r="J3" s="15"/>
      <c r="K3" s="15"/>
      <c r="L3" s="15"/>
      <c r="M3" s="15"/>
      <c r="N3" s="15"/>
      <c r="O3" s="15"/>
      <c r="P3" s="15"/>
      <c r="Q3" s="15"/>
    </row>
    <row r="4" spans="1:17" ht="15.75" thickBot="1" x14ac:dyDescent="0.3">
      <c r="A4" s="15"/>
      <c r="B4" s="15"/>
      <c r="C4" s="15"/>
      <c r="D4" s="15"/>
      <c r="E4" s="15"/>
      <c r="F4" s="15"/>
      <c r="G4" s="15"/>
      <c r="H4" s="15"/>
      <c r="I4" s="15"/>
      <c r="J4" s="15"/>
      <c r="K4" s="15"/>
      <c r="L4" s="15"/>
      <c r="M4" s="15"/>
      <c r="N4" s="15"/>
      <c r="O4" s="15"/>
      <c r="P4" s="15"/>
      <c r="Q4" s="15"/>
    </row>
    <row r="5" spans="1:17" ht="16.5" thickTop="1" thickBot="1" x14ac:dyDescent="0.3">
      <c r="A5" s="15"/>
      <c r="B5" s="15"/>
      <c r="C5" s="25" t="s">
        <v>38</v>
      </c>
      <c r="D5" s="24" t="s">
        <v>37</v>
      </c>
      <c r="E5" s="15"/>
      <c r="F5" s="23" t="s">
        <v>29</v>
      </c>
      <c r="G5" s="23" t="s">
        <v>28</v>
      </c>
      <c r="H5" s="15"/>
      <c r="I5" s="15"/>
      <c r="J5" s="15"/>
      <c r="K5" s="15"/>
      <c r="L5" s="15"/>
      <c r="M5" s="15"/>
      <c r="N5" s="15"/>
      <c r="O5" s="15"/>
      <c r="P5" s="15"/>
      <c r="Q5" s="15"/>
    </row>
    <row r="6" spans="1:17" ht="15.75" thickBot="1" x14ac:dyDescent="0.3">
      <c r="A6" s="15"/>
      <c r="B6" s="15"/>
      <c r="C6" s="22" t="s">
        <v>36</v>
      </c>
      <c r="D6" s="21">
        <v>1.73</v>
      </c>
      <c r="E6" s="15"/>
      <c r="F6" s="18" t="s">
        <v>22</v>
      </c>
      <c r="G6" s="18">
        <v>4</v>
      </c>
      <c r="H6" s="15"/>
      <c r="I6" s="15"/>
      <c r="J6" s="15"/>
      <c r="K6" s="15"/>
      <c r="L6" s="15"/>
      <c r="M6" s="15"/>
      <c r="N6" s="15"/>
      <c r="O6" s="15"/>
      <c r="P6" s="15"/>
      <c r="Q6" s="15"/>
    </row>
    <row r="7" spans="1:17" ht="15.75" thickBot="1" x14ac:dyDescent="0.3">
      <c r="A7" s="15"/>
      <c r="B7" s="15"/>
      <c r="C7" s="22" t="s">
        <v>35</v>
      </c>
      <c r="D7" s="21">
        <v>1.75</v>
      </c>
      <c r="E7" s="15"/>
      <c r="F7" s="18" t="s">
        <v>20</v>
      </c>
      <c r="G7" s="18">
        <v>2</v>
      </c>
      <c r="H7" s="15"/>
      <c r="I7" s="15"/>
      <c r="J7" s="15"/>
      <c r="K7" s="15"/>
      <c r="L7" s="15"/>
      <c r="M7" s="15"/>
      <c r="N7" s="15"/>
      <c r="O7" s="15"/>
      <c r="P7" s="15"/>
      <c r="Q7" s="15"/>
    </row>
    <row r="8" spans="1:17" ht="15.75" thickBot="1" x14ac:dyDescent="0.3">
      <c r="A8" s="15"/>
      <c r="B8" s="15"/>
      <c r="C8" s="22" t="s">
        <v>34</v>
      </c>
      <c r="D8" s="21">
        <v>1.65</v>
      </c>
      <c r="E8" s="15"/>
      <c r="F8" s="18" t="s">
        <v>18</v>
      </c>
      <c r="G8" s="18">
        <v>3</v>
      </c>
      <c r="H8" s="15"/>
      <c r="I8" s="15"/>
      <c r="J8" s="15"/>
      <c r="K8" s="15"/>
      <c r="L8" s="15"/>
      <c r="M8" s="15"/>
      <c r="N8" s="15"/>
      <c r="O8" s="15"/>
      <c r="P8" s="15"/>
      <c r="Q8" s="15"/>
    </row>
    <row r="9" spans="1:17" ht="15.75" thickBot="1" x14ac:dyDescent="0.3">
      <c r="A9" s="15"/>
      <c r="B9" s="15"/>
      <c r="C9" s="22" t="s">
        <v>33</v>
      </c>
      <c r="D9" s="21">
        <v>1.6</v>
      </c>
      <c r="E9" s="15"/>
      <c r="F9" s="18" t="s">
        <v>16</v>
      </c>
      <c r="G9" s="18">
        <v>2</v>
      </c>
      <c r="H9" s="15"/>
      <c r="I9" s="15"/>
      <c r="J9" s="15"/>
      <c r="K9" s="15"/>
      <c r="L9" s="15"/>
      <c r="M9" s="15"/>
      <c r="N9" s="15"/>
      <c r="O9" s="15"/>
      <c r="P9" s="15"/>
      <c r="Q9" s="15"/>
    </row>
    <row r="10" spans="1:17" ht="15.75" thickBot="1" x14ac:dyDescent="0.3">
      <c r="A10" s="15"/>
      <c r="B10" s="15"/>
      <c r="C10" s="22" t="s">
        <v>32</v>
      </c>
      <c r="D10" s="21">
        <v>1.62</v>
      </c>
      <c r="E10" s="15"/>
      <c r="H10" s="15"/>
      <c r="I10" s="15"/>
      <c r="J10" s="15"/>
      <c r="K10" s="15"/>
      <c r="L10" s="15"/>
      <c r="M10" s="15"/>
      <c r="N10" s="15"/>
      <c r="O10" s="15"/>
      <c r="P10" s="15"/>
      <c r="Q10" s="15"/>
    </row>
    <row r="11" spans="1:17" ht="15.75" thickBot="1" x14ac:dyDescent="0.3">
      <c r="A11" s="15"/>
      <c r="B11" s="15"/>
      <c r="C11" s="22" t="s">
        <v>31</v>
      </c>
      <c r="D11" s="21">
        <v>1.68</v>
      </c>
      <c r="E11" s="15"/>
      <c r="H11" s="15"/>
      <c r="I11" s="15"/>
      <c r="J11" s="15"/>
      <c r="K11" s="15"/>
      <c r="L11" s="15"/>
      <c r="M11" s="15"/>
      <c r="N11" s="15"/>
      <c r="O11" s="15"/>
      <c r="P11" s="15"/>
      <c r="Q11" s="15"/>
    </row>
    <row r="12" spans="1:17" ht="15.75" thickBot="1" x14ac:dyDescent="0.3">
      <c r="A12" s="15"/>
      <c r="B12" s="15"/>
      <c r="C12" s="22" t="s">
        <v>30</v>
      </c>
      <c r="D12" s="21">
        <v>1.78</v>
      </c>
      <c r="E12" s="15"/>
      <c r="F12" s="23" t="s">
        <v>29</v>
      </c>
      <c r="G12" s="23" t="s">
        <v>28</v>
      </c>
      <c r="H12" s="23" t="s">
        <v>27</v>
      </c>
      <c r="I12" s="23" t="s">
        <v>26</v>
      </c>
      <c r="J12" s="23" t="s">
        <v>25</v>
      </c>
      <c r="K12" s="23" t="s">
        <v>24</v>
      </c>
      <c r="L12" s="15"/>
      <c r="M12" s="15"/>
      <c r="N12" s="15"/>
      <c r="O12" s="15"/>
      <c r="P12" s="15"/>
      <c r="Q12" s="15"/>
    </row>
    <row r="13" spans="1:17" ht="15.75" thickBot="1" x14ac:dyDescent="0.3">
      <c r="A13" s="15"/>
      <c r="B13" s="15"/>
      <c r="C13" s="22" t="s">
        <v>23</v>
      </c>
      <c r="D13" s="21">
        <v>1.75</v>
      </c>
      <c r="E13" s="15"/>
      <c r="F13" s="18" t="s">
        <v>22</v>
      </c>
      <c r="G13" s="18">
        <v>4</v>
      </c>
      <c r="H13" s="18">
        <f>G13/11</f>
        <v>0.36363636363636365</v>
      </c>
      <c r="I13" s="18">
        <f>G13</f>
        <v>4</v>
      </c>
      <c r="J13" s="18">
        <f>H13</f>
        <v>0.36363636363636365</v>
      </c>
      <c r="K13" s="17">
        <f>J13</f>
        <v>0.36363636363636365</v>
      </c>
      <c r="L13" s="15"/>
      <c r="M13" s="15"/>
      <c r="N13" s="15"/>
      <c r="O13" s="15"/>
      <c r="P13" s="15"/>
      <c r="Q13" s="15"/>
    </row>
    <row r="14" spans="1:17" ht="15.75" thickBot="1" x14ac:dyDescent="0.3">
      <c r="A14" s="15"/>
      <c r="B14" s="15"/>
      <c r="C14" s="22" t="s">
        <v>21</v>
      </c>
      <c r="D14" s="21">
        <v>1.7</v>
      </c>
      <c r="E14" s="15"/>
      <c r="F14" s="18" t="s">
        <v>20</v>
      </c>
      <c r="G14" s="18">
        <v>2</v>
      </c>
      <c r="H14" s="18">
        <f>G14/11</f>
        <v>0.18181818181818182</v>
      </c>
      <c r="I14" s="18">
        <f t="shared" ref="I14:J16" si="0">I13+G14</f>
        <v>6</v>
      </c>
      <c r="J14" s="18">
        <f t="shared" si="0"/>
        <v>0.54545454545454541</v>
      </c>
      <c r="K14" s="17">
        <f>J14</f>
        <v>0.54545454545454541</v>
      </c>
      <c r="L14" s="15"/>
      <c r="M14" s="15"/>
      <c r="N14" s="15"/>
      <c r="O14" s="15"/>
      <c r="P14" s="15"/>
      <c r="Q14" s="15"/>
    </row>
    <row r="15" spans="1:17" ht="15.75" thickBot="1" x14ac:dyDescent="0.3">
      <c r="A15" s="15"/>
      <c r="B15" s="15"/>
      <c r="C15" s="22" t="s">
        <v>19</v>
      </c>
      <c r="D15" s="21">
        <v>1.64</v>
      </c>
      <c r="E15" s="15"/>
      <c r="F15" s="18" t="s">
        <v>18</v>
      </c>
      <c r="G15" s="18">
        <v>3</v>
      </c>
      <c r="H15" s="18">
        <f>G15/11</f>
        <v>0.27272727272727271</v>
      </c>
      <c r="I15" s="18">
        <f t="shared" si="0"/>
        <v>9</v>
      </c>
      <c r="J15" s="18">
        <f t="shared" si="0"/>
        <v>0.81818181818181812</v>
      </c>
      <c r="K15" s="17">
        <f>J15</f>
        <v>0.81818181818181812</v>
      </c>
      <c r="L15" s="15"/>
      <c r="M15" s="15"/>
      <c r="N15" s="15"/>
      <c r="O15" s="15"/>
      <c r="P15" s="15"/>
      <c r="Q15" s="15"/>
    </row>
    <row r="16" spans="1:17" ht="15.75" thickBot="1" x14ac:dyDescent="0.3">
      <c r="A16" s="15"/>
      <c r="B16" s="15"/>
      <c r="C16" s="20" t="s">
        <v>17</v>
      </c>
      <c r="D16" s="19">
        <v>1.8</v>
      </c>
      <c r="E16" s="15"/>
      <c r="F16" s="18" t="s">
        <v>16</v>
      </c>
      <c r="G16" s="18">
        <v>2</v>
      </c>
      <c r="H16" s="18">
        <f>G16/11</f>
        <v>0.18181818181818182</v>
      </c>
      <c r="I16" s="18">
        <f t="shared" si="0"/>
        <v>11</v>
      </c>
      <c r="J16" s="18">
        <f t="shared" si="0"/>
        <v>1</v>
      </c>
      <c r="K16" s="17">
        <f>J16</f>
        <v>1</v>
      </c>
      <c r="L16" s="15"/>
      <c r="M16" s="15"/>
      <c r="N16" s="15"/>
      <c r="O16" s="15"/>
      <c r="P16" s="15"/>
      <c r="Q16" s="15"/>
    </row>
    <row r="17" spans="1:17" ht="15.75" thickTop="1" x14ac:dyDescent="0.25">
      <c r="A17" s="15"/>
      <c r="B17" s="15"/>
      <c r="C17" s="15"/>
      <c r="D17" s="15"/>
      <c r="E17" s="15"/>
      <c r="F17" s="15"/>
      <c r="G17" s="15"/>
      <c r="H17" s="15"/>
      <c r="I17" s="15"/>
      <c r="J17" s="15"/>
      <c r="K17" s="15"/>
      <c r="L17" s="15"/>
      <c r="M17" s="15"/>
      <c r="N17" s="15"/>
      <c r="O17" s="15"/>
      <c r="P17" s="15"/>
      <c r="Q17" s="15"/>
    </row>
    <row r="18" spans="1:17" x14ac:dyDescent="0.25">
      <c r="A18" s="15"/>
      <c r="B18" s="15"/>
      <c r="C18" t="s">
        <v>15</v>
      </c>
      <c r="D18">
        <v>1.8</v>
      </c>
      <c r="E18" s="15"/>
      <c r="F18" s="15"/>
      <c r="G18" s="15"/>
      <c r="H18" s="15"/>
      <c r="I18" s="15"/>
      <c r="J18" s="15"/>
      <c r="K18" s="15"/>
      <c r="L18" s="15"/>
      <c r="M18" s="15"/>
      <c r="N18" s="15"/>
      <c r="O18" s="15"/>
      <c r="P18" s="15"/>
      <c r="Q18" s="15"/>
    </row>
    <row r="19" spans="1:17" ht="15" customHeight="1" x14ac:dyDescent="0.25">
      <c r="A19" s="15"/>
      <c r="B19" s="15"/>
      <c r="C19" t="s">
        <v>14</v>
      </c>
      <c r="D19">
        <v>1.6</v>
      </c>
      <c r="E19" s="15"/>
      <c r="F19" s="186" t="s">
        <v>13</v>
      </c>
      <c r="G19" s="186"/>
      <c r="H19" s="186"/>
      <c r="I19" s="186"/>
      <c r="J19" s="186"/>
      <c r="K19" s="186"/>
      <c r="L19" s="186"/>
      <c r="M19" s="186"/>
      <c r="N19" s="186"/>
      <c r="O19" s="186"/>
      <c r="P19" s="186"/>
      <c r="Q19" s="186"/>
    </row>
    <row r="20" spans="1:17" ht="18.75" customHeight="1" x14ac:dyDescent="0.3">
      <c r="A20" s="15"/>
      <c r="B20" s="15"/>
      <c r="C20" s="16" t="s">
        <v>12</v>
      </c>
      <c r="D20">
        <f>D18-D19</f>
        <v>0.19999999999999996</v>
      </c>
      <c r="E20" s="15"/>
      <c r="F20" s="186"/>
      <c r="G20" s="186"/>
      <c r="H20" s="186"/>
      <c r="I20" s="186"/>
      <c r="J20" s="186"/>
      <c r="K20" s="186"/>
      <c r="L20" s="186"/>
      <c r="M20" s="186"/>
      <c r="N20" s="186"/>
      <c r="O20" s="186"/>
      <c r="P20" s="186"/>
      <c r="Q20" s="186"/>
    </row>
    <row r="21" spans="1:17" x14ac:dyDescent="0.25">
      <c r="A21" s="15"/>
      <c r="B21" s="15"/>
      <c r="C21" s="188" t="s">
        <v>11</v>
      </c>
      <c r="D21" s="188"/>
      <c r="E21" s="15"/>
      <c r="F21" s="15"/>
      <c r="G21" s="15"/>
      <c r="H21" s="15"/>
      <c r="I21" s="15"/>
      <c r="J21" s="15"/>
      <c r="K21" s="15"/>
      <c r="L21" s="15"/>
      <c r="M21" s="15"/>
      <c r="N21" s="15"/>
      <c r="O21" s="15"/>
      <c r="P21" s="15"/>
      <c r="Q21" s="15"/>
    </row>
    <row r="22" spans="1:17" x14ac:dyDescent="0.25">
      <c r="A22" s="15"/>
      <c r="B22" s="15"/>
      <c r="E22" s="15"/>
      <c r="F22" s="15"/>
      <c r="G22" s="15"/>
      <c r="H22" s="15"/>
      <c r="I22" s="15"/>
      <c r="J22" s="15"/>
      <c r="K22" s="15"/>
      <c r="L22" s="15"/>
      <c r="M22" s="15"/>
      <c r="N22" s="15"/>
      <c r="O22" s="15"/>
      <c r="P22" s="15"/>
      <c r="Q22" s="15"/>
    </row>
    <row r="23" spans="1:17" x14ac:dyDescent="0.25">
      <c r="A23" s="15"/>
      <c r="B23" s="15"/>
      <c r="E23" s="15"/>
      <c r="F23" s="15"/>
      <c r="G23" s="15"/>
      <c r="H23" s="15"/>
      <c r="I23" s="15"/>
      <c r="J23" s="15"/>
      <c r="K23" s="15"/>
      <c r="L23" s="15"/>
      <c r="M23" s="15"/>
      <c r="N23" s="15"/>
      <c r="O23" s="15"/>
      <c r="P23" s="15"/>
      <c r="Q23" s="15"/>
    </row>
    <row r="24" spans="1:17" ht="15.75" customHeight="1" x14ac:dyDescent="0.25">
      <c r="A24" s="15"/>
      <c r="B24" s="15"/>
      <c r="C24" t="s">
        <v>10</v>
      </c>
      <c r="D24">
        <f>1+3.3*LOG(11)</f>
        <v>4.436595861022143</v>
      </c>
      <c r="E24" s="15"/>
      <c r="F24" s="15"/>
      <c r="G24" s="15"/>
      <c r="H24" s="15"/>
      <c r="I24" s="15"/>
      <c r="J24" s="15"/>
      <c r="K24" s="15"/>
      <c r="L24" s="15"/>
      <c r="M24" s="15"/>
      <c r="N24" s="15"/>
      <c r="O24" s="15"/>
      <c r="P24" s="15"/>
      <c r="Q24" s="15"/>
    </row>
    <row r="25" spans="1:17" x14ac:dyDescent="0.25">
      <c r="A25" s="15"/>
      <c r="B25" s="15"/>
      <c r="C25" t="s">
        <v>9</v>
      </c>
      <c r="D25">
        <v>4</v>
      </c>
      <c r="E25" s="15"/>
      <c r="F25" s="15"/>
      <c r="G25" s="15"/>
      <c r="H25" s="15"/>
      <c r="I25" s="15"/>
      <c r="J25" s="15"/>
      <c r="K25" s="15"/>
      <c r="L25" s="15"/>
      <c r="M25" s="15"/>
      <c r="N25" s="15"/>
      <c r="O25" s="15"/>
      <c r="P25" s="15"/>
      <c r="Q25" s="15"/>
    </row>
    <row r="26" spans="1:17" x14ac:dyDescent="0.25">
      <c r="A26" s="15"/>
      <c r="B26" s="15"/>
      <c r="E26" s="15"/>
      <c r="F26" s="15"/>
      <c r="G26" s="15"/>
      <c r="H26" s="15"/>
      <c r="I26" s="15"/>
      <c r="J26" s="15"/>
      <c r="K26" s="15"/>
      <c r="L26" s="15"/>
      <c r="M26" s="15"/>
      <c r="N26" s="15"/>
      <c r="O26" s="15"/>
      <c r="P26" s="15"/>
      <c r="Q26" s="15"/>
    </row>
    <row r="27" spans="1:17" x14ac:dyDescent="0.25">
      <c r="A27" s="15"/>
      <c r="B27" s="15"/>
      <c r="C27" s="187" t="s">
        <v>8</v>
      </c>
      <c r="D27" s="187"/>
      <c r="E27" s="15"/>
      <c r="F27" s="15"/>
      <c r="G27" s="15"/>
      <c r="H27" s="15"/>
      <c r="I27" s="15"/>
      <c r="J27" s="15"/>
      <c r="K27" s="15"/>
      <c r="L27" s="15"/>
      <c r="M27" s="15"/>
      <c r="N27" s="15"/>
      <c r="O27" s="15"/>
      <c r="P27" s="15"/>
      <c r="Q27" s="15"/>
    </row>
    <row r="28" spans="1:17" x14ac:dyDescent="0.25">
      <c r="A28" s="15"/>
      <c r="B28" s="15"/>
      <c r="C28" s="187"/>
      <c r="D28" s="187"/>
      <c r="E28" s="15"/>
      <c r="F28" s="15"/>
      <c r="G28" s="15"/>
      <c r="H28" s="15"/>
      <c r="I28" s="15"/>
      <c r="J28" s="15"/>
      <c r="K28" s="15"/>
      <c r="L28" s="15"/>
      <c r="M28" s="15"/>
      <c r="N28" s="15"/>
      <c r="O28" s="15"/>
      <c r="P28" s="15"/>
      <c r="Q28" s="15"/>
    </row>
    <row r="29" spans="1:17" x14ac:dyDescent="0.25">
      <c r="A29" s="15"/>
      <c r="B29" s="15"/>
      <c r="E29" s="15"/>
      <c r="F29" s="15"/>
      <c r="G29" s="15"/>
      <c r="H29" s="15"/>
      <c r="I29" s="15"/>
      <c r="J29" s="15"/>
      <c r="K29" s="15"/>
      <c r="L29" s="15"/>
      <c r="M29" s="15"/>
      <c r="N29" s="15"/>
      <c r="O29" s="15"/>
      <c r="P29" s="15"/>
      <c r="Q29" s="15"/>
    </row>
    <row r="30" spans="1:17" x14ac:dyDescent="0.25">
      <c r="A30" s="15"/>
      <c r="B30" s="15"/>
      <c r="C30" t="s">
        <v>7</v>
      </c>
      <c r="D30">
        <f>D20/D25</f>
        <v>4.9999999999999989E-2</v>
      </c>
      <c r="E30" s="15"/>
      <c r="F30" s="15"/>
      <c r="G30" s="15"/>
      <c r="H30" s="15"/>
      <c r="I30" s="15"/>
      <c r="J30" s="15"/>
      <c r="K30" s="15"/>
      <c r="L30" s="15"/>
      <c r="M30" s="15"/>
      <c r="N30" s="15"/>
      <c r="O30" s="15"/>
      <c r="P30" s="15"/>
      <c r="Q30" s="15"/>
    </row>
    <row r="31" spans="1:17" x14ac:dyDescent="0.25">
      <c r="A31" s="15"/>
      <c r="B31" s="15"/>
      <c r="C31" s="15"/>
      <c r="D31" s="15"/>
      <c r="E31" s="15"/>
      <c r="F31" s="15"/>
      <c r="G31" s="15"/>
      <c r="H31" s="15"/>
      <c r="I31" s="15"/>
      <c r="J31" s="15"/>
      <c r="K31" s="15"/>
      <c r="L31" s="15"/>
      <c r="M31" s="15"/>
      <c r="N31" s="15"/>
      <c r="O31" s="15"/>
      <c r="P31" s="15"/>
      <c r="Q31" s="15"/>
    </row>
    <row r="32" spans="1:17" x14ac:dyDescent="0.25">
      <c r="A32" s="15"/>
      <c r="B32" s="15"/>
      <c r="C32" s="15"/>
      <c r="D32" s="15"/>
      <c r="E32" s="15"/>
      <c r="F32" s="15"/>
      <c r="G32" s="15"/>
      <c r="H32" s="15"/>
      <c r="I32" s="15"/>
      <c r="J32" s="15"/>
      <c r="K32" s="15"/>
      <c r="L32" s="15"/>
      <c r="M32" s="15"/>
      <c r="N32" s="15"/>
      <c r="O32" s="15"/>
      <c r="P32" s="15"/>
      <c r="Q32" s="15"/>
    </row>
    <row r="33" spans="1:17" x14ac:dyDescent="0.25">
      <c r="A33" s="15"/>
      <c r="B33" s="15"/>
      <c r="C33" s="15"/>
      <c r="D33" s="15"/>
      <c r="E33" s="15"/>
      <c r="F33" s="15"/>
      <c r="G33" s="15"/>
      <c r="H33" s="15"/>
      <c r="I33" s="15"/>
      <c r="J33" s="15"/>
      <c r="K33" s="15"/>
      <c r="L33" s="15"/>
      <c r="M33" s="15"/>
      <c r="N33" s="15"/>
      <c r="O33" s="15"/>
      <c r="P33" s="15"/>
      <c r="Q33" s="15"/>
    </row>
    <row r="34" spans="1:17" x14ac:dyDescent="0.25">
      <c r="A34" s="15"/>
      <c r="B34" s="15"/>
      <c r="C34" s="15"/>
      <c r="D34" s="15"/>
      <c r="E34" s="15"/>
      <c r="F34" s="15"/>
      <c r="G34" s="15"/>
      <c r="H34" s="15"/>
      <c r="I34" s="15"/>
      <c r="J34" s="15"/>
      <c r="K34" s="15"/>
      <c r="L34" s="15"/>
      <c r="M34" s="15"/>
      <c r="N34" s="15"/>
      <c r="O34" s="15"/>
      <c r="P34" s="15"/>
      <c r="Q34" s="15"/>
    </row>
    <row r="35" spans="1:17" x14ac:dyDescent="0.25">
      <c r="A35" s="15"/>
      <c r="B35" s="15"/>
      <c r="C35" s="15"/>
      <c r="D35" s="15"/>
      <c r="E35" s="15"/>
      <c r="F35" s="15"/>
      <c r="G35" s="15"/>
      <c r="H35" s="15"/>
      <c r="I35" s="15"/>
      <c r="J35" s="15"/>
      <c r="K35" s="15"/>
      <c r="L35" s="15"/>
      <c r="M35" s="15"/>
      <c r="N35" s="15"/>
      <c r="O35" s="15"/>
      <c r="P35" s="15"/>
      <c r="Q35" s="15"/>
    </row>
    <row r="36" spans="1:17" x14ac:dyDescent="0.25">
      <c r="A36" s="15"/>
      <c r="B36" s="15"/>
      <c r="C36" s="15"/>
      <c r="D36" s="15"/>
      <c r="E36" s="15"/>
      <c r="F36" s="15"/>
      <c r="G36" s="15"/>
      <c r="H36" s="15"/>
      <c r="I36" s="15"/>
      <c r="J36" s="15"/>
      <c r="K36" s="15"/>
      <c r="L36" s="15"/>
      <c r="M36" s="15"/>
      <c r="N36" s="15"/>
      <c r="O36" s="15"/>
      <c r="P36" s="15"/>
      <c r="Q36" s="15"/>
    </row>
    <row r="37" spans="1:17" x14ac:dyDescent="0.25">
      <c r="A37" s="15"/>
      <c r="B37" s="15"/>
      <c r="C37" s="15"/>
      <c r="D37" s="15"/>
      <c r="E37" s="15"/>
      <c r="F37" s="15"/>
      <c r="G37" s="15"/>
      <c r="H37" s="15"/>
      <c r="I37" s="15"/>
      <c r="J37" s="15"/>
      <c r="K37" s="15"/>
      <c r="L37" s="15"/>
      <c r="M37" s="15"/>
      <c r="N37" s="15"/>
      <c r="O37" s="15"/>
      <c r="P37" s="15"/>
      <c r="Q37" s="15"/>
    </row>
    <row r="38" spans="1:17" x14ac:dyDescent="0.25">
      <c r="A38" s="15"/>
      <c r="B38" s="15"/>
      <c r="C38" s="15"/>
      <c r="D38" s="15"/>
      <c r="E38" s="15"/>
      <c r="F38" s="15"/>
      <c r="G38" s="15"/>
      <c r="H38" s="15"/>
      <c r="I38" s="15"/>
      <c r="J38" s="15"/>
      <c r="K38" s="15"/>
      <c r="L38" s="15"/>
      <c r="M38" s="15"/>
      <c r="N38" s="15"/>
      <c r="O38" s="15"/>
      <c r="P38" s="15"/>
      <c r="Q38" s="15"/>
    </row>
    <row r="39" spans="1:17" x14ac:dyDescent="0.25">
      <c r="A39" s="15"/>
      <c r="B39" s="15"/>
      <c r="C39" s="15"/>
      <c r="D39" s="15"/>
      <c r="E39" s="15"/>
      <c r="F39" s="15"/>
      <c r="G39" s="15"/>
      <c r="H39" s="15"/>
      <c r="I39" s="15"/>
      <c r="J39" s="15"/>
      <c r="K39" s="15"/>
      <c r="L39" s="15"/>
      <c r="M39" s="15"/>
      <c r="N39" s="15"/>
      <c r="O39" s="15"/>
      <c r="P39" s="15"/>
      <c r="Q39" s="15"/>
    </row>
    <row r="40" spans="1:17" ht="21" x14ac:dyDescent="0.35">
      <c r="A40" s="15"/>
      <c r="B40" s="185" t="s">
        <v>6</v>
      </c>
      <c r="C40" s="184"/>
      <c r="D40" s="184"/>
      <c r="E40" s="184"/>
      <c r="F40" s="184"/>
      <c r="G40" s="184"/>
      <c r="H40" s="184"/>
      <c r="I40" s="184"/>
      <c r="J40" s="184"/>
      <c r="K40" s="184"/>
      <c r="L40" s="184"/>
      <c r="M40" s="15"/>
      <c r="N40" s="15"/>
      <c r="O40" s="15"/>
      <c r="P40" s="15"/>
      <c r="Q40" s="15"/>
    </row>
    <row r="41" spans="1:17" x14ac:dyDescent="0.25">
      <c r="A41" s="15"/>
      <c r="B41" s="183" t="s">
        <v>5</v>
      </c>
      <c r="C41" s="184"/>
      <c r="D41" s="184"/>
      <c r="E41" s="184"/>
      <c r="F41" s="184"/>
      <c r="G41" s="184"/>
      <c r="H41" s="184"/>
      <c r="I41" s="184"/>
      <c r="J41" s="184"/>
      <c r="K41" s="184"/>
      <c r="L41" s="184"/>
      <c r="M41" s="15"/>
      <c r="N41" s="15"/>
      <c r="O41" s="15"/>
      <c r="P41" s="15"/>
      <c r="Q41" s="15"/>
    </row>
    <row r="42" spans="1:17" x14ac:dyDescent="0.25">
      <c r="A42" s="15"/>
      <c r="B42" s="184"/>
      <c r="C42" s="184"/>
      <c r="D42" s="184"/>
      <c r="E42" s="184"/>
      <c r="F42" s="184"/>
      <c r="G42" s="184"/>
      <c r="H42" s="184"/>
      <c r="I42" s="184"/>
      <c r="J42" s="184"/>
      <c r="K42" s="184"/>
      <c r="L42" s="184"/>
      <c r="M42" s="15"/>
      <c r="N42" s="15"/>
      <c r="O42" s="15"/>
      <c r="P42" s="15"/>
      <c r="Q42" s="15"/>
    </row>
    <row r="43" spans="1:17" x14ac:dyDescent="0.25">
      <c r="A43" s="15"/>
      <c r="B43" s="184"/>
      <c r="C43" s="184"/>
      <c r="D43" s="184"/>
      <c r="E43" s="184"/>
      <c r="F43" s="184"/>
      <c r="G43" s="184"/>
      <c r="H43" s="184"/>
      <c r="I43" s="184"/>
      <c r="J43" s="184"/>
      <c r="K43" s="184"/>
      <c r="L43" s="184"/>
      <c r="M43" s="15"/>
      <c r="N43" s="15"/>
      <c r="O43" s="15"/>
      <c r="P43" s="15"/>
      <c r="Q43" s="15"/>
    </row>
    <row r="44" spans="1:17" x14ac:dyDescent="0.25">
      <c r="A44" s="15"/>
      <c r="B44" s="184"/>
      <c r="C44" s="184"/>
      <c r="D44" s="184"/>
      <c r="E44" s="184"/>
      <c r="F44" s="184"/>
      <c r="G44" s="184"/>
      <c r="H44" s="184"/>
      <c r="I44" s="184"/>
      <c r="J44" s="184"/>
      <c r="K44" s="184"/>
      <c r="L44" s="184"/>
      <c r="M44" s="15"/>
      <c r="N44" s="15"/>
      <c r="O44" s="15"/>
      <c r="P44" s="15"/>
      <c r="Q44" s="15"/>
    </row>
    <row r="45" spans="1:17" x14ac:dyDescent="0.25">
      <c r="A45" s="15"/>
      <c r="B45" s="184"/>
      <c r="C45" s="184"/>
      <c r="D45" s="184"/>
      <c r="E45" s="184"/>
      <c r="F45" s="184"/>
      <c r="G45" s="184"/>
      <c r="H45" s="184"/>
      <c r="I45" s="184"/>
      <c r="J45" s="184"/>
      <c r="K45" s="184"/>
      <c r="L45" s="184"/>
      <c r="M45" s="15"/>
      <c r="N45" s="15"/>
      <c r="O45" s="15"/>
      <c r="P45" s="15"/>
      <c r="Q45" s="15"/>
    </row>
    <row r="46" spans="1:17" ht="0.75" customHeight="1" x14ac:dyDescent="0.25">
      <c r="A46" s="15"/>
      <c r="B46" s="184"/>
      <c r="C46" s="184"/>
      <c r="D46" s="184"/>
      <c r="E46" s="184"/>
      <c r="F46" s="184"/>
      <c r="G46" s="184"/>
      <c r="H46" s="184"/>
      <c r="I46" s="184"/>
      <c r="J46" s="184"/>
      <c r="K46" s="184"/>
      <c r="L46" s="184"/>
      <c r="M46" s="15"/>
      <c r="N46" s="15"/>
      <c r="O46" s="15"/>
      <c r="P46" s="15"/>
      <c r="Q46" s="15"/>
    </row>
    <row r="47" spans="1:17" hidden="1" x14ac:dyDescent="0.25">
      <c r="A47" s="15"/>
      <c r="B47" s="184"/>
      <c r="C47" s="184"/>
      <c r="D47" s="184"/>
      <c r="E47" s="184"/>
      <c r="F47" s="184"/>
      <c r="G47" s="184"/>
      <c r="H47" s="184"/>
      <c r="I47" s="184"/>
      <c r="J47" s="184"/>
      <c r="K47" s="184"/>
      <c r="L47" s="184"/>
      <c r="M47" s="15"/>
      <c r="N47" s="15"/>
      <c r="O47" s="15"/>
      <c r="P47" s="15"/>
      <c r="Q47" s="15"/>
    </row>
    <row r="48" spans="1:17" x14ac:dyDescent="0.25">
      <c r="A48" s="15"/>
      <c r="B48" s="15"/>
      <c r="C48" s="15"/>
      <c r="D48" s="15"/>
      <c r="E48" s="15"/>
      <c r="F48" s="15"/>
      <c r="G48" s="15"/>
      <c r="H48" s="15"/>
      <c r="I48" s="15"/>
      <c r="J48" s="15"/>
      <c r="K48" s="15"/>
      <c r="L48" s="15"/>
      <c r="M48" s="15"/>
      <c r="N48" s="15"/>
      <c r="O48" s="15"/>
      <c r="P48" s="15"/>
      <c r="Q48" s="15"/>
    </row>
  </sheetData>
  <mergeCells count="6">
    <mergeCell ref="B2:L2"/>
    <mergeCell ref="B41:L47"/>
    <mergeCell ref="B40:L40"/>
    <mergeCell ref="F19:Q20"/>
    <mergeCell ref="C27:D28"/>
    <mergeCell ref="C21:D2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zoomScale="73" zoomScaleNormal="73" workbookViewId="0">
      <selection activeCell="C2" sqref="C2:S3"/>
    </sheetView>
  </sheetViews>
  <sheetFormatPr baseColWidth="10" defaultRowHeight="15" x14ac:dyDescent="0.25"/>
  <cols>
    <col min="1" max="1" width="5.5703125" customWidth="1"/>
    <col min="5" max="5" width="16.5703125" customWidth="1"/>
    <col min="12" max="12" width="13.85546875" customWidth="1"/>
    <col min="13" max="13" width="21.5703125" customWidth="1"/>
    <col min="14" max="14" width="20.140625" customWidth="1"/>
    <col min="15" max="15" width="15" customWidth="1"/>
    <col min="16" max="16" width="7" customWidth="1"/>
  </cols>
  <sheetData>
    <row r="1" spans="1:20" ht="15.75" thickBot="1" x14ac:dyDescent="0.3">
      <c r="A1" s="26"/>
      <c r="B1" s="26"/>
      <c r="C1" s="26"/>
      <c r="D1" s="26"/>
      <c r="E1" s="26"/>
      <c r="F1" s="26"/>
      <c r="G1" s="26"/>
      <c r="H1" s="26"/>
      <c r="I1" s="26"/>
      <c r="J1" s="26"/>
      <c r="K1" s="26"/>
      <c r="L1" s="26"/>
      <c r="M1" s="26"/>
      <c r="N1" s="26"/>
      <c r="O1" s="26"/>
      <c r="P1" s="26"/>
      <c r="Q1" s="26"/>
      <c r="R1" s="26"/>
      <c r="S1" s="26"/>
      <c r="T1" s="26"/>
    </row>
    <row r="2" spans="1:20" ht="15" customHeight="1" thickTop="1" x14ac:dyDescent="0.45">
      <c r="A2" s="26"/>
      <c r="B2" s="78"/>
      <c r="C2" s="196" t="s">
        <v>78</v>
      </c>
      <c r="D2" s="197"/>
      <c r="E2" s="197"/>
      <c r="F2" s="197"/>
      <c r="G2" s="197"/>
      <c r="H2" s="197"/>
      <c r="I2" s="197"/>
      <c r="J2" s="197"/>
      <c r="K2" s="197"/>
      <c r="L2" s="197"/>
      <c r="M2" s="197"/>
      <c r="N2" s="197"/>
      <c r="O2" s="197"/>
      <c r="P2" s="197"/>
      <c r="Q2" s="197"/>
      <c r="R2" s="197"/>
      <c r="S2" s="198"/>
      <c r="T2" s="26"/>
    </row>
    <row r="3" spans="1:20" ht="15.75" thickBot="1" x14ac:dyDescent="0.3">
      <c r="A3" s="26"/>
      <c r="B3" s="77"/>
      <c r="C3" s="199"/>
      <c r="D3" s="200"/>
      <c r="E3" s="200"/>
      <c r="F3" s="200"/>
      <c r="G3" s="200"/>
      <c r="H3" s="200"/>
      <c r="I3" s="200"/>
      <c r="J3" s="200"/>
      <c r="K3" s="200"/>
      <c r="L3" s="200"/>
      <c r="M3" s="200"/>
      <c r="N3" s="200"/>
      <c r="O3" s="200"/>
      <c r="P3" s="200"/>
      <c r="Q3" s="200"/>
      <c r="R3" s="200"/>
      <c r="S3" s="201"/>
      <c r="T3" s="26"/>
    </row>
    <row r="4" spans="1:20" ht="16.5" thickTop="1" thickBot="1" x14ac:dyDescent="0.3">
      <c r="A4" s="26"/>
      <c r="B4" s="26"/>
      <c r="C4" s="26"/>
      <c r="D4" s="26"/>
      <c r="E4" s="26"/>
      <c r="F4" s="26"/>
      <c r="G4" s="26"/>
      <c r="H4" s="26"/>
      <c r="I4" s="26"/>
      <c r="J4" s="26"/>
      <c r="K4" s="26"/>
      <c r="L4" s="26"/>
      <c r="M4" s="26"/>
      <c r="N4" s="26"/>
      <c r="O4" s="26"/>
      <c r="P4" s="26"/>
      <c r="Q4" s="26"/>
      <c r="R4" s="26"/>
      <c r="S4" s="26"/>
      <c r="T4" s="26"/>
    </row>
    <row r="5" spans="1:20" ht="33.75" customHeight="1" thickTop="1" thickBot="1" x14ac:dyDescent="0.5">
      <c r="A5" s="26"/>
      <c r="B5" s="193" t="s">
        <v>77</v>
      </c>
      <c r="C5" s="194"/>
      <c r="D5" s="194"/>
      <c r="E5" s="194"/>
      <c r="F5" s="194"/>
      <c r="G5" s="194"/>
      <c r="H5" s="194"/>
      <c r="I5" s="194"/>
      <c r="J5" s="194"/>
      <c r="K5" s="195"/>
      <c r="L5" s="26"/>
      <c r="M5" s="26"/>
      <c r="N5" s="26"/>
      <c r="O5" s="26"/>
      <c r="P5" s="26"/>
      <c r="Q5" s="215" t="s">
        <v>76</v>
      </c>
      <c r="R5" s="216"/>
      <c r="S5" s="217"/>
      <c r="T5" s="26"/>
    </row>
    <row r="6" spans="1:20" ht="16.5" thickTop="1" x14ac:dyDescent="0.25">
      <c r="A6" s="26"/>
      <c r="B6" s="64">
        <v>2.5499999999999998</v>
      </c>
      <c r="C6" s="63">
        <v>2.5</v>
      </c>
      <c r="D6" s="63">
        <v>1.99</v>
      </c>
      <c r="E6" s="63">
        <v>2.44</v>
      </c>
      <c r="F6" s="63">
        <v>2.4700000000000002</v>
      </c>
      <c r="G6" s="63">
        <v>2.5</v>
      </c>
      <c r="H6" s="63">
        <v>2.4900000000000002</v>
      </c>
      <c r="I6" s="76">
        <v>2.48</v>
      </c>
      <c r="J6" s="63">
        <v>2.5099999999999998</v>
      </c>
      <c r="K6" s="62">
        <v>2.5</v>
      </c>
      <c r="L6" s="26"/>
      <c r="M6" s="75" t="s">
        <v>15</v>
      </c>
      <c r="N6" s="74">
        <v>2.77</v>
      </c>
      <c r="O6" s="73"/>
      <c r="P6" s="26"/>
      <c r="Q6" s="38">
        <f t="shared" ref="Q6:Q15" si="0">B6</f>
        <v>2.5499999999999998</v>
      </c>
      <c r="R6" s="31">
        <f t="shared" ref="R6:R20" si="1">Q6-G$28</f>
        <v>2.3800000000000043E-2</v>
      </c>
      <c r="S6" s="30">
        <f t="shared" ref="S6:S20" si="2">R6^2</f>
        <v>5.6644000000000204E-4</v>
      </c>
      <c r="T6" s="26"/>
    </row>
    <row r="7" spans="1:20" ht="15.75" x14ac:dyDescent="0.25">
      <c r="A7" s="26"/>
      <c r="B7" s="64">
        <v>2.39</v>
      </c>
      <c r="C7" s="63">
        <v>2.56</v>
      </c>
      <c r="D7" s="63">
        <v>2.57</v>
      </c>
      <c r="E7" s="63">
        <v>2.5499999999999998</v>
      </c>
      <c r="F7" s="63">
        <v>2.6</v>
      </c>
      <c r="G7" s="63">
        <v>2.54</v>
      </c>
      <c r="H7" s="63">
        <v>2.6</v>
      </c>
      <c r="I7" s="63">
        <v>2.58</v>
      </c>
      <c r="J7" s="63">
        <v>2.57</v>
      </c>
      <c r="K7" s="62">
        <v>2.57</v>
      </c>
      <c r="L7" s="26"/>
      <c r="M7" s="67" t="s">
        <v>14</v>
      </c>
      <c r="N7" s="69">
        <v>1.99</v>
      </c>
      <c r="O7" s="68"/>
      <c r="P7" s="26"/>
      <c r="Q7" s="38">
        <f t="shared" si="0"/>
        <v>2.39</v>
      </c>
      <c r="R7" s="31">
        <f t="shared" si="1"/>
        <v>-0.13619999999999965</v>
      </c>
      <c r="S7" s="30">
        <f t="shared" si="2"/>
        <v>1.8550439999999904E-2</v>
      </c>
      <c r="T7" s="26"/>
    </row>
    <row r="8" spans="1:20" ht="18.75" x14ac:dyDescent="0.3">
      <c r="A8" s="26"/>
      <c r="B8" s="64">
        <v>2.5499999999999998</v>
      </c>
      <c r="C8" s="63">
        <v>2.56</v>
      </c>
      <c r="D8" s="63">
        <v>2.54</v>
      </c>
      <c r="E8" s="63">
        <v>2.8</v>
      </c>
      <c r="F8" s="63">
        <v>2.74</v>
      </c>
      <c r="G8" s="63">
        <v>2.71</v>
      </c>
      <c r="H8" s="63">
        <v>2.56</v>
      </c>
      <c r="I8" s="63">
        <v>2.57</v>
      </c>
      <c r="J8" s="63">
        <v>2.54</v>
      </c>
      <c r="K8" s="62">
        <v>2.5099999999999998</v>
      </c>
      <c r="L8" s="26"/>
      <c r="M8" s="72" t="s">
        <v>12</v>
      </c>
      <c r="N8" s="69">
        <f>N6-N7</f>
        <v>0.78</v>
      </c>
      <c r="O8" s="68"/>
      <c r="P8" s="26"/>
      <c r="Q8" s="38">
        <f t="shared" si="0"/>
        <v>2.5499999999999998</v>
      </c>
      <c r="R8" s="31">
        <f t="shared" si="1"/>
        <v>2.3800000000000043E-2</v>
      </c>
      <c r="S8" s="30">
        <f t="shared" si="2"/>
        <v>5.6644000000000204E-4</v>
      </c>
      <c r="T8" s="26"/>
    </row>
    <row r="9" spans="1:20" ht="15.75" x14ac:dyDescent="0.25">
      <c r="A9" s="26"/>
      <c r="B9" s="64">
        <v>2.5</v>
      </c>
      <c r="C9" s="63">
        <v>2.5499999999999998</v>
      </c>
      <c r="D9" s="63">
        <v>2.5299999999999998</v>
      </c>
      <c r="E9" s="63">
        <v>2.54</v>
      </c>
      <c r="F9" s="63">
        <v>2.57</v>
      </c>
      <c r="G9" s="63">
        <v>2.5499999999999998</v>
      </c>
      <c r="H9" s="63">
        <v>2.56</v>
      </c>
      <c r="I9" s="63">
        <v>2.58</v>
      </c>
      <c r="J9" s="63">
        <v>2.5299999999999998</v>
      </c>
      <c r="K9" s="62">
        <v>2.56</v>
      </c>
      <c r="L9" s="26"/>
      <c r="M9" s="210" t="s">
        <v>11</v>
      </c>
      <c r="N9" s="211"/>
      <c r="O9" s="71"/>
      <c r="P9" s="26"/>
      <c r="Q9" s="38">
        <f t="shared" si="0"/>
        <v>2.5</v>
      </c>
      <c r="R9" s="31">
        <f t="shared" si="1"/>
        <v>-2.6199999999999779E-2</v>
      </c>
      <c r="S9" s="30">
        <f t="shared" si="2"/>
        <v>6.8643999999998847E-4</v>
      </c>
      <c r="T9" s="26"/>
    </row>
    <row r="10" spans="1:20" ht="15.75" x14ac:dyDescent="0.25">
      <c r="A10" s="26"/>
      <c r="B10" s="64">
        <v>2.54</v>
      </c>
      <c r="C10" s="63">
        <v>2.54</v>
      </c>
      <c r="D10" s="63">
        <v>2.54</v>
      </c>
      <c r="E10" s="63">
        <v>2.54</v>
      </c>
      <c r="F10" s="63">
        <v>2.5299999999999998</v>
      </c>
      <c r="G10" s="63">
        <v>2.5099999999999998</v>
      </c>
      <c r="H10" s="63">
        <v>2.5</v>
      </c>
      <c r="I10" s="63">
        <v>2.5</v>
      </c>
      <c r="J10" s="63">
        <v>2.59</v>
      </c>
      <c r="K10" s="62">
        <v>2.58</v>
      </c>
      <c r="L10" s="26"/>
      <c r="M10" s="67"/>
      <c r="N10" s="69"/>
      <c r="O10" s="68"/>
      <c r="P10" s="26"/>
      <c r="Q10" s="38">
        <f t="shared" si="0"/>
        <v>2.54</v>
      </c>
      <c r="R10" s="31">
        <f t="shared" si="1"/>
        <v>1.3800000000000257E-2</v>
      </c>
      <c r="S10" s="30">
        <f t="shared" si="2"/>
        <v>1.9044000000000707E-4</v>
      </c>
      <c r="T10" s="26"/>
    </row>
    <row r="11" spans="1:20" ht="15.75" x14ac:dyDescent="0.25">
      <c r="A11" s="26"/>
      <c r="B11" s="64">
        <v>2.57</v>
      </c>
      <c r="C11" s="63">
        <v>2.54</v>
      </c>
      <c r="D11" s="63">
        <v>2.4900000000000002</v>
      </c>
      <c r="E11" s="63">
        <v>2.48</v>
      </c>
      <c r="F11" s="63">
        <v>2.44</v>
      </c>
      <c r="G11" s="63">
        <v>2.4500000000000002</v>
      </c>
      <c r="H11" s="63">
        <v>2.4700000000000002</v>
      </c>
      <c r="I11" s="63">
        <v>2.46</v>
      </c>
      <c r="J11" s="63">
        <v>2.2200000000000002</v>
      </c>
      <c r="K11" s="62">
        <v>2.39</v>
      </c>
      <c r="L11" s="26"/>
      <c r="M11" s="67"/>
      <c r="N11" s="69"/>
      <c r="O11" s="68"/>
      <c r="P11" s="26"/>
      <c r="Q11" s="38">
        <f t="shared" si="0"/>
        <v>2.57</v>
      </c>
      <c r="R11" s="31">
        <f t="shared" si="1"/>
        <v>4.3800000000000061E-2</v>
      </c>
      <c r="S11" s="30">
        <f t="shared" si="2"/>
        <v>1.9184400000000054E-3</v>
      </c>
      <c r="T11" s="26"/>
    </row>
    <row r="12" spans="1:20" ht="15.75" x14ac:dyDescent="0.25">
      <c r="A12" s="26"/>
      <c r="B12" s="64">
        <v>2.39</v>
      </c>
      <c r="C12" s="63">
        <v>2.4500000000000002</v>
      </c>
      <c r="D12" s="63">
        <v>2.46</v>
      </c>
      <c r="E12" s="63">
        <v>2.4700000000000002</v>
      </c>
      <c r="F12" s="63">
        <v>2.48</v>
      </c>
      <c r="G12" s="63">
        <v>2.44</v>
      </c>
      <c r="H12" s="63">
        <v>2.54</v>
      </c>
      <c r="I12" s="63">
        <v>2.59</v>
      </c>
      <c r="J12" s="63">
        <v>2.56</v>
      </c>
      <c r="K12" s="62">
        <v>2.57</v>
      </c>
      <c r="L12" s="26"/>
      <c r="M12" s="70" t="s">
        <v>10</v>
      </c>
      <c r="N12" s="69">
        <f>1+3.3*LOG(100)</f>
        <v>7.6</v>
      </c>
      <c r="O12" s="68"/>
      <c r="P12" s="26"/>
      <c r="Q12" s="38">
        <f t="shared" si="0"/>
        <v>2.39</v>
      </c>
      <c r="R12" s="31">
        <f t="shared" si="1"/>
        <v>-0.13619999999999965</v>
      </c>
      <c r="S12" s="30">
        <f t="shared" si="2"/>
        <v>1.8550439999999904E-2</v>
      </c>
      <c r="T12" s="26"/>
    </row>
    <row r="13" spans="1:20" ht="15.75" x14ac:dyDescent="0.25">
      <c r="A13" s="26"/>
      <c r="B13" s="64">
        <v>2.54</v>
      </c>
      <c r="C13" s="63">
        <v>2.58</v>
      </c>
      <c r="D13" s="63">
        <v>2.56</v>
      </c>
      <c r="E13" s="63">
        <v>2.6</v>
      </c>
      <c r="F13" s="63">
        <v>2.58</v>
      </c>
      <c r="G13" s="63">
        <v>2.5</v>
      </c>
      <c r="H13" s="63">
        <v>2.59</v>
      </c>
      <c r="I13" s="63">
        <v>2.6</v>
      </c>
      <c r="J13" s="63">
        <v>2.61</v>
      </c>
      <c r="K13" s="62">
        <v>2.64</v>
      </c>
      <c r="L13" s="26"/>
      <c r="M13" s="67" t="s">
        <v>75</v>
      </c>
      <c r="N13" s="66">
        <f>N12</f>
        <v>7.6</v>
      </c>
      <c r="O13" s="65"/>
      <c r="P13" s="26"/>
      <c r="Q13" s="38">
        <f t="shared" si="0"/>
        <v>2.54</v>
      </c>
      <c r="R13" s="31">
        <f t="shared" si="1"/>
        <v>1.3800000000000257E-2</v>
      </c>
      <c r="S13" s="30">
        <f t="shared" si="2"/>
        <v>1.9044000000000707E-4</v>
      </c>
      <c r="T13" s="26"/>
    </row>
    <row r="14" spans="1:20" ht="15" customHeight="1" x14ac:dyDescent="0.25">
      <c r="A14" s="26"/>
      <c r="B14" s="64">
        <v>2.66</v>
      </c>
      <c r="C14" s="63">
        <v>2.4500000000000002</v>
      </c>
      <c r="D14" s="63">
        <v>2.48</v>
      </c>
      <c r="E14" s="63">
        <v>2.4700000000000002</v>
      </c>
      <c r="F14" s="63">
        <v>2.46</v>
      </c>
      <c r="G14" s="63">
        <v>2.4500000000000002</v>
      </c>
      <c r="H14" s="63">
        <v>2.4700000000000002</v>
      </c>
      <c r="I14" s="63">
        <v>2.48</v>
      </c>
      <c r="J14" s="63">
        <v>2.4900000000000002</v>
      </c>
      <c r="K14" s="62">
        <v>2.4500000000000002</v>
      </c>
      <c r="L14" s="26"/>
      <c r="M14" s="202" t="s">
        <v>8</v>
      </c>
      <c r="N14" s="203"/>
      <c r="O14" s="61"/>
      <c r="P14" s="26"/>
      <c r="Q14" s="38">
        <f t="shared" si="0"/>
        <v>2.66</v>
      </c>
      <c r="R14" s="31">
        <f t="shared" si="1"/>
        <v>0.13380000000000036</v>
      </c>
      <c r="S14" s="30">
        <f t="shared" si="2"/>
        <v>1.7902440000000096E-2</v>
      </c>
      <c r="T14" s="26"/>
    </row>
    <row r="15" spans="1:20" ht="15.75" customHeight="1" thickBot="1" x14ac:dyDescent="0.3">
      <c r="A15" s="26"/>
      <c r="B15" s="60">
        <v>2.44</v>
      </c>
      <c r="C15" s="59">
        <v>2.7</v>
      </c>
      <c r="D15" s="59">
        <v>2.5499999999999998</v>
      </c>
      <c r="E15" s="59">
        <v>2.6</v>
      </c>
      <c r="F15" s="59">
        <v>2.5499999999999998</v>
      </c>
      <c r="G15" s="59">
        <v>2.5499999999999998</v>
      </c>
      <c r="H15" s="59">
        <v>2.5499999999999998</v>
      </c>
      <c r="I15" s="59">
        <v>2.4500000000000002</v>
      </c>
      <c r="J15" s="59">
        <v>2.46</v>
      </c>
      <c r="K15" s="58">
        <v>2.77</v>
      </c>
      <c r="L15" s="26"/>
      <c r="M15" s="57" t="s">
        <v>7</v>
      </c>
      <c r="N15" s="206">
        <f>N8/N13</f>
        <v>0.10263157894736843</v>
      </c>
      <c r="O15" s="207"/>
      <c r="P15" s="26"/>
      <c r="Q15" s="38">
        <f t="shared" si="0"/>
        <v>2.44</v>
      </c>
      <c r="R15" s="31">
        <f t="shared" si="1"/>
        <v>-8.6199999999999832E-2</v>
      </c>
      <c r="S15" s="30">
        <f t="shared" si="2"/>
        <v>7.4304399999999713E-3</v>
      </c>
      <c r="T15" s="26"/>
    </row>
    <row r="16" spans="1:20" ht="15.75" customHeight="1" thickTop="1" thickBot="1" x14ac:dyDescent="0.3">
      <c r="A16" s="26"/>
      <c r="B16" s="204"/>
      <c r="C16" s="204"/>
      <c r="D16" s="204"/>
      <c r="E16" s="204"/>
      <c r="F16" s="204"/>
      <c r="G16" s="204"/>
      <c r="H16" s="204"/>
      <c r="I16" s="204"/>
      <c r="J16" s="204"/>
      <c r="K16" s="204"/>
      <c r="L16" s="204"/>
      <c r="M16" s="204"/>
      <c r="N16" s="204"/>
      <c r="O16" s="204"/>
      <c r="P16" s="205"/>
      <c r="Q16" s="38">
        <f>C6</f>
        <v>2.5</v>
      </c>
      <c r="R16" s="31">
        <f t="shared" si="1"/>
        <v>-2.6199999999999779E-2</v>
      </c>
      <c r="S16" s="30">
        <f t="shared" si="2"/>
        <v>6.8643999999998847E-4</v>
      </c>
      <c r="T16" s="26"/>
    </row>
    <row r="17" spans="1:20" ht="41.25" customHeight="1" thickTop="1" x14ac:dyDescent="0.25">
      <c r="A17" s="26"/>
      <c r="B17" s="208" t="s">
        <v>74</v>
      </c>
      <c r="C17" s="209"/>
      <c r="D17" s="209"/>
      <c r="E17" s="209"/>
      <c r="F17" s="209"/>
      <c r="G17" s="209" t="s">
        <v>28</v>
      </c>
      <c r="H17" s="209"/>
      <c r="I17" s="209"/>
      <c r="J17" s="209"/>
      <c r="K17" s="209"/>
      <c r="L17" s="56" t="s">
        <v>73</v>
      </c>
      <c r="M17" s="55" t="s">
        <v>72</v>
      </c>
      <c r="N17" s="54" t="s">
        <v>71</v>
      </c>
      <c r="O17" s="53" t="s">
        <v>24</v>
      </c>
      <c r="P17" s="26"/>
      <c r="Q17" s="38">
        <f>C7</f>
        <v>2.56</v>
      </c>
      <c r="R17" s="31">
        <f t="shared" si="1"/>
        <v>3.3800000000000274E-2</v>
      </c>
      <c r="S17" s="30">
        <f t="shared" si="2"/>
        <v>1.1424400000000186E-3</v>
      </c>
      <c r="T17" s="26"/>
    </row>
    <row r="18" spans="1:20" ht="15.75" customHeight="1" x14ac:dyDescent="0.3">
      <c r="A18" s="26"/>
      <c r="B18" s="189" t="s">
        <v>70</v>
      </c>
      <c r="C18" s="190"/>
      <c r="D18" s="190"/>
      <c r="E18" s="190"/>
      <c r="F18" s="190"/>
      <c r="G18" s="191">
        <v>1</v>
      </c>
      <c r="H18" s="191"/>
      <c r="I18" s="191"/>
      <c r="J18" s="191"/>
      <c r="K18" s="191"/>
      <c r="L18" s="31">
        <f t="shared" ref="L18:L25" si="3">G18/G$26</f>
        <v>0.01</v>
      </c>
      <c r="M18" s="52">
        <f>G18</f>
        <v>1</v>
      </c>
      <c r="N18" s="51">
        <f>L18</f>
        <v>0.01</v>
      </c>
      <c r="O18" s="50">
        <f t="shared" ref="O18:O25" si="4">L18</f>
        <v>0.01</v>
      </c>
      <c r="P18" s="26"/>
      <c r="Q18" s="38">
        <f>C8</f>
        <v>2.56</v>
      </c>
      <c r="R18" s="31">
        <f t="shared" si="1"/>
        <v>3.3800000000000274E-2</v>
      </c>
      <c r="S18" s="30">
        <f t="shared" si="2"/>
        <v>1.1424400000000186E-3</v>
      </c>
      <c r="T18" s="26"/>
    </row>
    <row r="19" spans="1:20" ht="15.75" customHeight="1" x14ac:dyDescent="0.3">
      <c r="A19" s="26"/>
      <c r="B19" s="189" t="s">
        <v>69</v>
      </c>
      <c r="C19" s="190"/>
      <c r="D19" s="190"/>
      <c r="E19" s="190"/>
      <c r="F19" s="190"/>
      <c r="G19" s="192">
        <v>0</v>
      </c>
      <c r="H19" s="192"/>
      <c r="I19" s="192"/>
      <c r="J19" s="192"/>
      <c r="K19" s="192"/>
      <c r="L19" s="31">
        <f t="shared" si="3"/>
        <v>0</v>
      </c>
      <c r="M19" s="52">
        <f t="shared" ref="M19:M25" si="5">G19+M18</f>
        <v>1</v>
      </c>
      <c r="N19" s="51">
        <f t="shared" ref="N19:N25" si="6">L19+N18</f>
        <v>0.01</v>
      </c>
      <c r="O19" s="50">
        <f t="shared" si="4"/>
        <v>0</v>
      </c>
      <c r="P19" s="26"/>
      <c r="Q19" s="38">
        <f>C9</f>
        <v>2.5499999999999998</v>
      </c>
      <c r="R19" s="31">
        <f t="shared" si="1"/>
        <v>2.3800000000000043E-2</v>
      </c>
      <c r="S19" s="30">
        <f t="shared" si="2"/>
        <v>5.6644000000000204E-4</v>
      </c>
      <c r="T19" s="26"/>
    </row>
    <row r="20" spans="1:20" ht="15.75" customHeight="1" x14ac:dyDescent="0.3">
      <c r="A20" s="26"/>
      <c r="B20" s="189" t="s">
        <v>68</v>
      </c>
      <c r="C20" s="190"/>
      <c r="D20" s="190"/>
      <c r="E20" s="190"/>
      <c r="F20" s="190"/>
      <c r="G20" s="192">
        <v>1</v>
      </c>
      <c r="H20" s="192"/>
      <c r="I20" s="192"/>
      <c r="J20" s="192"/>
      <c r="K20" s="192"/>
      <c r="L20" s="31">
        <f t="shared" si="3"/>
        <v>0.01</v>
      </c>
      <c r="M20" s="52">
        <f t="shared" si="5"/>
        <v>2</v>
      </c>
      <c r="N20" s="51">
        <f t="shared" si="6"/>
        <v>0.02</v>
      </c>
      <c r="O20" s="50">
        <f t="shared" si="4"/>
        <v>0.01</v>
      </c>
      <c r="P20" s="26"/>
      <c r="Q20" s="38">
        <f>C10</f>
        <v>2.54</v>
      </c>
      <c r="R20" s="31">
        <f t="shared" si="1"/>
        <v>1.3800000000000257E-2</v>
      </c>
      <c r="S20" s="30">
        <f t="shared" si="2"/>
        <v>1.9044000000000707E-4</v>
      </c>
      <c r="T20" s="26"/>
    </row>
    <row r="21" spans="1:20" ht="16.5" customHeight="1" x14ac:dyDescent="0.3">
      <c r="A21" s="26"/>
      <c r="B21" s="189" t="s">
        <v>67</v>
      </c>
      <c r="C21" s="190"/>
      <c r="D21" s="190"/>
      <c r="E21" s="190"/>
      <c r="F21" s="190"/>
      <c r="G21" s="192">
        <v>3</v>
      </c>
      <c r="H21" s="192"/>
      <c r="I21" s="192"/>
      <c r="J21" s="192"/>
      <c r="K21" s="192"/>
      <c r="L21" s="31">
        <f t="shared" si="3"/>
        <v>0.03</v>
      </c>
      <c r="M21" s="52">
        <f t="shared" si="5"/>
        <v>5</v>
      </c>
      <c r="N21" s="51">
        <f t="shared" si="6"/>
        <v>0.05</v>
      </c>
      <c r="O21" s="50">
        <f t="shared" si="4"/>
        <v>0.03</v>
      </c>
      <c r="P21" s="26"/>
      <c r="Q21" s="38"/>
      <c r="R21" s="31"/>
      <c r="S21" s="30"/>
      <c r="T21" s="26"/>
    </row>
    <row r="22" spans="1:20" ht="18.75" x14ac:dyDescent="0.3">
      <c r="A22" s="26"/>
      <c r="B22" s="189" t="s">
        <v>66</v>
      </c>
      <c r="C22" s="190"/>
      <c r="D22" s="190"/>
      <c r="E22" s="190"/>
      <c r="F22" s="190"/>
      <c r="G22" s="192">
        <v>36</v>
      </c>
      <c r="H22" s="192"/>
      <c r="I22" s="192"/>
      <c r="J22" s="192"/>
      <c r="K22" s="192"/>
      <c r="L22" s="31">
        <f t="shared" si="3"/>
        <v>0.36</v>
      </c>
      <c r="M22" s="52">
        <f t="shared" si="5"/>
        <v>41</v>
      </c>
      <c r="N22" s="51">
        <f t="shared" si="6"/>
        <v>0.41</v>
      </c>
      <c r="O22" s="50">
        <f t="shared" si="4"/>
        <v>0.36</v>
      </c>
      <c r="P22" s="26"/>
      <c r="Q22" s="38">
        <f>C11</f>
        <v>2.54</v>
      </c>
      <c r="R22" s="31">
        <f t="shared" ref="R22:R53" si="7">Q22-G$28</f>
        <v>1.3800000000000257E-2</v>
      </c>
      <c r="S22" s="30">
        <f t="shared" ref="S22:S53" si="8">R22^2</f>
        <v>1.9044000000000707E-4</v>
      </c>
      <c r="T22" s="26"/>
    </row>
    <row r="23" spans="1:20" ht="18.75" x14ac:dyDescent="0.3">
      <c r="A23" s="26"/>
      <c r="B23" s="189" t="s">
        <v>65</v>
      </c>
      <c r="C23" s="190"/>
      <c r="D23" s="190"/>
      <c r="E23" s="190"/>
      <c r="F23" s="190"/>
      <c r="G23" s="192">
        <v>52</v>
      </c>
      <c r="H23" s="192"/>
      <c r="I23" s="192"/>
      <c r="J23" s="192"/>
      <c r="K23" s="192"/>
      <c r="L23" s="31">
        <f t="shared" si="3"/>
        <v>0.52</v>
      </c>
      <c r="M23" s="52">
        <f t="shared" si="5"/>
        <v>93</v>
      </c>
      <c r="N23" s="51">
        <f t="shared" si="6"/>
        <v>0.92999999999999994</v>
      </c>
      <c r="O23" s="50">
        <f t="shared" si="4"/>
        <v>0.52</v>
      </c>
      <c r="P23" s="26"/>
      <c r="Q23" s="38">
        <f>C12</f>
        <v>2.4500000000000002</v>
      </c>
      <c r="R23" s="31">
        <f t="shared" si="7"/>
        <v>-7.6199999999999601E-2</v>
      </c>
      <c r="S23" s="30">
        <f t="shared" si="8"/>
        <v>5.8064399999999397E-3</v>
      </c>
      <c r="T23" s="26"/>
    </row>
    <row r="24" spans="1:20" ht="18.75" x14ac:dyDescent="0.3">
      <c r="A24" s="26"/>
      <c r="B24" s="189" t="s">
        <v>64</v>
      </c>
      <c r="C24" s="190"/>
      <c r="D24" s="190"/>
      <c r="E24" s="190"/>
      <c r="F24" s="190"/>
      <c r="G24" s="192">
        <v>5</v>
      </c>
      <c r="H24" s="192"/>
      <c r="I24" s="192"/>
      <c r="J24" s="192"/>
      <c r="K24" s="192"/>
      <c r="L24" s="31">
        <f t="shared" si="3"/>
        <v>0.05</v>
      </c>
      <c r="M24" s="52">
        <f t="shared" si="5"/>
        <v>98</v>
      </c>
      <c r="N24" s="51">
        <f t="shared" si="6"/>
        <v>0.98</v>
      </c>
      <c r="O24" s="50">
        <f t="shared" si="4"/>
        <v>0.05</v>
      </c>
      <c r="P24" s="26"/>
      <c r="Q24" s="38">
        <f>C13</f>
        <v>2.58</v>
      </c>
      <c r="R24" s="31">
        <f t="shared" si="7"/>
        <v>5.3800000000000292E-2</v>
      </c>
      <c r="S24" s="30">
        <f t="shared" si="8"/>
        <v>2.8944400000000315E-3</v>
      </c>
      <c r="T24" s="26"/>
    </row>
    <row r="25" spans="1:20" ht="19.5" thickBot="1" x14ac:dyDescent="0.35">
      <c r="A25" s="26"/>
      <c r="B25" s="221" t="s">
        <v>63</v>
      </c>
      <c r="C25" s="222"/>
      <c r="D25" s="222"/>
      <c r="E25" s="222"/>
      <c r="F25" s="222"/>
      <c r="G25" s="223">
        <v>2</v>
      </c>
      <c r="H25" s="223"/>
      <c r="I25" s="223"/>
      <c r="J25" s="223"/>
      <c r="K25" s="223"/>
      <c r="L25" s="28">
        <f t="shared" si="3"/>
        <v>0.02</v>
      </c>
      <c r="M25" s="49">
        <f t="shared" si="5"/>
        <v>100</v>
      </c>
      <c r="N25" s="48">
        <f t="shared" si="6"/>
        <v>1</v>
      </c>
      <c r="O25" s="47">
        <f t="shared" si="4"/>
        <v>0.02</v>
      </c>
      <c r="P25" s="26"/>
      <c r="Q25" s="38">
        <f>C14</f>
        <v>2.4500000000000002</v>
      </c>
      <c r="R25" s="31">
        <f t="shared" si="7"/>
        <v>-7.6199999999999601E-2</v>
      </c>
      <c r="S25" s="30">
        <f t="shared" si="8"/>
        <v>5.8064399999999397E-3</v>
      </c>
      <c r="T25" s="26"/>
    </row>
    <row r="26" spans="1:20" ht="16.5" thickTop="1" x14ac:dyDescent="0.25">
      <c r="A26" s="26"/>
      <c r="B26" s="218" t="s">
        <v>62</v>
      </c>
      <c r="C26" s="219"/>
      <c r="D26" s="219"/>
      <c r="E26" s="219"/>
      <c r="F26" s="220"/>
      <c r="G26" s="218">
        <f>SUM(G18:K25)</f>
        <v>100</v>
      </c>
      <c r="H26" s="219"/>
      <c r="I26" s="219"/>
      <c r="J26" s="219"/>
      <c r="K26" s="220"/>
      <c r="L26" s="26"/>
      <c r="M26" s="26"/>
      <c r="N26" s="26"/>
      <c r="O26" s="46"/>
      <c r="P26" s="26"/>
      <c r="Q26" s="38">
        <f>C15</f>
        <v>2.7</v>
      </c>
      <c r="R26" s="31">
        <f t="shared" si="7"/>
        <v>0.1738000000000004</v>
      </c>
      <c r="S26" s="30">
        <f t="shared" si="8"/>
        <v>3.020644000000014E-2</v>
      </c>
      <c r="T26" s="26"/>
    </row>
    <row r="27" spans="1:20" ht="15.75" thickBot="1" x14ac:dyDescent="0.3">
      <c r="A27" s="26"/>
      <c r="B27" s="214"/>
      <c r="C27" s="214"/>
      <c r="D27" s="214"/>
      <c r="E27" s="214"/>
      <c r="F27" s="214"/>
      <c r="G27" s="214"/>
      <c r="H27" s="214"/>
      <c r="I27" s="214"/>
      <c r="J27" s="214"/>
      <c r="K27" s="214"/>
      <c r="L27" s="26"/>
      <c r="M27" s="26"/>
      <c r="N27" s="26"/>
      <c r="O27" s="26"/>
      <c r="P27" s="26"/>
      <c r="Q27" s="38">
        <f t="shared" ref="Q27:Q36" si="9">D6</f>
        <v>1.99</v>
      </c>
      <c r="R27" s="31">
        <f t="shared" si="7"/>
        <v>-0.53619999999999979</v>
      </c>
      <c r="S27" s="30">
        <f t="shared" si="8"/>
        <v>0.28751043999999976</v>
      </c>
      <c r="T27" s="26"/>
    </row>
    <row r="28" spans="1:20" ht="20.25" thickTop="1" thickBot="1" x14ac:dyDescent="0.35">
      <c r="A28" s="26"/>
      <c r="B28" s="212" t="s">
        <v>61</v>
      </c>
      <c r="C28" s="212"/>
      <c r="D28" s="212"/>
      <c r="E28" s="212"/>
      <c r="F28" s="212"/>
      <c r="G28" s="212">
        <f>AVERAGE(B6:K15)</f>
        <v>2.5261999999999998</v>
      </c>
      <c r="H28" s="212"/>
      <c r="I28" s="212"/>
      <c r="J28" s="212"/>
      <c r="K28" s="212"/>
      <c r="L28" s="26"/>
      <c r="M28" s="26"/>
      <c r="N28" s="26"/>
      <c r="O28" s="26"/>
      <c r="P28" s="26"/>
      <c r="Q28" s="38">
        <f t="shared" si="9"/>
        <v>2.57</v>
      </c>
      <c r="R28" s="31">
        <f t="shared" si="7"/>
        <v>4.3800000000000061E-2</v>
      </c>
      <c r="S28" s="30">
        <f t="shared" si="8"/>
        <v>1.9184400000000054E-3</v>
      </c>
      <c r="T28" s="26"/>
    </row>
    <row r="29" spans="1:20" ht="16.5" thickTop="1" thickBot="1" x14ac:dyDescent="0.3">
      <c r="A29" s="26"/>
      <c r="B29" s="213"/>
      <c r="C29" s="213"/>
      <c r="D29" s="213"/>
      <c r="E29" s="213"/>
      <c r="F29" s="213"/>
      <c r="G29" s="213"/>
      <c r="H29" s="213"/>
      <c r="I29" s="213"/>
      <c r="J29" s="213"/>
      <c r="K29" s="213"/>
      <c r="L29" s="26"/>
      <c r="M29" s="26"/>
      <c r="N29" s="26"/>
      <c r="O29" s="26"/>
      <c r="P29" s="26"/>
      <c r="Q29" s="38">
        <f t="shared" si="9"/>
        <v>2.54</v>
      </c>
      <c r="R29" s="31">
        <f t="shared" si="7"/>
        <v>1.3800000000000257E-2</v>
      </c>
      <c r="S29" s="30">
        <f t="shared" si="8"/>
        <v>1.9044000000000707E-4</v>
      </c>
      <c r="T29" s="26"/>
    </row>
    <row r="30" spans="1:20" ht="20.25" thickTop="1" thickBot="1" x14ac:dyDescent="0.35">
      <c r="A30" s="26"/>
      <c r="B30" s="212" t="s">
        <v>60</v>
      </c>
      <c r="C30" s="212"/>
      <c r="D30" s="212"/>
      <c r="E30" s="212"/>
      <c r="F30" s="212"/>
      <c r="G30" s="212">
        <f>MODE(B6:K15)</f>
        <v>2.54</v>
      </c>
      <c r="H30" s="212"/>
      <c r="I30" s="212"/>
      <c r="J30" s="212"/>
      <c r="K30" s="212"/>
      <c r="L30" s="26"/>
      <c r="M30" s="26"/>
      <c r="N30" s="26"/>
      <c r="O30" s="26"/>
      <c r="P30" s="26"/>
      <c r="Q30" s="38">
        <f t="shared" si="9"/>
        <v>2.5299999999999998</v>
      </c>
      <c r="R30" s="31">
        <f t="shared" si="7"/>
        <v>3.8000000000000256E-3</v>
      </c>
      <c r="S30" s="30">
        <f t="shared" si="8"/>
        <v>1.4440000000000194E-5</v>
      </c>
      <c r="T30" s="26"/>
    </row>
    <row r="31" spans="1:20" ht="16.5" thickTop="1" thickBot="1" x14ac:dyDescent="0.3">
      <c r="A31" s="26"/>
      <c r="B31" s="224"/>
      <c r="C31" s="224"/>
      <c r="D31" s="224"/>
      <c r="E31" s="224"/>
      <c r="F31" s="224"/>
      <c r="G31" s="224"/>
      <c r="H31" s="224"/>
      <c r="I31" s="224"/>
      <c r="J31" s="224"/>
      <c r="K31" s="224"/>
      <c r="L31" s="26"/>
      <c r="M31" s="26"/>
      <c r="N31" s="26"/>
      <c r="O31" s="26"/>
      <c r="P31" s="26"/>
      <c r="Q31" s="38">
        <f t="shared" si="9"/>
        <v>2.54</v>
      </c>
      <c r="R31" s="31">
        <f t="shared" si="7"/>
        <v>1.3800000000000257E-2</v>
      </c>
      <c r="S31" s="30">
        <f t="shared" si="8"/>
        <v>1.9044000000000707E-4</v>
      </c>
      <c r="T31" s="26"/>
    </row>
    <row r="32" spans="1:20" ht="20.25" thickTop="1" thickBot="1" x14ac:dyDescent="0.35">
      <c r="A32" s="26"/>
      <c r="B32" s="212" t="s">
        <v>59</v>
      </c>
      <c r="C32" s="212"/>
      <c r="D32" s="212"/>
      <c r="E32" s="212"/>
      <c r="F32" s="212"/>
      <c r="G32" s="212">
        <f>MEDIAN(B6:K15)</f>
        <v>2.54</v>
      </c>
      <c r="H32" s="212"/>
      <c r="I32" s="212"/>
      <c r="J32" s="212"/>
      <c r="K32" s="212"/>
      <c r="L32" s="26"/>
      <c r="M32" s="26"/>
      <c r="N32" s="26"/>
      <c r="O32" s="26"/>
      <c r="P32" s="26"/>
      <c r="Q32" s="38">
        <f t="shared" si="9"/>
        <v>2.4900000000000002</v>
      </c>
      <c r="R32" s="31">
        <f t="shared" si="7"/>
        <v>-3.6199999999999566E-2</v>
      </c>
      <c r="S32" s="30">
        <f t="shared" si="8"/>
        <v>1.3104399999999685E-3</v>
      </c>
      <c r="T32" s="26"/>
    </row>
    <row r="33" spans="1:20" ht="16.5" customHeight="1" thickTop="1" thickBot="1" x14ac:dyDescent="0.3">
      <c r="A33" s="26"/>
      <c r="B33" s="224"/>
      <c r="C33" s="224"/>
      <c r="D33" s="224"/>
      <c r="E33" s="224"/>
      <c r="F33" s="224"/>
      <c r="G33" s="224"/>
      <c r="H33" s="224"/>
      <c r="I33" s="224"/>
      <c r="J33" s="224"/>
      <c r="K33" s="224"/>
      <c r="L33" s="26"/>
      <c r="M33" s="26"/>
      <c r="N33" s="26"/>
      <c r="O33" s="26"/>
      <c r="P33" s="26"/>
      <c r="Q33" s="38">
        <f t="shared" si="9"/>
        <v>2.46</v>
      </c>
      <c r="R33" s="31">
        <f t="shared" si="7"/>
        <v>-6.6199999999999815E-2</v>
      </c>
      <c r="S33" s="30">
        <f t="shared" si="8"/>
        <v>4.3824399999999753E-3</v>
      </c>
      <c r="T33" s="26"/>
    </row>
    <row r="34" spans="1:20" ht="15.75" customHeight="1" thickTop="1" thickBot="1" x14ac:dyDescent="0.35">
      <c r="A34" s="26"/>
      <c r="B34" s="212" t="s">
        <v>58</v>
      </c>
      <c r="C34" s="229"/>
      <c r="D34" s="229"/>
      <c r="E34" s="229"/>
      <c r="F34" s="229"/>
      <c r="G34" s="230">
        <f>STDEV(B6:K15)</f>
        <v>9.6376576222879179E-2</v>
      </c>
      <c r="H34" s="230"/>
      <c r="I34" s="230"/>
      <c r="J34" s="230"/>
      <c r="K34" s="230"/>
      <c r="L34" s="26"/>
      <c r="M34" s="26"/>
      <c r="N34" s="26"/>
      <c r="O34" s="26"/>
      <c r="P34" s="26"/>
      <c r="Q34" s="38">
        <f t="shared" si="9"/>
        <v>2.56</v>
      </c>
      <c r="R34" s="31">
        <f t="shared" si="7"/>
        <v>3.3800000000000274E-2</v>
      </c>
      <c r="S34" s="30">
        <f t="shared" si="8"/>
        <v>1.1424400000000186E-3</v>
      </c>
      <c r="T34" s="26"/>
    </row>
    <row r="35" spans="1:20" ht="15.75" customHeight="1" thickTop="1" thickBot="1" x14ac:dyDescent="0.3">
      <c r="A35" s="26"/>
      <c r="B35" s="224"/>
      <c r="C35" s="224"/>
      <c r="D35" s="224"/>
      <c r="E35" s="224"/>
      <c r="F35" s="224"/>
      <c r="G35" s="224"/>
      <c r="H35" s="224"/>
      <c r="I35" s="224"/>
      <c r="J35" s="224"/>
      <c r="K35" s="224"/>
      <c r="L35" s="26"/>
      <c r="M35" s="26"/>
      <c r="N35" s="26"/>
      <c r="O35" s="26"/>
      <c r="P35" s="26"/>
      <c r="Q35" s="38">
        <f t="shared" si="9"/>
        <v>2.48</v>
      </c>
      <c r="R35" s="31">
        <f t="shared" si="7"/>
        <v>-4.6199999999999797E-2</v>
      </c>
      <c r="S35" s="30">
        <f t="shared" si="8"/>
        <v>2.1344399999999814E-3</v>
      </c>
      <c r="T35" s="26"/>
    </row>
    <row r="36" spans="1:20" ht="15.75" customHeight="1" thickTop="1" thickBot="1" x14ac:dyDescent="0.3">
      <c r="A36" s="26"/>
      <c r="B36" s="45"/>
      <c r="C36" s="45"/>
      <c r="D36" s="45"/>
      <c r="E36" s="45"/>
      <c r="F36" s="45"/>
      <c r="G36" s="45"/>
      <c r="H36" s="45"/>
      <c r="I36" s="45"/>
      <c r="J36" s="45"/>
      <c r="K36" s="45"/>
      <c r="L36" s="26"/>
      <c r="M36" s="26"/>
      <c r="N36" s="26"/>
      <c r="O36" s="26"/>
      <c r="P36" s="26"/>
      <c r="Q36" s="38">
        <f t="shared" si="9"/>
        <v>2.5499999999999998</v>
      </c>
      <c r="R36" s="31">
        <f t="shared" si="7"/>
        <v>2.3800000000000043E-2</v>
      </c>
      <c r="S36" s="30">
        <f t="shared" si="8"/>
        <v>5.6644000000000204E-4</v>
      </c>
      <c r="T36" s="26"/>
    </row>
    <row r="37" spans="1:20" ht="15.75" customHeight="1" thickTop="1" thickBot="1" x14ac:dyDescent="0.35">
      <c r="A37" s="26"/>
      <c r="B37" s="227" t="s">
        <v>57</v>
      </c>
      <c r="C37" s="228"/>
      <c r="D37" s="227" t="s">
        <v>56</v>
      </c>
      <c r="E37" s="227"/>
      <c r="F37" s="26"/>
      <c r="G37" s="231" t="s">
        <v>55</v>
      </c>
      <c r="H37" s="232"/>
      <c r="I37" s="232"/>
      <c r="J37" s="232"/>
      <c r="K37" s="232"/>
      <c r="L37" s="232"/>
      <c r="M37" s="232"/>
      <c r="N37" s="232"/>
      <c r="O37" s="233"/>
      <c r="P37" s="26"/>
      <c r="Q37" s="38">
        <f t="shared" ref="Q37:Q46" si="10">E6</f>
        <v>2.44</v>
      </c>
      <c r="R37" s="31">
        <f t="shared" si="7"/>
        <v>-8.6199999999999832E-2</v>
      </c>
      <c r="S37" s="30">
        <f t="shared" si="8"/>
        <v>7.4304399999999713E-3</v>
      </c>
      <c r="T37" s="26"/>
    </row>
    <row r="38" spans="1:20" ht="15.75" customHeight="1" thickBot="1" x14ac:dyDescent="0.3">
      <c r="A38" s="26"/>
      <c r="B38" s="44" t="s">
        <v>54</v>
      </c>
      <c r="C38" s="44">
        <f>QUARTILE(B6:K15,1)</f>
        <v>2.48</v>
      </c>
      <c r="D38" s="41" t="s">
        <v>53</v>
      </c>
      <c r="E38" s="18">
        <f>_xlfn.PERCENTILE.EXC(B$6:K$15,0.1)</f>
        <v>2.4500000000000002</v>
      </c>
      <c r="F38" s="26"/>
      <c r="G38" s="234"/>
      <c r="H38" s="235"/>
      <c r="I38" s="235"/>
      <c r="J38" s="235"/>
      <c r="K38" s="235"/>
      <c r="L38" s="235"/>
      <c r="M38" s="235"/>
      <c r="N38" s="235"/>
      <c r="O38" s="236"/>
      <c r="P38" s="26"/>
      <c r="Q38" s="38">
        <f t="shared" si="10"/>
        <v>2.5499999999999998</v>
      </c>
      <c r="R38" s="31">
        <f t="shared" si="7"/>
        <v>2.3800000000000043E-2</v>
      </c>
      <c r="S38" s="30">
        <f t="shared" si="8"/>
        <v>5.6644000000000204E-4</v>
      </c>
      <c r="T38" s="26"/>
    </row>
    <row r="39" spans="1:20" ht="15.75" customHeight="1" thickBot="1" x14ac:dyDescent="0.3">
      <c r="A39" s="26"/>
      <c r="B39" s="44" t="s">
        <v>52</v>
      </c>
      <c r="C39" s="44">
        <f>QUARTILE(B6:K15,2)</f>
        <v>2.54</v>
      </c>
      <c r="D39" s="41" t="s">
        <v>51</v>
      </c>
      <c r="E39" s="18">
        <f>_xlfn.PERCENTILE.EXC(B$6:K$15,0.2)</f>
        <v>2.4700000000000002</v>
      </c>
      <c r="F39" s="26"/>
      <c r="G39" s="234"/>
      <c r="H39" s="235"/>
      <c r="I39" s="235"/>
      <c r="J39" s="235"/>
      <c r="K39" s="235"/>
      <c r="L39" s="235"/>
      <c r="M39" s="235"/>
      <c r="N39" s="235"/>
      <c r="O39" s="236"/>
      <c r="P39" s="26"/>
      <c r="Q39" s="38">
        <f t="shared" si="10"/>
        <v>2.8</v>
      </c>
      <c r="R39" s="31">
        <f t="shared" si="7"/>
        <v>0.27380000000000004</v>
      </c>
      <c r="S39" s="30">
        <f t="shared" si="8"/>
        <v>7.4966440000000023E-2</v>
      </c>
      <c r="T39" s="26"/>
    </row>
    <row r="40" spans="1:20" ht="15.75" customHeight="1" thickBot="1" x14ac:dyDescent="0.3">
      <c r="A40" s="26"/>
      <c r="B40" s="44" t="s">
        <v>50</v>
      </c>
      <c r="C40" s="44">
        <f>QUARTILE(B6:K15,3)</f>
        <v>2.57</v>
      </c>
      <c r="D40" s="41" t="s">
        <v>49</v>
      </c>
      <c r="E40" s="18">
        <f>_xlfn.PERCENTILE.EXC(B$6:K$15,0.3)</f>
        <v>2.4900000000000002</v>
      </c>
      <c r="F40" s="26"/>
      <c r="G40" s="234"/>
      <c r="H40" s="235"/>
      <c r="I40" s="235"/>
      <c r="J40" s="235"/>
      <c r="K40" s="235"/>
      <c r="L40" s="235"/>
      <c r="M40" s="235"/>
      <c r="N40" s="235"/>
      <c r="O40" s="236"/>
      <c r="P40" s="26"/>
      <c r="Q40" s="38">
        <f t="shared" si="10"/>
        <v>2.54</v>
      </c>
      <c r="R40" s="31">
        <f t="shared" si="7"/>
        <v>1.3800000000000257E-2</v>
      </c>
      <c r="S40" s="30">
        <f t="shared" si="8"/>
        <v>1.9044000000000707E-4</v>
      </c>
      <c r="T40" s="26"/>
    </row>
    <row r="41" spans="1:20" ht="15.75" customHeight="1" thickBot="1" x14ac:dyDescent="0.3">
      <c r="A41" s="26"/>
      <c r="B41" s="43"/>
      <c r="C41" s="42"/>
      <c r="D41" s="41" t="s">
        <v>48</v>
      </c>
      <c r="E41" s="18">
        <f>_xlfn.PERCENTILE.EXC(B$6:K$15,0.4)</f>
        <v>2.5099999999999998</v>
      </c>
      <c r="F41" s="26"/>
      <c r="G41" s="234"/>
      <c r="H41" s="235"/>
      <c r="I41" s="235"/>
      <c r="J41" s="235"/>
      <c r="K41" s="235"/>
      <c r="L41" s="235"/>
      <c r="M41" s="235"/>
      <c r="N41" s="235"/>
      <c r="O41" s="236"/>
      <c r="P41" s="26"/>
      <c r="Q41" s="38">
        <f t="shared" si="10"/>
        <v>2.54</v>
      </c>
      <c r="R41" s="31">
        <f t="shared" si="7"/>
        <v>1.3800000000000257E-2</v>
      </c>
      <c r="S41" s="30">
        <f t="shared" si="8"/>
        <v>1.9044000000000707E-4</v>
      </c>
      <c r="T41" s="26"/>
    </row>
    <row r="42" spans="1:20" ht="16.5" thickBot="1" x14ac:dyDescent="0.3">
      <c r="A42" s="26"/>
      <c r="B42" s="43"/>
      <c r="C42" s="42"/>
      <c r="D42" s="41" t="s">
        <v>47</v>
      </c>
      <c r="E42" s="18">
        <f>_xlfn.PERCENTILE.EXC(B$6:K$15,0.5)</f>
        <v>2.54</v>
      </c>
      <c r="F42" s="26"/>
      <c r="G42" s="234"/>
      <c r="H42" s="235"/>
      <c r="I42" s="235"/>
      <c r="J42" s="235"/>
      <c r="K42" s="235"/>
      <c r="L42" s="235"/>
      <c r="M42" s="235"/>
      <c r="N42" s="235"/>
      <c r="O42" s="236"/>
      <c r="P42" s="26"/>
      <c r="Q42" s="38">
        <f t="shared" si="10"/>
        <v>2.48</v>
      </c>
      <c r="R42" s="31">
        <f t="shared" si="7"/>
        <v>-4.6199999999999797E-2</v>
      </c>
      <c r="S42" s="30">
        <f t="shared" si="8"/>
        <v>2.1344399999999814E-3</v>
      </c>
      <c r="T42" s="26"/>
    </row>
    <row r="43" spans="1:20" ht="16.5" thickBot="1" x14ac:dyDescent="0.3">
      <c r="A43" s="26"/>
      <c r="B43" s="26"/>
      <c r="C43" s="26"/>
      <c r="D43" s="41" t="s">
        <v>46</v>
      </c>
      <c r="E43" s="18">
        <f>_xlfn.PERCENTILE.EXC(B$6:K$15,0.6)</f>
        <v>2.5499999999999998</v>
      </c>
      <c r="F43" s="26"/>
      <c r="G43" s="234"/>
      <c r="H43" s="235"/>
      <c r="I43" s="235"/>
      <c r="J43" s="235"/>
      <c r="K43" s="235"/>
      <c r="L43" s="235"/>
      <c r="M43" s="235"/>
      <c r="N43" s="235"/>
      <c r="O43" s="236"/>
      <c r="P43" s="26"/>
      <c r="Q43" s="38">
        <f t="shared" si="10"/>
        <v>2.4700000000000002</v>
      </c>
      <c r="R43" s="31">
        <f t="shared" si="7"/>
        <v>-5.6199999999999584E-2</v>
      </c>
      <c r="S43" s="30">
        <f t="shared" si="8"/>
        <v>3.1584399999999534E-3</v>
      </c>
      <c r="T43" s="26"/>
    </row>
    <row r="44" spans="1:20" ht="16.5" thickBot="1" x14ac:dyDescent="0.3">
      <c r="A44" s="26"/>
      <c r="B44" s="26"/>
      <c r="C44" s="26"/>
      <c r="D44" s="41" t="s">
        <v>45</v>
      </c>
      <c r="E44" s="18">
        <f>_xlfn.PERCENTILE.EXC(B$6:K$15,0.7)</f>
        <v>2.56</v>
      </c>
      <c r="F44" s="26"/>
      <c r="G44" s="234"/>
      <c r="H44" s="235"/>
      <c r="I44" s="235"/>
      <c r="J44" s="235"/>
      <c r="K44" s="235"/>
      <c r="L44" s="235"/>
      <c r="M44" s="235"/>
      <c r="N44" s="235"/>
      <c r="O44" s="236"/>
      <c r="P44" s="26"/>
      <c r="Q44" s="38">
        <f t="shared" si="10"/>
        <v>2.6</v>
      </c>
      <c r="R44" s="31">
        <f t="shared" si="7"/>
        <v>7.380000000000031E-2</v>
      </c>
      <c r="S44" s="30">
        <f t="shared" si="8"/>
        <v>5.4464400000000454E-3</v>
      </c>
      <c r="T44" s="26"/>
    </row>
    <row r="45" spans="1:20" ht="16.5" thickBot="1" x14ac:dyDescent="0.3">
      <c r="A45" s="26"/>
      <c r="B45" s="26"/>
      <c r="C45" s="26"/>
      <c r="D45" s="41" t="s">
        <v>44</v>
      </c>
      <c r="E45" s="18">
        <f>_xlfn.PERCENTILE.EXC(B$6:K$15,0.8)</f>
        <v>2.58</v>
      </c>
      <c r="F45" s="26"/>
      <c r="G45" s="234"/>
      <c r="H45" s="235"/>
      <c r="I45" s="235"/>
      <c r="J45" s="235"/>
      <c r="K45" s="235"/>
      <c r="L45" s="235"/>
      <c r="M45" s="235"/>
      <c r="N45" s="235"/>
      <c r="O45" s="236"/>
      <c r="P45" s="26"/>
      <c r="Q45" s="38">
        <f t="shared" si="10"/>
        <v>2.4700000000000002</v>
      </c>
      <c r="R45" s="31">
        <f t="shared" si="7"/>
        <v>-5.6199999999999584E-2</v>
      </c>
      <c r="S45" s="30">
        <f t="shared" si="8"/>
        <v>3.1584399999999534E-3</v>
      </c>
      <c r="T45" s="26"/>
    </row>
    <row r="46" spans="1:20" ht="16.5" thickBot="1" x14ac:dyDescent="0.3">
      <c r="A46" s="26"/>
      <c r="B46" s="26"/>
      <c r="C46" s="26"/>
      <c r="D46" s="41" t="s">
        <v>43</v>
      </c>
      <c r="E46" s="18">
        <f>_xlfn.PERCENTILE.EXC(B$6:K$15,0.9)</f>
        <v>2.6</v>
      </c>
      <c r="F46" s="26"/>
      <c r="G46" s="234"/>
      <c r="H46" s="235"/>
      <c r="I46" s="235"/>
      <c r="J46" s="235"/>
      <c r="K46" s="235"/>
      <c r="L46" s="235"/>
      <c r="M46" s="235"/>
      <c r="N46" s="235"/>
      <c r="O46" s="236"/>
      <c r="P46" s="26"/>
      <c r="Q46" s="38">
        <f t="shared" si="10"/>
        <v>2.6</v>
      </c>
      <c r="R46" s="31">
        <f t="shared" si="7"/>
        <v>7.380000000000031E-2</v>
      </c>
      <c r="S46" s="30">
        <f t="shared" si="8"/>
        <v>5.4464400000000454E-3</v>
      </c>
      <c r="T46" s="26"/>
    </row>
    <row r="47" spans="1:20" x14ac:dyDescent="0.25">
      <c r="A47" s="26"/>
      <c r="B47" s="26"/>
      <c r="C47" s="26"/>
      <c r="D47" s="26"/>
      <c r="E47" s="26"/>
      <c r="F47" s="26"/>
      <c r="G47" s="234"/>
      <c r="H47" s="235"/>
      <c r="I47" s="235"/>
      <c r="J47" s="235"/>
      <c r="K47" s="235"/>
      <c r="L47" s="235"/>
      <c r="M47" s="235"/>
      <c r="N47" s="235"/>
      <c r="O47" s="236"/>
      <c r="P47" s="26"/>
      <c r="Q47" s="38">
        <f t="shared" ref="Q47:Q56" si="11">F6</f>
        <v>2.4700000000000002</v>
      </c>
      <c r="R47" s="31">
        <f t="shared" si="7"/>
        <v>-5.6199999999999584E-2</v>
      </c>
      <c r="S47" s="30">
        <f t="shared" si="8"/>
        <v>3.1584399999999534E-3</v>
      </c>
      <c r="T47" s="26"/>
    </row>
    <row r="48" spans="1:20" ht="15.75" thickBot="1" x14ac:dyDescent="0.3">
      <c r="A48" s="26"/>
      <c r="B48" s="26"/>
      <c r="C48" s="26"/>
      <c r="D48" s="26"/>
      <c r="E48" s="26"/>
      <c r="F48" s="26"/>
      <c r="G48" s="237"/>
      <c r="H48" s="238"/>
      <c r="I48" s="238"/>
      <c r="J48" s="238"/>
      <c r="K48" s="238"/>
      <c r="L48" s="238"/>
      <c r="M48" s="238"/>
      <c r="N48" s="238"/>
      <c r="O48" s="239"/>
      <c r="P48" s="26"/>
      <c r="Q48" s="38">
        <f t="shared" si="11"/>
        <v>2.6</v>
      </c>
      <c r="R48" s="31">
        <f t="shared" si="7"/>
        <v>7.380000000000031E-2</v>
      </c>
      <c r="S48" s="30">
        <f t="shared" si="8"/>
        <v>5.4464400000000454E-3</v>
      </c>
      <c r="T48" s="26"/>
    </row>
    <row r="49" spans="1:20" ht="15.75" thickTop="1" x14ac:dyDescent="0.25">
      <c r="A49" s="26"/>
      <c r="B49" s="26"/>
      <c r="C49" s="26"/>
      <c r="D49" s="26"/>
      <c r="E49" s="26"/>
      <c r="F49" s="26"/>
      <c r="G49" s="26"/>
      <c r="H49" s="26"/>
      <c r="I49" s="26"/>
      <c r="J49" s="26"/>
      <c r="K49" s="26"/>
      <c r="L49" s="26"/>
      <c r="M49" s="26"/>
      <c r="N49" s="26"/>
      <c r="O49" s="26"/>
      <c r="P49" s="26"/>
      <c r="Q49" s="38">
        <f t="shared" si="11"/>
        <v>2.74</v>
      </c>
      <c r="R49" s="31">
        <f t="shared" si="7"/>
        <v>0.21380000000000043</v>
      </c>
      <c r="S49" s="30">
        <f t="shared" si="8"/>
        <v>4.5710440000000185E-2</v>
      </c>
      <c r="T49" s="26"/>
    </row>
    <row r="50" spans="1:20" x14ac:dyDescent="0.25">
      <c r="A50" s="26"/>
      <c r="B50" s="26"/>
      <c r="C50" s="26"/>
      <c r="D50" s="26"/>
      <c r="E50" s="26"/>
      <c r="F50" s="26"/>
      <c r="G50" s="26"/>
      <c r="H50" s="26"/>
      <c r="I50" s="26"/>
      <c r="J50" s="26"/>
      <c r="K50" s="26"/>
      <c r="L50" s="26"/>
      <c r="M50" s="26"/>
      <c r="N50" s="26"/>
      <c r="O50" s="26"/>
      <c r="P50" s="26"/>
      <c r="Q50" s="38">
        <f t="shared" si="11"/>
        <v>2.57</v>
      </c>
      <c r="R50" s="31">
        <f t="shared" si="7"/>
        <v>4.3800000000000061E-2</v>
      </c>
      <c r="S50" s="30">
        <f t="shared" si="8"/>
        <v>1.9184400000000054E-3</v>
      </c>
      <c r="T50" s="26"/>
    </row>
    <row r="51" spans="1:20" x14ac:dyDescent="0.25">
      <c r="A51" s="26"/>
      <c r="B51" s="26"/>
      <c r="C51" s="26"/>
      <c r="D51" s="26"/>
      <c r="E51" s="26"/>
      <c r="F51" s="26"/>
      <c r="G51" s="26"/>
      <c r="H51" s="26"/>
      <c r="I51" s="26"/>
      <c r="J51" s="26"/>
      <c r="K51" s="26"/>
      <c r="L51" s="26"/>
      <c r="M51" s="26"/>
      <c r="N51" s="26"/>
      <c r="O51" s="26"/>
      <c r="P51" s="26"/>
      <c r="Q51" s="38">
        <f t="shared" si="11"/>
        <v>2.5299999999999998</v>
      </c>
      <c r="R51" s="31">
        <f t="shared" si="7"/>
        <v>3.8000000000000256E-3</v>
      </c>
      <c r="S51" s="30">
        <f t="shared" si="8"/>
        <v>1.4440000000000194E-5</v>
      </c>
      <c r="T51" s="26"/>
    </row>
    <row r="52" spans="1:20" x14ac:dyDescent="0.25">
      <c r="A52" s="26"/>
      <c r="B52" s="26"/>
      <c r="C52" s="26"/>
      <c r="D52" s="26"/>
      <c r="E52" s="26"/>
      <c r="F52" s="26"/>
      <c r="G52" s="26"/>
      <c r="H52" s="26"/>
      <c r="I52" s="26"/>
      <c r="J52" s="26"/>
      <c r="K52" s="26"/>
      <c r="L52" s="26"/>
      <c r="M52" s="26"/>
      <c r="N52" s="26"/>
      <c r="O52" s="26"/>
      <c r="P52" s="26"/>
      <c r="Q52" s="38">
        <f t="shared" si="11"/>
        <v>2.44</v>
      </c>
      <c r="R52" s="31">
        <f t="shared" si="7"/>
        <v>-8.6199999999999832E-2</v>
      </c>
      <c r="S52" s="30">
        <f t="shared" si="8"/>
        <v>7.4304399999999713E-3</v>
      </c>
      <c r="T52" s="26"/>
    </row>
    <row r="53" spans="1:20" x14ac:dyDescent="0.25">
      <c r="A53" s="26"/>
      <c r="B53" s="26"/>
      <c r="C53" s="26"/>
      <c r="D53" s="26"/>
      <c r="E53" s="26"/>
      <c r="F53" s="26"/>
      <c r="G53" s="26"/>
      <c r="H53" s="26"/>
      <c r="I53" s="26"/>
      <c r="J53" s="26"/>
      <c r="K53" s="26"/>
      <c r="L53" s="26"/>
      <c r="M53" s="26"/>
      <c r="N53" s="26"/>
      <c r="O53" s="26"/>
      <c r="P53" s="26"/>
      <c r="Q53" s="38">
        <f t="shared" si="11"/>
        <v>2.48</v>
      </c>
      <c r="R53" s="31">
        <f t="shared" si="7"/>
        <v>-4.6199999999999797E-2</v>
      </c>
      <c r="S53" s="30">
        <f t="shared" si="8"/>
        <v>2.1344399999999814E-3</v>
      </c>
      <c r="T53" s="26"/>
    </row>
    <row r="54" spans="1:20" x14ac:dyDescent="0.25">
      <c r="A54" s="26"/>
      <c r="B54" s="26"/>
      <c r="C54" s="26"/>
      <c r="D54" s="26"/>
      <c r="E54" s="26"/>
      <c r="F54" s="26"/>
      <c r="G54" s="26"/>
      <c r="H54" s="26"/>
      <c r="I54" s="26"/>
      <c r="J54" s="26"/>
      <c r="K54" s="26"/>
      <c r="L54" s="26"/>
      <c r="M54" s="26"/>
      <c r="N54" s="26"/>
      <c r="O54" s="26"/>
      <c r="P54" s="26"/>
      <c r="Q54" s="38">
        <f t="shared" si="11"/>
        <v>2.58</v>
      </c>
      <c r="R54" s="31">
        <f t="shared" ref="R54:R85" si="12">Q54-G$28</f>
        <v>5.3800000000000292E-2</v>
      </c>
      <c r="S54" s="30">
        <f t="shared" ref="S54:S85" si="13">R54^2</f>
        <v>2.8944400000000315E-3</v>
      </c>
      <c r="T54" s="26"/>
    </row>
    <row r="55" spans="1:20" x14ac:dyDescent="0.25">
      <c r="A55" s="26"/>
      <c r="B55" s="26"/>
      <c r="C55" s="26"/>
      <c r="D55" s="26"/>
      <c r="E55" s="26"/>
      <c r="F55" s="26"/>
      <c r="G55" s="26"/>
      <c r="H55" s="26"/>
      <c r="I55" s="26"/>
      <c r="J55" s="26"/>
      <c r="K55" s="26"/>
      <c r="L55" s="26"/>
      <c r="M55" s="26"/>
      <c r="N55" s="26"/>
      <c r="O55" s="26"/>
      <c r="P55" s="26"/>
      <c r="Q55" s="38">
        <f t="shared" si="11"/>
        <v>2.46</v>
      </c>
      <c r="R55" s="31">
        <f t="shared" si="12"/>
        <v>-6.6199999999999815E-2</v>
      </c>
      <c r="S55" s="30">
        <f t="shared" si="13"/>
        <v>4.3824399999999753E-3</v>
      </c>
      <c r="T55" s="26"/>
    </row>
    <row r="56" spans="1:20" x14ac:dyDescent="0.25">
      <c r="A56" s="26"/>
      <c r="B56" s="26"/>
      <c r="C56" s="26"/>
      <c r="D56" s="26"/>
      <c r="E56" s="26"/>
      <c r="F56" s="26"/>
      <c r="G56" s="26"/>
      <c r="H56" s="26"/>
      <c r="I56" s="26"/>
      <c r="J56" s="26"/>
      <c r="K56" s="26"/>
      <c r="L56" s="26"/>
      <c r="M56" s="26"/>
      <c r="N56" s="26"/>
      <c r="O56" s="26"/>
      <c r="P56" s="26"/>
      <c r="Q56" s="38">
        <f t="shared" si="11"/>
        <v>2.5499999999999998</v>
      </c>
      <c r="R56" s="31">
        <f t="shared" si="12"/>
        <v>2.3800000000000043E-2</v>
      </c>
      <c r="S56" s="30">
        <f t="shared" si="13"/>
        <v>5.6644000000000204E-4</v>
      </c>
      <c r="T56" s="26"/>
    </row>
    <row r="57" spans="1:20" x14ac:dyDescent="0.25">
      <c r="A57" s="26"/>
      <c r="B57" s="26"/>
      <c r="C57" s="26"/>
      <c r="D57" s="26"/>
      <c r="E57" s="26"/>
      <c r="F57" s="26"/>
      <c r="G57" s="26"/>
      <c r="H57" s="26"/>
      <c r="I57" s="26"/>
      <c r="J57" s="26"/>
      <c r="K57" s="26"/>
      <c r="L57" s="26"/>
      <c r="M57" s="26"/>
      <c r="N57" s="26"/>
      <c r="O57" s="26"/>
      <c r="P57" s="26"/>
      <c r="Q57" s="38">
        <f t="shared" ref="Q57:Q66" si="14">G6</f>
        <v>2.5</v>
      </c>
      <c r="R57" s="31">
        <f t="shared" si="12"/>
        <v>-2.6199999999999779E-2</v>
      </c>
      <c r="S57" s="30">
        <f t="shared" si="13"/>
        <v>6.8643999999998847E-4</v>
      </c>
      <c r="T57" s="26"/>
    </row>
    <row r="58" spans="1:20" x14ac:dyDescent="0.25">
      <c r="A58" s="26"/>
      <c r="B58" s="26"/>
      <c r="C58" s="26"/>
      <c r="D58" s="26"/>
      <c r="E58" s="26"/>
      <c r="F58" s="26"/>
      <c r="G58" s="26"/>
      <c r="H58" s="26"/>
      <c r="I58" s="26"/>
      <c r="J58" s="26"/>
      <c r="K58" s="26"/>
      <c r="L58" s="26"/>
      <c r="M58" s="26"/>
      <c r="N58" s="26"/>
      <c r="O58" s="26"/>
      <c r="P58" s="26"/>
      <c r="Q58" s="38">
        <f t="shared" si="14"/>
        <v>2.54</v>
      </c>
      <c r="R58" s="31">
        <f t="shared" si="12"/>
        <v>1.3800000000000257E-2</v>
      </c>
      <c r="S58" s="30">
        <f t="shared" si="13"/>
        <v>1.9044000000000707E-4</v>
      </c>
      <c r="T58" s="26"/>
    </row>
    <row r="59" spans="1:20" x14ac:dyDescent="0.25">
      <c r="A59" s="26"/>
      <c r="B59" s="26"/>
      <c r="C59" s="26"/>
      <c r="D59" s="26"/>
      <c r="E59" s="26"/>
      <c r="F59" s="26"/>
      <c r="G59" s="26"/>
      <c r="H59" s="26"/>
      <c r="I59" s="26"/>
      <c r="J59" s="26"/>
      <c r="K59" s="26"/>
      <c r="L59" s="26"/>
      <c r="M59" s="26"/>
      <c r="N59" s="26"/>
      <c r="O59" s="26"/>
      <c r="P59" s="26"/>
      <c r="Q59" s="38">
        <f t="shared" si="14"/>
        <v>2.71</v>
      </c>
      <c r="R59" s="31">
        <f t="shared" si="12"/>
        <v>0.18380000000000019</v>
      </c>
      <c r="S59" s="30">
        <f t="shared" si="13"/>
        <v>3.3782440000000066E-2</v>
      </c>
      <c r="T59" s="26"/>
    </row>
    <row r="60" spans="1:20" x14ac:dyDescent="0.25">
      <c r="A60" s="26"/>
      <c r="B60" s="26"/>
      <c r="C60" s="26"/>
      <c r="D60" s="26"/>
      <c r="E60" s="26"/>
      <c r="F60" s="26"/>
      <c r="G60" s="26"/>
      <c r="H60" s="26"/>
      <c r="I60" s="26"/>
      <c r="J60" s="26"/>
      <c r="K60" s="26"/>
      <c r="L60" s="26"/>
      <c r="M60" s="26"/>
      <c r="N60" s="26"/>
      <c r="O60" s="26"/>
      <c r="P60" s="26"/>
      <c r="Q60" s="38">
        <f t="shared" si="14"/>
        <v>2.5499999999999998</v>
      </c>
      <c r="R60" s="31">
        <f t="shared" si="12"/>
        <v>2.3800000000000043E-2</v>
      </c>
      <c r="S60" s="30">
        <f t="shared" si="13"/>
        <v>5.6644000000000204E-4</v>
      </c>
      <c r="T60" s="26"/>
    </row>
    <row r="61" spans="1:20" x14ac:dyDescent="0.25">
      <c r="A61" s="26"/>
      <c r="B61" s="26"/>
      <c r="C61" s="26"/>
      <c r="D61" s="26"/>
      <c r="E61" s="26"/>
      <c r="F61" s="26"/>
      <c r="G61" s="26"/>
      <c r="H61" s="26"/>
      <c r="I61" s="26"/>
      <c r="J61" s="26"/>
      <c r="K61" s="26"/>
      <c r="L61" s="26"/>
      <c r="M61" s="26"/>
      <c r="N61" s="26"/>
      <c r="O61" s="26"/>
      <c r="P61" s="26"/>
      <c r="Q61" s="38">
        <f t="shared" si="14"/>
        <v>2.5099999999999998</v>
      </c>
      <c r="R61" s="31">
        <f t="shared" si="12"/>
        <v>-1.6199999999999992E-2</v>
      </c>
      <c r="S61" s="30">
        <f t="shared" si="13"/>
        <v>2.6243999999999974E-4</v>
      </c>
      <c r="T61" s="26"/>
    </row>
    <row r="62" spans="1:20" x14ac:dyDescent="0.25">
      <c r="A62" s="26"/>
      <c r="B62" s="26"/>
      <c r="C62" s="26"/>
      <c r="D62" s="26"/>
      <c r="E62" s="26"/>
      <c r="F62" s="26"/>
      <c r="G62" s="26"/>
      <c r="H62" s="26"/>
      <c r="I62" s="26"/>
      <c r="J62" s="26"/>
      <c r="K62" s="26"/>
      <c r="L62" s="26"/>
      <c r="M62" s="26"/>
      <c r="N62" s="26"/>
      <c r="O62" s="26"/>
      <c r="P62" s="26"/>
      <c r="Q62" s="38">
        <f t="shared" si="14"/>
        <v>2.4500000000000002</v>
      </c>
      <c r="R62" s="31">
        <f t="shared" si="12"/>
        <v>-7.6199999999999601E-2</v>
      </c>
      <c r="S62" s="30">
        <f t="shared" si="13"/>
        <v>5.8064399999999397E-3</v>
      </c>
      <c r="T62" s="26"/>
    </row>
    <row r="63" spans="1:20" x14ac:dyDescent="0.25">
      <c r="A63" s="26"/>
      <c r="B63" s="26"/>
      <c r="C63" s="26"/>
      <c r="D63" s="26"/>
      <c r="E63" s="26"/>
      <c r="F63" s="26"/>
      <c r="G63" s="26"/>
      <c r="H63" s="26"/>
      <c r="I63" s="26"/>
      <c r="J63" s="26"/>
      <c r="K63" s="26"/>
      <c r="L63" s="26"/>
      <c r="M63" s="26"/>
      <c r="N63" s="26"/>
      <c r="O63" s="26"/>
      <c r="P63" s="26"/>
      <c r="Q63" s="38">
        <f t="shared" si="14"/>
        <v>2.44</v>
      </c>
      <c r="R63" s="31">
        <f t="shared" si="12"/>
        <v>-8.6199999999999832E-2</v>
      </c>
      <c r="S63" s="30">
        <f t="shared" si="13"/>
        <v>7.4304399999999713E-3</v>
      </c>
      <c r="T63" s="26"/>
    </row>
    <row r="64" spans="1:20" x14ac:dyDescent="0.25">
      <c r="A64" s="26"/>
      <c r="B64" s="26"/>
      <c r="C64" s="26"/>
      <c r="D64" s="26"/>
      <c r="E64" s="26"/>
      <c r="F64" s="26"/>
      <c r="G64" s="26"/>
      <c r="H64" s="26"/>
      <c r="I64" s="26"/>
      <c r="J64" s="26"/>
      <c r="K64" s="26"/>
      <c r="L64" s="26"/>
      <c r="M64" s="26"/>
      <c r="N64" s="26"/>
      <c r="O64" s="26"/>
      <c r="P64" s="26"/>
      <c r="Q64" s="38">
        <f t="shared" si="14"/>
        <v>2.5</v>
      </c>
      <c r="R64" s="31">
        <f t="shared" si="12"/>
        <v>-2.6199999999999779E-2</v>
      </c>
      <c r="S64" s="30">
        <f t="shared" si="13"/>
        <v>6.8643999999998847E-4</v>
      </c>
      <c r="T64" s="26"/>
    </row>
    <row r="65" spans="1:20" x14ac:dyDescent="0.25">
      <c r="A65" s="26"/>
      <c r="B65" s="26"/>
      <c r="C65" s="26"/>
      <c r="D65" s="26"/>
      <c r="E65" s="26"/>
      <c r="F65" s="26"/>
      <c r="G65" s="26"/>
      <c r="H65" s="26"/>
      <c r="I65" s="26"/>
      <c r="J65" s="26"/>
      <c r="K65" s="26"/>
      <c r="L65" s="26"/>
      <c r="M65" s="26"/>
      <c r="N65" s="26"/>
      <c r="O65" s="26"/>
      <c r="P65" s="26"/>
      <c r="Q65" s="38">
        <f t="shared" si="14"/>
        <v>2.4500000000000002</v>
      </c>
      <c r="R65" s="31">
        <f t="shared" si="12"/>
        <v>-7.6199999999999601E-2</v>
      </c>
      <c r="S65" s="30">
        <f t="shared" si="13"/>
        <v>5.8064399999999397E-3</v>
      </c>
      <c r="T65" s="26"/>
    </row>
    <row r="66" spans="1:20" x14ac:dyDescent="0.25">
      <c r="A66" s="26"/>
      <c r="B66" s="26"/>
      <c r="C66" s="26"/>
      <c r="D66" s="26"/>
      <c r="E66" s="26"/>
      <c r="F66" s="26"/>
      <c r="G66" s="26"/>
      <c r="H66" s="26"/>
      <c r="I66" s="26"/>
      <c r="J66" s="26"/>
      <c r="K66" s="26"/>
      <c r="L66" s="26"/>
      <c r="M66" s="26"/>
      <c r="N66" s="26"/>
      <c r="O66" s="26"/>
      <c r="P66" s="26"/>
      <c r="Q66" s="38">
        <f t="shared" si="14"/>
        <v>2.5499999999999998</v>
      </c>
      <c r="R66" s="31">
        <f t="shared" si="12"/>
        <v>2.3800000000000043E-2</v>
      </c>
      <c r="S66" s="30">
        <f t="shared" si="13"/>
        <v>5.6644000000000204E-4</v>
      </c>
      <c r="T66" s="26"/>
    </row>
    <row r="67" spans="1:20" x14ac:dyDescent="0.25">
      <c r="A67" s="26"/>
      <c r="B67" s="26"/>
      <c r="C67" s="26"/>
      <c r="D67" s="26"/>
      <c r="E67" s="26"/>
      <c r="F67" s="26"/>
      <c r="G67" s="26"/>
      <c r="H67" s="26"/>
      <c r="I67" s="26"/>
      <c r="J67" s="26"/>
      <c r="K67" s="26"/>
      <c r="L67" s="26"/>
      <c r="M67" s="26"/>
      <c r="N67" s="26"/>
      <c r="O67" s="26"/>
      <c r="P67" s="26"/>
      <c r="Q67" s="38">
        <f t="shared" ref="Q67:Q76" si="15">H6</f>
        <v>2.4900000000000002</v>
      </c>
      <c r="R67" s="31">
        <f t="shared" si="12"/>
        <v>-3.6199999999999566E-2</v>
      </c>
      <c r="S67" s="30">
        <f t="shared" si="13"/>
        <v>1.3104399999999685E-3</v>
      </c>
      <c r="T67" s="26"/>
    </row>
    <row r="68" spans="1:20" x14ac:dyDescent="0.25">
      <c r="A68" s="26"/>
      <c r="B68" s="26"/>
      <c r="C68" s="26"/>
      <c r="D68" s="26"/>
      <c r="E68" s="26"/>
      <c r="F68" s="26"/>
      <c r="G68" s="26"/>
      <c r="H68" s="26"/>
      <c r="I68" s="26"/>
      <c r="J68" s="26"/>
      <c r="K68" s="26"/>
      <c r="L68" s="26"/>
      <c r="M68" s="26"/>
      <c r="N68" s="26"/>
      <c r="O68" s="26"/>
      <c r="P68" s="26"/>
      <c r="Q68" s="38">
        <f t="shared" si="15"/>
        <v>2.6</v>
      </c>
      <c r="R68" s="31">
        <f t="shared" si="12"/>
        <v>7.380000000000031E-2</v>
      </c>
      <c r="S68" s="30">
        <f t="shared" si="13"/>
        <v>5.4464400000000454E-3</v>
      </c>
      <c r="T68" s="26"/>
    </row>
    <row r="69" spans="1:20" x14ac:dyDescent="0.25">
      <c r="A69" s="26"/>
      <c r="B69" s="26"/>
      <c r="C69" s="26"/>
      <c r="D69" s="26"/>
      <c r="E69" s="26"/>
      <c r="F69" s="26"/>
      <c r="G69" s="26"/>
      <c r="H69" s="26"/>
      <c r="I69" s="26"/>
      <c r="J69" s="26"/>
      <c r="K69" s="26"/>
      <c r="L69" s="26"/>
      <c r="M69" s="26"/>
      <c r="N69" s="26"/>
      <c r="O69" s="26"/>
      <c r="P69" s="26"/>
      <c r="Q69" s="38">
        <f t="shared" si="15"/>
        <v>2.56</v>
      </c>
      <c r="R69" s="31">
        <f t="shared" si="12"/>
        <v>3.3800000000000274E-2</v>
      </c>
      <c r="S69" s="30">
        <f t="shared" si="13"/>
        <v>1.1424400000000186E-3</v>
      </c>
      <c r="T69" s="26"/>
    </row>
    <row r="70" spans="1:20" x14ac:dyDescent="0.25">
      <c r="A70" s="26"/>
      <c r="B70" s="26"/>
      <c r="C70" s="26"/>
      <c r="D70" s="26"/>
      <c r="E70" s="26"/>
      <c r="F70" s="26"/>
      <c r="G70" s="26"/>
      <c r="H70" s="26"/>
      <c r="I70" s="26"/>
      <c r="J70" s="26"/>
      <c r="K70" s="26"/>
      <c r="L70" s="26"/>
      <c r="M70" s="26"/>
      <c r="N70" s="26"/>
      <c r="O70" s="26"/>
      <c r="P70" s="26"/>
      <c r="Q70" s="38">
        <f t="shared" si="15"/>
        <v>2.56</v>
      </c>
      <c r="R70" s="31">
        <f t="shared" si="12"/>
        <v>3.3800000000000274E-2</v>
      </c>
      <c r="S70" s="30">
        <f t="shared" si="13"/>
        <v>1.1424400000000186E-3</v>
      </c>
      <c r="T70" s="26"/>
    </row>
    <row r="71" spans="1:20" x14ac:dyDescent="0.25">
      <c r="A71" s="26"/>
      <c r="B71" s="26"/>
      <c r="C71" s="26"/>
      <c r="D71" s="26"/>
      <c r="E71" s="26"/>
      <c r="F71" s="26"/>
      <c r="G71" s="26"/>
      <c r="H71" s="26"/>
      <c r="I71" s="26"/>
      <c r="J71" s="26"/>
      <c r="K71" s="26"/>
      <c r="L71" s="26"/>
      <c r="M71" s="26"/>
      <c r="N71" s="26"/>
      <c r="O71" s="26"/>
      <c r="P71" s="26"/>
      <c r="Q71" s="38">
        <f t="shared" si="15"/>
        <v>2.5</v>
      </c>
      <c r="R71" s="31">
        <f t="shared" si="12"/>
        <v>-2.6199999999999779E-2</v>
      </c>
      <c r="S71" s="30">
        <f t="shared" si="13"/>
        <v>6.8643999999998847E-4</v>
      </c>
      <c r="T71" s="26"/>
    </row>
    <row r="72" spans="1:20" x14ac:dyDescent="0.25">
      <c r="A72" s="26"/>
      <c r="B72" s="26"/>
      <c r="C72" s="26"/>
      <c r="D72" s="26"/>
      <c r="E72" s="26"/>
      <c r="F72" s="26"/>
      <c r="G72" s="26"/>
      <c r="H72" s="26"/>
      <c r="I72" s="26"/>
      <c r="J72" s="26"/>
      <c r="K72" s="26"/>
      <c r="L72" s="26"/>
      <c r="M72" s="26"/>
      <c r="N72" s="26"/>
      <c r="O72" s="26"/>
      <c r="P72" s="26"/>
      <c r="Q72" s="38">
        <f t="shared" si="15"/>
        <v>2.4700000000000002</v>
      </c>
      <c r="R72" s="31">
        <f t="shared" si="12"/>
        <v>-5.6199999999999584E-2</v>
      </c>
      <c r="S72" s="30">
        <f t="shared" si="13"/>
        <v>3.1584399999999534E-3</v>
      </c>
      <c r="T72" s="26"/>
    </row>
    <row r="73" spans="1:20" x14ac:dyDescent="0.25">
      <c r="A73" s="26"/>
      <c r="B73" s="26"/>
      <c r="C73" s="26"/>
      <c r="D73" s="26"/>
      <c r="E73" s="26"/>
      <c r="F73" s="26"/>
      <c r="G73" s="26"/>
      <c r="H73" s="26"/>
      <c r="I73" s="26"/>
      <c r="J73" s="26"/>
      <c r="K73" s="26"/>
      <c r="L73" s="26"/>
      <c r="M73" s="26"/>
      <c r="N73" s="26"/>
      <c r="O73" s="26"/>
      <c r="P73" s="26"/>
      <c r="Q73" s="38">
        <f t="shared" si="15"/>
        <v>2.54</v>
      </c>
      <c r="R73" s="31">
        <f t="shared" si="12"/>
        <v>1.3800000000000257E-2</v>
      </c>
      <c r="S73" s="30">
        <f t="shared" si="13"/>
        <v>1.9044000000000707E-4</v>
      </c>
      <c r="T73" s="26"/>
    </row>
    <row r="74" spans="1:20" x14ac:dyDescent="0.25">
      <c r="A74" s="26"/>
      <c r="B74" s="26"/>
      <c r="C74" s="26"/>
      <c r="D74" s="26"/>
      <c r="E74" s="26"/>
      <c r="F74" s="26"/>
      <c r="G74" s="26"/>
      <c r="H74" s="26"/>
      <c r="I74" s="26"/>
      <c r="J74" s="26"/>
      <c r="K74" s="26"/>
      <c r="L74" s="26"/>
      <c r="M74" s="26"/>
      <c r="N74" s="26"/>
      <c r="O74" s="26"/>
      <c r="P74" s="26"/>
      <c r="Q74" s="38">
        <f t="shared" si="15"/>
        <v>2.59</v>
      </c>
      <c r="R74" s="31">
        <f t="shared" si="12"/>
        <v>6.3800000000000079E-2</v>
      </c>
      <c r="S74" s="30">
        <f t="shared" si="13"/>
        <v>4.0704400000000102E-3</v>
      </c>
      <c r="T74" s="26"/>
    </row>
    <row r="75" spans="1:20" x14ac:dyDescent="0.25">
      <c r="A75" s="26"/>
      <c r="B75" s="26"/>
      <c r="C75" s="26"/>
      <c r="D75" s="26"/>
      <c r="E75" s="26"/>
      <c r="F75" s="26"/>
      <c r="G75" s="26"/>
      <c r="H75" s="26"/>
      <c r="I75" s="26"/>
      <c r="J75" s="26"/>
      <c r="K75" s="26"/>
      <c r="L75" s="26"/>
      <c r="M75" s="26"/>
      <c r="N75" s="26"/>
      <c r="O75" s="26"/>
      <c r="P75" s="26"/>
      <c r="Q75" s="38">
        <f t="shared" si="15"/>
        <v>2.4700000000000002</v>
      </c>
      <c r="R75" s="31">
        <f t="shared" si="12"/>
        <v>-5.6199999999999584E-2</v>
      </c>
      <c r="S75" s="30">
        <f t="shared" si="13"/>
        <v>3.1584399999999534E-3</v>
      </c>
      <c r="T75" s="26"/>
    </row>
    <row r="76" spans="1:20" x14ac:dyDescent="0.25">
      <c r="A76" s="26"/>
      <c r="B76" s="26"/>
      <c r="C76" s="26"/>
      <c r="D76" s="26"/>
      <c r="E76" s="26"/>
      <c r="F76" s="26"/>
      <c r="G76" s="26"/>
      <c r="H76" s="26"/>
      <c r="I76" s="26"/>
      <c r="J76" s="26"/>
      <c r="K76" s="26"/>
      <c r="L76" s="26"/>
      <c r="M76" s="26"/>
      <c r="N76" s="26"/>
      <c r="O76" s="26"/>
      <c r="P76" s="26"/>
      <c r="Q76" s="38">
        <f t="shared" si="15"/>
        <v>2.5499999999999998</v>
      </c>
      <c r="R76" s="31">
        <f t="shared" si="12"/>
        <v>2.3800000000000043E-2</v>
      </c>
      <c r="S76" s="30">
        <f t="shared" si="13"/>
        <v>5.6644000000000204E-4</v>
      </c>
      <c r="T76" s="26"/>
    </row>
    <row r="77" spans="1:20" x14ac:dyDescent="0.25">
      <c r="A77" s="26"/>
      <c r="B77" s="26"/>
      <c r="C77" s="26"/>
      <c r="D77" s="26"/>
      <c r="E77" s="26"/>
      <c r="F77" s="26"/>
      <c r="G77" s="26"/>
      <c r="H77" s="26"/>
      <c r="I77" s="26"/>
      <c r="J77" s="26"/>
      <c r="K77" s="26"/>
      <c r="L77" s="26"/>
      <c r="M77" s="26"/>
      <c r="N77" s="26"/>
      <c r="O77" s="26"/>
      <c r="P77" s="26"/>
      <c r="Q77" s="38">
        <f t="shared" ref="Q77:Q86" si="16">I6</f>
        <v>2.48</v>
      </c>
      <c r="R77" s="31">
        <f t="shared" si="12"/>
        <v>-4.6199999999999797E-2</v>
      </c>
      <c r="S77" s="30">
        <f t="shared" si="13"/>
        <v>2.1344399999999814E-3</v>
      </c>
      <c r="T77" s="26"/>
    </row>
    <row r="78" spans="1:20" x14ac:dyDescent="0.25">
      <c r="A78" s="26"/>
      <c r="B78" s="26"/>
      <c r="C78" s="26"/>
      <c r="D78" s="26"/>
      <c r="E78" s="26"/>
      <c r="F78" s="26"/>
      <c r="G78" s="26"/>
      <c r="H78" s="26"/>
      <c r="I78" s="26"/>
      <c r="J78" s="26"/>
      <c r="K78" s="26"/>
      <c r="L78" s="26"/>
      <c r="M78" s="26"/>
      <c r="N78" s="26"/>
      <c r="O78" s="26"/>
      <c r="P78" s="26"/>
      <c r="Q78" s="38">
        <f t="shared" si="16"/>
        <v>2.58</v>
      </c>
      <c r="R78" s="31">
        <f t="shared" si="12"/>
        <v>5.3800000000000292E-2</v>
      </c>
      <c r="S78" s="30">
        <f t="shared" si="13"/>
        <v>2.8944400000000315E-3</v>
      </c>
      <c r="T78" s="26"/>
    </row>
    <row r="79" spans="1:20" x14ac:dyDescent="0.25">
      <c r="A79" s="26"/>
      <c r="B79" s="26"/>
      <c r="C79" s="26"/>
      <c r="D79" s="26"/>
      <c r="E79" s="26"/>
      <c r="F79" s="26"/>
      <c r="G79" s="26"/>
      <c r="H79" s="26"/>
      <c r="I79" s="26"/>
      <c r="J79" s="26"/>
      <c r="K79" s="26"/>
      <c r="L79" s="26"/>
      <c r="M79" s="26"/>
      <c r="N79" s="26"/>
      <c r="O79" s="26"/>
      <c r="P79" s="26"/>
      <c r="Q79" s="38">
        <f t="shared" si="16"/>
        <v>2.57</v>
      </c>
      <c r="R79" s="31">
        <f t="shared" si="12"/>
        <v>4.3800000000000061E-2</v>
      </c>
      <c r="S79" s="30">
        <f t="shared" si="13"/>
        <v>1.9184400000000054E-3</v>
      </c>
      <c r="T79" s="26"/>
    </row>
    <row r="80" spans="1:20" x14ac:dyDescent="0.25">
      <c r="A80" s="26"/>
      <c r="B80" s="26"/>
      <c r="C80" s="26"/>
      <c r="D80" s="26"/>
      <c r="E80" s="26"/>
      <c r="F80" s="26"/>
      <c r="G80" s="26"/>
      <c r="H80" s="26"/>
      <c r="I80" s="26"/>
      <c r="J80" s="26"/>
      <c r="K80" s="26"/>
      <c r="L80" s="26"/>
      <c r="M80" s="26"/>
      <c r="N80" s="26"/>
      <c r="O80" s="26"/>
      <c r="P80" s="26"/>
      <c r="Q80" s="38">
        <f t="shared" si="16"/>
        <v>2.58</v>
      </c>
      <c r="R80" s="31">
        <f t="shared" si="12"/>
        <v>5.3800000000000292E-2</v>
      </c>
      <c r="S80" s="30">
        <f t="shared" si="13"/>
        <v>2.8944400000000315E-3</v>
      </c>
      <c r="T80" s="26"/>
    </row>
    <row r="81" spans="1:20" x14ac:dyDescent="0.25">
      <c r="A81" s="26"/>
      <c r="B81" s="26"/>
      <c r="C81" s="26"/>
      <c r="D81" s="26"/>
      <c r="E81" s="26"/>
      <c r="F81" s="26"/>
      <c r="G81" s="26"/>
      <c r="H81" s="26"/>
      <c r="I81" s="26"/>
      <c r="J81" s="26"/>
      <c r="K81" s="26"/>
      <c r="L81" s="26"/>
      <c r="M81" s="26"/>
      <c r="N81" s="26"/>
      <c r="O81" s="26"/>
      <c r="P81" s="26"/>
      <c r="Q81" s="38">
        <f t="shared" si="16"/>
        <v>2.5</v>
      </c>
      <c r="R81" s="31">
        <f t="shared" si="12"/>
        <v>-2.6199999999999779E-2</v>
      </c>
      <c r="S81" s="30">
        <f t="shared" si="13"/>
        <v>6.8643999999998847E-4</v>
      </c>
      <c r="T81" s="26"/>
    </row>
    <row r="82" spans="1:20" x14ac:dyDescent="0.25">
      <c r="A82" s="26"/>
      <c r="B82" s="26"/>
      <c r="C82" s="26"/>
      <c r="D82" s="26"/>
      <c r="E82" s="26"/>
      <c r="F82" s="26"/>
      <c r="G82" s="26"/>
      <c r="H82" s="26"/>
      <c r="I82" s="26"/>
      <c r="J82" s="26"/>
      <c r="K82" s="26"/>
      <c r="L82" s="26"/>
      <c r="M82" s="26"/>
      <c r="N82" s="26"/>
      <c r="O82" s="26"/>
      <c r="P82" s="26"/>
      <c r="Q82" s="38">
        <f t="shared" si="16"/>
        <v>2.46</v>
      </c>
      <c r="R82" s="31">
        <f t="shared" si="12"/>
        <v>-6.6199999999999815E-2</v>
      </c>
      <c r="S82" s="30">
        <f t="shared" si="13"/>
        <v>4.3824399999999753E-3</v>
      </c>
      <c r="T82" s="26"/>
    </row>
    <row r="83" spans="1:20" x14ac:dyDescent="0.25">
      <c r="A83" s="26"/>
      <c r="B83" s="26"/>
      <c r="C83" s="26"/>
      <c r="D83" s="26"/>
      <c r="E83" s="26"/>
      <c r="F83" s="26"/>
      <c r="G83" s="26"/>
      <c r="H83" s="26"/>
      <c r="I83" s="26"/>
      <c r="J83" s="26"/>
      <c r="K83" s="26"/>
      <c r="L83" s="26"/>
      <c r="M83" s="26"/>
      <c r="N83" s="26"/>
      <c r="O83" s="26"/>
      <c r="P83" s="26"/>
      <c r="Q83" s="38">
        <f t="shared" si="16"/>
        <v>2.59</v>
      </c>
      <c r="R83" s="31">
        <f t="shared" si="12"/>
        <v>6.3800000000000079E-2</v>
      </c>
      <c r="S83" s="30">
        <f t="shared" si="13"/>
        <v>4.0704400000000102E-3</v>
      </c>
      <c r="T83" s="26"/>
    </row>
    <row r="84" spans="1:20" x14ac:dyDescent="0.25">
      <c r="A84" s="26"/>
      <c r="B84" s="26"/>
      <c r="C84" s="26"/>
      <c r="D84" s="26"/>
      <c r="E84" s="26"/>
      <c r="F84" s="26"/>
      <c r="G84" s="26"/>
      <c r="H84" s="26"/>
      <c r="I84" s="26"/>
      <c r="J84" s="26"/>
      <c r="K84" s="26"/>
      <c r="L84" s="26"/>
      <c r="M84" s="26"/>
      <c r="N84" s="26"/>
      <c r="O84" s="26"/>
      <c r="P84" s="26"/>
      <c r="Q84" s="38">
        <f t="shared" si="16"/>
        <v>2.6</v>
      </c>
      <c r="R84" s="31">
        <f t="shared" si="12"/>
        <v>7.380000000000031E-2</v>
      </c>
      <c r="S84" s="30">
        <f t="shared" si="13"/>
        <v>5.4464400000000454E-3</v>
      </c>
      <c r="T84" s="26"/>
    </row>
    <row r="85" spans="1:20" x14ac:dyDescent="0.25">
      <c r="A85" s="26"/>
      <c r="B85" s="26"/>
      <c r="C85" s="26"/>
      <c r="D85" s="26"/>
      <c r="E85" s="26"/>
      <c r="F85" s="26"/>
      <c r="G85" s="26"/>
      <c r="H85" s="26"/>
      <c r="I85" s="26"/>
      <c r="J85" s="26"/>
      <c r="K85" s="26"/>
      <c r="L85" s="26"/>
      <c r="M85" s="26"/>
      <c r="N85" s="26"/>
      <c r="O85" s="26"/>
      <c r="P85" s="26"/>
      <c r="Q85" s="38">
        <f t="shared" si="16"/>
        <v>2.48</v>
      </c>
      <c r="R85" s="31">
        <f t="shared" si="12"/>
        <v>-4.6199999999999797E-2</v>
      </c>
      <c r="S85" s="30">
        <f t="shared" si="13"/>
        <v>2.1344399999999814E-3</v>
      </c>
      <c r="T85" s="26"/>
    </row>
    <row r="86" spans="1:20" x14ac:dyDescent="0.25">
      <c r="A86" s="26"/>
      <c r="B86" s="26"/>
      <c r="C86" s="26"/>
      <c r="D86" s="26"/>
      <c r="E86" s="26"/>
      <c r="F86" s="26"/>
      <c r="G86" s="26"/>
      <c r="H86" s="26"/>
      <c r="I86" s="26"/>
      <c r="J86" s="26"/>
      <c r="K86" s="26"/>
      <c r="L86" s="26"/>
      <c r="M86" s="26"/>
      <c r="N86" s="26"/>
      <c r="O86" s="26"/>
      <c r="P86" s="26"/>
      <c r="Q86" s="38">
        <f t="shared" si="16"/>
        <v>2.4500000000000002</v>
      </c>
      <c r="R86" s="31">
        <f t="shared" ref="R86:R106" si="17">Q86-G$28</f>
        <v>-7.6199999999999601E-2</v>
      </c>
      <c r="S86" s="30">
        <f t="shared" ref="S86:S106" si="18">R86^2</f>
        <v>5.8064399999999397E-3</v>
      </c>
      <c r="T86" s="26"/>
    </row>
    <row r="87" spans="1:20" x14ac:dyDescent="0.25">
      <c r="A87" s="26"/>
      <c r="B87" s="26"/>
      <c r="C87" s="26"/>
      <c r="D87" s="26"/>
      <c r="E87" s="26"/>
      <c r="F87" s="26"/>
      <c r="G87" s="26"/>
      <c r="H87" s="26"/>
      <c r="I87" s="26"/>
      <c r="J87" s="26"/>
      <c r="K87" s="26"/>
      <c r="L87" s="26"/>
      <c r="M87" s="26"/>
      <c r="N87" s="26"/>
      <c r="O87" s="26"/>
      <c r="P87" s="26"/>
      <c r="Q87" s="38">
        <f t="shared" ref="Q87:Q96" si="19">J6</f>
        <v>2.5099999999999998</v>
      </c>
      <c r="R87" s="31">
        <f t="shared" si="17"/>
        <v>-1.6199999999999992E-2</v>
      </c>
      <c r="S87" s="30">
        <f t="shared" si="18"/>
        <v>2.6243999999999974E-4</v>
      </c>
      <c r="T87" s="26"/>
    </row>
    <row r="88" spans="1:20" x14ac:dyDescent="0.25">
      <c r="A88" s="26"/>
      <c r="B88" s="26"/>
      <c r="C88" s="26"/>
      <c r="D88" s="26"/>
      <c r="E88" s="26"/>
      <c r="F88" s="26"/>
      <c r="G88" s="26"/>
      <c r="H88" s="26"/>
      <c r="I88" s="26"/>
      <c r="J88" s="26"/>
      <c r="K88" s="26"/>
      <c r="L88" s="26"/>
      <c r="M88" s="26"/>
      <c r="N88" s="26"/>
      <c r="O88" s="26"/>
      <c r="P88" s="26"/>
      <c r="Q88" s="38">
        <f t="shared" si="19"/>
        <v>2.57</v>
      </c>
      <c r="R88" s="31">
        <f t="shared" si="17"/>
        <v>4.3800000000000061E-2</v>
      </c>
      <c r="S88" s="30">
        <f t="shared" si="18"/>
        <v>1.9184400000000054E-3</v>
      </c>
      <c r="T88" s="26"/>
    </row>
    <row r="89" spans="1:20" x14ac:dyDescent="0.25">
      <c r="A89" s="26"/>
      <c r="B89" s="26"/>
      <c r="C89" s="26"/>
      <c r="D89" s="26"/>
      <c r="E89" s="26"/>
      <c r="F89" s="26"/>
      <c r="G89" s="26"/>
      <c r="H89" s="26"/>
      <c r="I89" s="26"/>
      <c r="J89" s="26"/>
      <c r="K89" s="26"/>
      <c r="L89" s="26"/>
      <c r="M89" s="26"/>
      <c r="N89" s="26"/>
      <c r="O89" s="26"/>
      <c r="P89" s="26"/>
      <c r="Q89" s="38">
        <f t="shared" si="19"/>
        <v>2.54</v>
      </c>
      <c r="R89" s="31">
        <f t="shared" si="17"/>
        <v>1.3800000000000257E-2</v>
      </c>
      <c r="S89" s="30">
        <f t="shared" si="18"/>
        <v>1.9044000000000707E-4</v>
      </c>
      <c r="T89" s="26"/>
    </row>
    <row r="90" spans="1:20" x14ac:dyDescent="0.25">
      <c r="A90" s="26"/>
      <c r="B90" s="26"/>
      <c r="C90" s="26"/>
      <c r="D90" s="26"/>
      <c r="E90" s="26"/>
      <c r="F90" s="26"/>
      <c r="G90" s="26"/>
      <c r="H90" s="26"/>
      <c r="I90" s="26"/>
      <c r="J90" s="26"/>
      <c r="K90" s="26"/>
      <c r="L90" s="26"/>
      <c r="M90" s="26"/>
      <c r="N90" s="26"/>
      <c r="O90" s="26"/>
      <c r="P90" s="26"/>
      <c r="Q90" s="38">
        <f t="shared" si="19"/>
        <v>2.5299999999999998</v>
      </c>
      <c r="R90" s="31">
        <f t="shared" si="17"/>
        <v>3.8000000000000256E-3</v>
      </c>
      <c r="S90" s="30">
        <f t="shared" si="18"/>
        <v>1.4440000000000194E-5</v>
      </c>
      <c r="T90" s="26"/>
    </row>
    <row r="91" spans="1:20" x14ac:dyDescent="0.25">
      <c r="A91" s="26"/>
      <c r="B91" s="26"/>
      <c r="C91" s="26"/>
      <c r="D91" s="26"/>
      <c r="E91" s="26"/>
      <c r="F91" s="26"/>
      <c r="G91" s="26"/>
      <c r="H91" s="26"/>
      <c r="I91" s="26"/>
      <c r="J91" s="26"/>
      <c r="K91" s="26"/>
      <c r="L91" s="26"/>
      <c r="M91" s="26"/>
      <c r="N91" s="26"/>
      <c r="O91" s="26"/>
      <c r="P91" s="26"/>
      <c r="Q91" s="38">
        <f t="shared" si="19"/>
        <v>2.59</v>
      </c>
      <c r="R91" s="31">
        <f t="shared" si="17"/>
        <v>6.3800000000000079E-2</v>
      </c>
      <c r="S91" s="30">
        <f t="shared" si="18"/>
        <v>4.0704400000000102E-3</v>
      </c>
      <c r="T91" s="26"/>
    </row>
    <row r="92" spans="1:20" x14ac:dyDescent="0.25">
      <c r="A92" s="26"/>
      <c r="B92" s="26"/>
      <c r="C92" s="26"/>
      <c r="D92" s="26"/>
      <c r="E92" s="26"/>
      <c r="F92" s="26"/>
      <c r="G92" s="26"/>
      <c r="H92" s="26"/>
      <c r="I92" s="26"/>
      <c r="J92" s="26"/>
      <c r="K92" s="26"/>
      <c r="L92" s="26"/>
      <c r="M92" s="26"/>
      <c r="N92" s="26"/>
      <c r="O92" s="26"/>
      <c r="P92" s="26"/>
      <c r="Q92" s="38">
        <f t="shared" si="19"/>
        <v>2.2200000000000002</v>
      </c>
      <c r="R92" s="31">
        <f t="shared" si="17"/>
        <v>-0.30619999999999958</v>
      </c>
      <c r="S92" s="30">
        <f t="shared" si="18"/>
        <v>9.3758439999999749E-2</v>
      </c>
      <c r="T92" s="26"/>
    </row>
    <row r="93" spans="1:20" x14ac:dyDescent="0.25">
      <c r="A93" s="26"/>
      <c r="B93" s="26"/>
      <c r="C93" s="26"/>
      <c r="D93" s="26"/>
      <c r="E93" s="26"/>
      <c r="F93" s="26"/>
      <c r="G93" s="26"/>
      <c r="H93" s="26"/>
      <c r="I93" s="26"/>
      <c r="J93" s="26"/>
      <c r="K93" s="26"/>
      <c r="L93" s="26"/>
      <c r="M93" s="26"/>
      <c r="N93" s="26"/>
      <c r="O93" s="26"/>
      <c r="P93" s="26"/>
      <c r="Q93" s="38">
        <f t="shared" si="19"/>
        <v>2.56</v>
      </c>
      <c r="R93" s="31">
        <f t="shared" si="17"/>
        <v>3.3800000000000274E-2</v>
      </c>
      <c r="S93" s="30">
        <f t="shared" si="18"/>
        <v>1.1424400000000186E-3</v>
      </c>
      <c r="T93" s="26"/>
    </row>
    <row r="94" spans="1:20" x14ac:dyDescent="0.25">
      <c r="A94" s="26"/>
      <c r="B94" s="26"/>
      <c r="C94" s="26"/>
      <c r="D94" s="26"/>
      <c r="E94" s="26"/>
      <c r="F94" s="26"/>
      <c r="G94" s="26"/>
      <c r="H94" s="26"/>
      <c r="I94" s="26"/>
      <c r="J94" s="26"/>
      <c r="K94" s="26"/>
      <c r="L94" s="26"/>
      <c r="M94" s="26"/>
      <c r="N94" s="26"/>
      <c r="O94" s="26"/>
      <c r="P94" s="26"/>
      <c r="Q94" s="38">
        <f t="shared" si="19"/>
        <v>2.61</v>
      </c>
      <c r="R94" s="31">
        <f t="shared" si="17"/>
        <v>8.3800000000000097E-2</v>
      </c>
      <c r="S94" s="30">
        <f t="shared" si="18"/>
        <v>7.0224400000000161E-3</v>
      </c>
      <c r="T94" s="26"/>
    </row>
    <row r="95" spans="1:20" x14ac:dyDescent="0.25">
      <c r="A95" s="26"/>
      <c r="B95" s="26"/>
      <c r="C95" s="26"/>
      <c r="D95" s="26"/>
      <c r="E95" s="26"/>
      <c r="F95" s="26"/>
      <c r="G95" s="26"/>
      <c r="H95" s="26"/>
      <c r="I95" s="26"/>
      <c r="J95" s="26"/>
      <c r="K95" s="26"/>
      <c r="L95" s="26"/>
      <c r="M95" s="26"/>
      <c r="N95" s="26"/>
      <c r="O95" s="26"/>
      <c r="P95" s="26"/>
      <c r="Q95" s="38">
        <f t="shared" si="19"/>
        <v>2.4900000000000002</v>
      </c>
      <c r="R95" s="31">
        <f t="shared" si="17"/>
        <v>-3.6199999999999566E-2</v>
      </c>
      <c r="S95" s="30">
        <f t="shared" si="18"/>
        <v>1.3104399999999685E-3</v>
      </c>
      <c r="T95" s="26"/>
    </row>
    <row r="96" spans="1:20" x14ac:dyDescent="0.25">
      <c r="A96" s="26"/>
      <c r="B96" s="26"/>
      <c r="C96" s="26"/>
      <c r="D96" s="26"/>
      <c r="E96" s="26"/>
      <c r="F96" s="26"/>
      <c r="G96" s="26"/>
      <c r="H96" s="26"/>
      <c r="I96" s="26"/>
      <c r="J96" s="26"/>
      <c r="K96" s="26"/>
      <c r="L96" s="26"/>
      <c r="M96" s="26"/>
      <c r="N96" s="26"/>
      <c r="O96" s="26"/>
      <c r="P96" s="26"/>
      <c r="Q96" s="38">
        <f t="shared" si="19"/>
        <v>2.46</v>
      </c>
      <c r="R96" s="31">
        <f t="shared" si="17"/>
        <v>-6.6199999999999815E-2</v>
      </c>
      <c r="S96" s="30">
        <f t="shared" si="18"/>
        <v>4.3824399999999753E-3</v>
      </c>
      <c r="T96" s="26"/>
    </row>
    <row r="97" spans="1:20" x14ac:dyDescent="0.25">
      <c r="A97" s="26"/>
      <c r="B97" s="26"/>
      <c r="C97" s="26"/>
      <c r="D97" s="26"/>
      <c r="E97" s="26"/>
      <c r="F97" s="26"/>
      <c r="G97" s="26"/>
      <c r="H97" s="26"/>
      <c r="I97" s="26"/>
      <c r="J97" s="26"/>
      <c r="K97" s="26"/>
      <c r="L97" s="26"/>
      <c r="M97" s="26"/>
      <c r="N97" s="26"/>
      <c r="O97" s="26"/>
      <c r="P97" s="26"/>
      <c r="Q97" s="38">
        <f t="shared" ref="Q97:Q106" si="20">K6</f>
        <v>2.5</v>
      </c>
      <c r="R97" s="31">
        <f t="shared" si="17"/>
        <v>-2.6199999999999779E-2</v>
      </c>
      <c r="S97" s="30">
        <f t="shared" si="18"/>
        <v>6.8643999999998847E-4</v>
      </c>
      <c r="T97" s="26"/>
    </row>
    <row r="98" spans="1:20" x14ac:dyDescent="0.25">
      <c r="A98" s="26"/>
      <c r="B98" s="26"/>
      <c r="C98" s="26"/>
      <c r="D98" s="26"/>
      <c r="E98" s="26"/>
      <c r="F98" s="26"/>
      <c r="G98" s="26"/>
      <c r="H98" s="26"/>
      <c r="I98" s="26"/>
      <c r="J98" s="26"/>
      <c r="K98" s="26"/>
      <c r="L98" s="26"/>
      <c r="M98" s="26"/>
      <c r="N98" s="26"/>
      <c r="O98" s="26"/>
      <c r="P98" s="26"/>
      <c r="Q98" s="38">
        <f t="shared" si="20"/>
        <v>2.57</v>
      </c>
      <c r="R98" s="31">
        <f t="shared" si="17"/>
        <v>4.3800000000000061E-2</v>
      </c>
      <c r="S98" s="30">
        <f t="shared" si="18"/>
        <v>1.9184400000000054E-3</v>
      </c>
      <c r="T98" s="26"/>
    </row>
    <row r="99" spans="1:20" x14ac:dyDescent="0.25">
      <c r="A99" s="26"/>
      <c r="B99" s="26"/>
      <c r="C99" s="26"/>
      <c r="D99" s="26"/>
      <c r="E99" s="26"/>
      <c r="F99" s="26"/>
      <c r="G99" s="26"/>
      <c r="H99" s="26"/>
      <c r="I99" s="26"/>
      <c r="J99" s="26"/>
      <c r="K99" s="26"/>
      <c r="L99" s="26"/>
      <c r="M99" s="26"/>
      <c r="N99" s="26"/>
      <c r="O99" s="26"/>
      <c r="P99" s="26"/>
      <c r="Q99" s="38">
        <f t="shared" si="20"/>
        <v>2.5099999999999998</v>
      </c>
      <c r="R99" s="31">
        <f t="shared" si="17"/>
        <v>-1.6199999999999992E-2</v>
      </c>
      <c r="S99" s="30">
        <f t="shared" si="18"/>
        <v>2.6243999999999974E-4</v>
      </c>
      <c r="T99" s="26"/>
    </row>
    <row r="100" spans="1:20" x14ac:dyDescent="0.25">
      <c r="A100" s="26"/>
      <c r="B100" s="26"/>
      <c r="C100" s="26"/>
      <c r="D100" s="26"/>
      <c r="E100" s="26"/>
      <c r="F100" s="26"/>
      <c r="G100" s="26"/>
      <c r="H100" s="26"/>
      <c r="I100" s="26"/>
      <c r="J100" s="26"/>
      <c r="K100" s="26"/>
      <c r="L100" s="26"/>
      <c r="M100" s="26"/>
      <c r="N100" s="26"/>
      <c r="O100" s="26"/>
      <c r="P100" s="26"/>
      <c r="Q100" s="38">
        <f t="shared" si="20"/>
        <v>2.56</v>
      </c>
      <c r="R100" s="31">
        <f t="shared" si="17"/>
        <v>3.3800000000000274E-2</v>
      </c>
      <c r="S100" s="30">
        <f t="shared" si="18"/>
        <v>1.1424400000000186E-3</v>
      </c>
      <c r="T100" s="26"/>
    </row>
    <row r="101" spans="1:20" x14ac:dyDescent="0.25">
      <c r="A101" s="26"/>
      <c r="B101" s="26"/>
      <c r="C101" s="26"/>
      <c r="D101" s="26"/>
      <c r="E101" s="26"/>
      <c r="F101" s="26"/>
      <c r="G101" s="26"/>
      <c r="H101" s="26"/>
      <c r="I101" s="26"/>
      <c r="J101" s="26"/>
      <c r="K101" s="26"/>
      <c r="L101" s="26"/>
      <c r="M101" s="26"/>
      <c r="N101" s="26"/>
      <c r="O101" s="26"/>
      <c r="P101" s="26"/>
      <c r="Q101" s="38">
        <f t="shared" si="20"/>
        <v>2.58</v>
      </c>
      <c r="R101" s="31">
        <f t="shared" si="17"/>
        <v>5.3800000000000292E-2</v>
      </c>
      <c r="S101" s="30">
        <f t="shared" si="18"/>
        <v>2.8944400000000315E-3</v>
      </c>
      <c r="T101" s="26"/>
    </row>
    <row r="102" spans="1:20" x14ac:dyDescent="0.25">
      <c r="A102" s="26"/>
      <c r="B102" s="26"/>
      <c r="C102" s="26"/>
      <c r="D102" s="26"/>
      <c r="E102" s="26"/>
      <c r="F102" s="26"/>
      <c r="G102" s="26"/>
      <c r="H102" s="26"/>
      <c r="I102" s="26"/>
      <c r="J102" s="26"/>
      <c r="K102" s="26"/>
      <c r="L102" s="26"/>
      <c r="M102" s="26"/>
      <c r="N102" s="26"/>
      <c r="O102" s="26"/>
      <c r="P102" s="26"/>
      <c r="Q102" s="38">
        <f t="shared" si="20"/>
        <v>2.39</v>
      </c>
      <c r="R102" s="31">
        <f t="shared" si="17"/>
        <v>-0.13619999999999965</v>
      </c>
      <c r="S102" s="30">
        <f t="shared" si="18"/>
        <v>1.8550439999999904E-2</v>
      </c>
      <c r="T102" s="26"/>
    </row>
    <row r="103" spans="1:20" x14ac:dyDescent="0.25">
      <c r="A103" s="26"/>
      <c r="B103" s="26"/>
      <c r="C103" s="26"/>
      <c r="D103" s="26"/>
      <c r="E103" s="26"/>
      <c r="F103" s="26"/>
      <c r="G103" s="26"/>
      <c r="H103" s="26"/>
      <c r="I103" s="26"/>
      <c r="J103" s="26"/>
      <c r="K103" s="26"/>
      <c r="L103" s="26"/>
      <c r="M103" s="26"/>
      <c r="N103" s="26"/>
      <c r="O103" s="26"/>
      <c r="P103" s="26"/>
      <c r="Q103" s="38">
        <f t="shared" si="20"/>
        <v>2.57</v>
      </c>
      <c r="R103" s="31">
        <f t="shared" si="17"/>
        <v>4.3800000000000061E-2</v>
      </c>
      <c r="S103" s="30">
        <f t="shared" si="18"/>
        <v>1.9184400000000054E-3</v>
      </c>
      <c r="T103" s="26"/>
    </row>
    <row r="104" spans="1:20" x14ac:dyDescent="0.25">
      <c r="A104" s="26"/>
      <c r="B104" s="26"/>
      <c r="C104" s="26"/>
      <c r="D104" s="26"/>
      <c r="E104" s="26"/>
      <c r="F104" s="26"/>
      <c r="G104" s="26"/>
      <c r="H104" s="26"/>
      <c r="I104" s="26"/>
      <c r="J104" s="26"/>
      <c r="K104" s="26"/>
      <c r="L104" s="26"/>
      <c r="M104" s="26"/>
      <c r="N104" s="26"/>
      <c r="O104" s="26"/>
      <c r="P104" s="26"/>
      <c r="Q104" s="38">
        <f t="shared" si="20"/>
        <v>2.64</v>
      </c>
      <c r="R104" s="31">
        <f t="shared" si="17"/>
        <v>0.11380000000000035</v>
      </c>
      <c r="S104" s="30">
        <f t="shared" si="18"/>
        <v>1.2950440000000079E-2</v>
      </c>
      <c r="T104" s="26"/>
    </row>
    <row r="105" spans="1:20" x14ac:dyDescent="0.25">
      <c r="A105" s="26"/>
      <c r="B105" s="26"/>
      <c r="C105" s="26"/>
      <c r="D105" s="26"/>
      <c r="E105" s="26"/>
      <c r="F105" s="26"/>
      <c r="G105" s="26"/>
      <c r="H105" s="26"/>
      <c r="I105" s="26"/>
      <c r="J105" s="26"/>
      <c r="K105" s="26"/>
      <c r="L105" s="26"/>
      <c r="M105" s="26"/>
      <c r="N105" s="26"/>
      <c r="O105" s="26"/>
      <c r="P105" s="26"/>
      <c r="Q105" s="38">
        <f t="shared" si="20"/>
        <v>2.4500000000000002</v>
      </c>
      <c r="R105" s="31">
        <f t="shared" si="17"/>
        <v>-7.6199999999999601E-2</v>
      </c>
      <c r="S105" s="30">
        <f t="shared" si="18"/>
        <v>5.8064399999999397E-3</v>
      </c>
      <c r="T105" s="26"/>
    </row>
    <row r="106" spans="1:20" x14ac:dyDescent="0.25">
      <c r="A106" s="26"/>
      <c r="B106" s="26"/>
      <c r="C106" s="26"/>
      <c r="D106" s="26"/>
      <c r="E106" s="26"/>
      <c r="F106" s="26"/>
      <c r="G106" s="26"/>
      <c r="H106" s="26"/>
      <c r="I106" s="26"/>
      <c r="J106" s="26"/>
      <c r="K106" s="26"/>
      <c r="L106" s="26"/>
      <c r="M106" s="26"/>
      <c r="N106" s="26"/>
      <c r="O106" s="26"/>
      <c r="P106" s="26"/>
      <c r="Q106" s="38">
        <f t="shared" si="20"/>
        <v>2.77</v>
      </c>
      <c r="R106" s="31">
        <f t="shared" si="17"/>
        <v>0.24380000000000024</v>
      </c>
      <c r="S106" s="30">
        <f t="shared" si="18"/>
        <v>5.9438440000000113E-2</v>
      </c>
      <c r="T106" s="26"/>
    </row>
    <row r="107" spans="1:20" x14ac:dyDescent="0.25">
      <c r="A107" s="26"/>
      <c r="B107" s="26"/>
      <c r="C107" s="26"/>
      <c r="D107" s="26"/>
      <c r="E107" s="26"/>
      <c r="F107" s="26"/>
      <c r="G107" s="26"/>
      <c r="H107" s="26"/>
      <c r="I107" s="26"/>
      <c r="J107" s="26"/>
      <c r="K107" s="26"/>
      <c r="L107" s="26"/>
      <c r="M107" s="26"/>
      <c r="N107" s="26"/>
      <c r="O107" s="26"/>
      <c r="P107" s="26"/>
      <c r="Q107" s="38">
        <f>COUNT(Q6:Q106)</f>
        <v>100</v>
      </c>
      <c r="R107" s="31" t="s">
        <v>42</v>
      </c>
      <c r="S107" s="30">
        <f>SUM(S6:S106)</f>
        <v>0.9195559999999996</v>
      </c>
      <c r="T107" s="26"/>
    </row>
    <row r="108" spans="1:20" x14ac:dyDescent="0.25">
      <c r="A108" s="26"/>
      <c r="B108" s="26"/>
      <c r="C108" s="26"/>
      <c r="D108" s="26"/>
      <c r="E108" s="26"/>
      <c r="F108" s="26"/>
      <c r="G108" s="26"/>
      <c r="H108" s="26"/>
      <c r="I108" s="26"/>
      <c r="J108" s="26"/>
      <c r="K108" s="26"/>
      <c r="L108" s="26"/>
      <c r="M108" s="26"/>
      <c r="N108" s="26"/>
      <c r="O108" s="26"/>
      <c r="P108" s="26"/>
      <c r="Q108" s="37"/>
      <c r="R108" s="36"/>
      <c r="S108" s="35"/>
      <c r="T108" s="26"/>
    </row>
    <row r="109" spans="1:20" x14ac:dyDescent="0.25">
      <c r="A109" s="26"/>
      <c r="B109" s="26"/>
      <c r="C109" s="26"/>
      <c r="D109" s="26"/>
      <c r="E109" s="26"/>
      <c r="F109" s="26"/>
      <c r="G109" s="26"/>
      <c r="H109" s="26"/>
      <c r="I109" s="26"/>
      <c r="J109" s="26"/>
      <c r="K109" s="26"/>
      <c r="L109" s="26"/>
      <c r="M109" s="26"/>
      <c r="N109" s="26"/>
      <c r="O109" s="26"/>
      <c r="P109" s="26"/>
      <c r="Q109" s="38"/>
      <c r="R109" s="31"/>
      <c r="S109" s="40" t="s">
        <v>41</v>
      </c>
      <c r="T109" s="26"/>
    </row>
    <row r="110" spans="1:20" x14ac:dyDescent="0.25">
      <c r="A110" s="26"/>
      <c r="B110" s="26"/>
      <c r="C110" s="26"/>
      <c r="D110" s="26"/>
      <c r="E110" s="26"/>
      <c r="F110" s="26"/>
      <c r="G110" s="26"/>
      <c r="H110" s="26"/>
      <c r="I110" s="26"/>
      <c r="J110" s="26"/>
      <c r="K110" s="26"/>
      <c r="L110" s="26"/>
      <c r="M110" s="26"/>
      <c r="N110" s="26"/>
      <c r="O110" s="26"/>
      <c r="P110" s="26"/>
      <c r="Q110" s="38"/>
      <c r="R110" s="31"/>
      <c r="S110" s="39">
        <f>S107/99</f>
        <v>9.2884444444444412E-3</v>
      </c>
      <c r="T110" s="26"/>
    </row>
    <row r="111" spans="1:20" x14ac:dyDescent="0.25">
      <c r="A111" s="26"/>
      <c r="B111" s="26"/>
      <c r="C111" s="26"/>
      <c r="D111" s="26"/>
      <c r="E111" s="26"/>
      <c r="F111" s="26"/>
      <c r="G111" s="26"/>
      <c r="H111" s="26"/>
      <c r="I111" s="26"/>
      <c r="J111" s="26"/>
      <c r="K111" s="26"/>
      <c r="L111" s="26"/>
      <c r="M111" s="26"/>
      <c r="N111" s="26"/>
      <c r="O111" s="26"/>
      <c r="P111" s="26"/>
      <c r="Q111" s="38"/>
      <c r="R111" s="31"/>
      <c r="S111" s="30"/>
      <c r="T111" s="26"/>
    </row>
    <row r="112" spans="1:20" x14ac:dyDescent="0.25">
      <c r="A112" s="26"/>
      <c r="B112" s="26"/>
      <c r="C112" s="26"/>
      <c r="D112" s="26"/>
      <c r="E112" s="26"/>
      <c r="F112" s="26"/>
      <c r="G112" s="26"/>
      <c r="H112" s="26"/>
      <c r="I112" s="26"/>
      <c r="J112" s="26"/>
      <c r="K112" s="26"/>
      <c r="L112" s="26"/>
      <c r="M112" s="26"/>
      <c r="N112" s="26"/>
      <c r="O112" s="26"/>
      <c r="P112" s="26"/>
      <c r="Q112" s="38"/>
      <c r="R112" s="31"/>
      <c r="S112" s="30"/>
      <c r="T112" s="26"/>
    </row>
    <row r="113" spans="1:20" x14ac:dyDescent="0.25">
      <c r="A113" s="26"/>
      <c r="B113" s="26"/>
      <c r="C113" s="26"/>
      <c r="D113" s="26"/>
      <c r="E113" s="26"/>
      <c r="F113" s="26"/>
      <c r="G113" s="26"/>
      <c r="H113" s="26"/>
      <c r="I113" s="26"/>
      <c r="J113" s="26"/>
      <c r="K113" s="26"/>
      <c r="L113" s="26"/>
      <c r="M113" s="26"/>
      <c r="N113" s="26"/>
      <c r="O113" s="26"/>
      <c r="P113" s="26"/>
      <c r="Q113" s="37"/>
      <c r="R113" s="36"/>
      <c r="S113" s="35"/>
      <c r="T113" s="26"/>
    </row>
    <row r="114" spans="1:20" x14ac:dyDescent="0.25">
      <c r="A114" s="26"/>
      <c r="B114" s="26"/>
      <c r="C114" s="26"/>
      <c r="D114" s="26"/>
      <c r="E114" s="26"/>
      <c r="F114" s="26"/>
      <c r="G114" s="26"/>
      <c r="H114" s="26"/>
      <c r="I114" s="26"/>
      <c r="J114" s="26"/>
      <c r="K114" s="26"/>
      <c r="L114" s="26"/>
      <c r="M114" s="26"/>
      <c r="N114" s="26"/>
      <c r="O114" s="26"/>
      <c r="P114" s="26"/>
      <c r="Q114" s="225" t="s">
        <v>40</v>
      </c>
      <c r="R114" s="226"/>
      <c r="S114" s="34">
        <f>(S107/99)^0.5</f>
        <v>9.6376576222879179E-2</v>
      </c>
      <c r="T114" s="26"/>
    </row>
    <row r="115" spans="1:20" x14ac:dyDescent="0.25">
      <c r="A115" s="26"/>
      <c r="B115" s="26"/>
      <c r="C115" s="26"/>
      <c r="D115" s="26"/>
      <c r="E115" s="26"/>
      <c r="F115" s="26"/>
      <c r="G115" s="26"/>
      <c r="H115" s="26"/>
      <c r="I115" s="26"/>
      <c r="J115" s="26"/>
      <c r="K115" s="26"/>
      <c r="L115" s="26"/>
      <c r="M115" s="26"/>
      <c r="N115" s="26"/>
      <c r="O115" s="26"/>
      <c r="P115" s="26"/>
      <c r="Q115" s="32"/>
      <c r="R115" s="31"/>
      <c r="S115" s="33"/>
      <c r="T115" s="26"/>
    </row>
    <row r="116" spans="1:20" x14ac:dyDescent="0.25">
      <c r="A116" s="26"/>
      <c r="B116" s="26"/>
      <c r="C116" s="26"/>
      <c r="D116" s="26"/>
      <c r="E116" s="26"/>
      <c r="F116" s="26"/>
      <c r="G116" s="26"/>
      <c r="H116" s="26"/>
      <c r="I116" s="26"/>
      <c r="J116" s="26"/>
      <c r="K116" s="26"/>
      <c r="L116" s="26"/>
      <c r="M116" s="26"/>
      <c r="N116" s="26"/>
      <c r="O116" s="26"/>
      <c r="P116" s="26"/>
      <c r="Q116" s="32"/>
      <c r="R116" s="31"/>
      <c r="S116" s="30"/>
      <c r="T116" s="26"/>
    </row>
    <row r="117" spans="1:20" x14ac:dyDescent="0.25">
      <c r="A117" s="26"/>
      <c r="B117" s="26"/>
      <c r="C117" s="26"/>
      <c r="D117" s="26"/>
      <c r="E117" s="26"/>
      <c r="F117" s="26"/>
      <c r="G117" s="26"/>
      <c r="H117" s="26"/>
      <c r="I117" s="26"/>
      <c r="J117" s="26"/>
      <c r="K117" s="26"/>
      <c r="L117" s="26"/>
      <c r="M117" s="26"/>
      <c r="N117" s="26"/>
      <c r="O117" s="26"/>
      <c r="P117" s="26"/>
      <c r="Q117" s="32"/>
      <c r="R117" s="31"/>
      <c r="S117" s="30"/>
      <c r="T117" s="26"/>
    </row>
    <row r="118" spans="1:20" ht="15.75" thickBot="1" x14ac:dyDescent="0.3">
      <c r="A118" s="26"/>
      <c r="B118" s="26"/>
      <c r="C118" s="26"/>
      <c r="D118" s="26"/>
      <c r="E118" s="26"/>
      <c r="F118" s="26"/>
      <c r="G118" s="26"/>
      <c r="H118" s="26"/>
      <c r="I118" s="26"/>
      <c r="J118" s="26"/>
      <c r="K118" s="26"/>
      <c r="L118" s="26"/>
      <c r="M118" s="26"/>
      <c r="N118" s="26"/>
      <c r="O118" s="26"/>
      <c r="P118" s="26"/>
      <c r="Q118" s="29"/>
      <c r="R118" s="28"/>
      <c r="S118" s="27"/>
      <c r="T118" s="26"/>
    </row>
    <row r="119" spans="1:20" ht="15.75" thickTop="1" x14ac:dyDescent="0.25">
      <c r="A119" s="26"/>
      <c r="B119" s="26"/>
      <c r="C119" s="26"/>
      <c r="D119" s="26"/>
      <c r="E119" s="26"/>
      <c r="F119" s="26"/>
      <c r="G119" s="26"/>
      <c r="H119" s="26"/>
      <c r="I119" s="26"/>
      <c r="J119" s="26"/>
      <c r="K119" s="26"/>
      <c r="L119" s="26"/>
      <c r="M119" s="26"/>
      <c r="N119" s="26"/>
      <c r="O119" s="26"/>
      <c r="P119" s="26"/>
      <c r="Q119" s="26"/>
      <c r="R119" s="26"/>
      <c r="S119" s="26"/>
      <c r="T119" s="26"/>
    </row>
  </sheetData>
  <mergeCells count="44">
    <mergeCell ref="B30:F30"/>
    <mergeCell ref="G30:K30"/>
    <mergeCell ref="B31:K31"/>
    <mergeCell ref="Q114:R114"/>
    <mergeCell ref="B37:C37"/>
    <mergeCell ref="D37:E37"/>
    <mergeCell ref="B34:F34"/>
    <mergeCell ref="G34:K34"/>
    <mergeCell ref="B35:K35"/>
    <mergeCell ref="G37:O48"/>
    <mergeCell ref="B32:F32"/>
    <mergeCell ref="G32:K32"/>
    <mergeCell ref="B33:K33"/>
    <mergeCell ref="B29:K29"/>
    <mergeCell ref="B27:K27"/>
    <mergeCell ref="G17:K17"/>
    <mergeCell ref="G20:K20"/>
    <mergeCell ref="Q5:S5"/>
    <mergeCell ref="B22:F22"/>
    <mergeCell ref="B23:F23"/>
    <mergeCell ref="G26:K26"/>
    <mergeCell ref="B26:F26"/>
    <mergeCell ref="B24:F24"/>
    <mergeCell ref="B25:F25"/>
    <mergeCell ref="G24:K24"/>
    <mergeCell ref="G25:K25"/>
    <mergeCell ref="G22:K22"/>
    <mergeCell ref="G23:K23"/>
    <mergeCell ref="B28:F28"/>
    <mergeCell ref="G28:K28"/>
    <mergeCell ref="G19:K19"/>
    <mergeCell ref="B19:F19"/>
    <mergeCell ref="B20:F20"/>
    <mergeCell ref="B21:F21"/>
    <mergeCell ref="B18:F18"/>
    <mergeCell ref="G18:K18"/>
    <mergeCell ref="G21:K21"/>
    <mergeCell ref="B5:K5"/>
    <mergeCell ref="C2:S3"/>
    <mergeCell ref="M14:N14"/>
    <mergeCell ref="B16:P16"/>
    <mergeCell ref="N15:O15"/>
    <mergeCell ref="B17:F17"/>
    <mergeCell ref="M9:N9"/>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zoomScale="73" zoomScaleNormal="73" workbookViewId="0">
      <selection activeCell="H11" sqref="H11"/>
    </sheetView>
  </sheetViews>
  <sheetFormatPr baseColWidth="10" defaultRowHeight="15" x14ac:dyDescent="0.25"/>
  <cols>
    <col min="1" max="1" width="7.5703125" customWidth="1"/>
    <col min="2" max="2" width="29.5703125" customWidth="1"/>
    <col min="3" max="3" width="18.42578125" customWidth="1"/>
    <col min="5" max="5" width="21.42578125" customWidth="1"/>
    <col min="6" max="7" width="13.42578125" customWidth="1"/>
    <col min="8" max="8" width="18" customWidth="1"/>
    <col min="9" max="9" width="26.28515625" customWidth="1"/>
    <col min="10" max="10" width="16.42578125" customWidth="1"/>
  </cols>
  <sheetData>
    <row r="1" spans="1:15" ht="16.5" thickTop="1" thickBot="1" x14ac:dyDescent="0.3">
      <c r="A1" s="101"/>
      <c r="B1" s="100"/>
      <c r="C1" s="100"/>
      <c r="D1" s="100"/>
      <c r="E1" s="100"/>
      <c r="F1" s="100"/>
      <c r="G1" s="100"/>
      <c r="H1" s="100"/>
      <c r="I1" s="100"/>
      <c r="J1" s="100"/>
      <c r="K1" s="100"/>
      <c r="L1" s="100"/>
      <c r="M1" s="100"/>
      <c r="N1" s="100"/>
      <c r="O1" s="99"/>
    </row>
    <row r="2" spans="1:15" ht="15.75" thickTop="1" x14ac:dyDescent="0.25">
      <c r="A2" s="84"/>
      <c r="B2" s="240" t="s">
        <v>80</v>
      </c>
      <c r="C2" s="241"/>
      <c r="D2" s="241"/>
      <c r="E2" s="241"/>
      <c r="F2" s="241"/>
      <c r="G2" s="241"/>
      <c r="H2" s="241"/>
      <c r="I2" s="241"/>
      <c r="J2" s="241"/>
      <c r="K2" s="241"/>
      <c r="L2" s="241"/>
      <c r="M2" s="241"/>
      <c r="N2" s="242"/>
      <c r="O2" s="82"/>
    </row>
    <row r="3" spans="1:15" ht="15.75" thickBot="1" x14ac:dyDescent="0.3">
      <c r="A3" s="84"/>
      <c r="B3" s="243"/>
      <c r="C3" s="244"/>
      <c r="D3" s="244"/>
      <c r="E3" s="244"/>
      <c r="F3" s="244"/>
      <c r="G3" s="244"/>
      <c r="H3" s="244"/>
      <c r="I3" s="244"/>
      <c r="J3" s="244"/>
      <c r="K3" s="244"/>
      <c r="L3" s="244"/>
      <c r="M3" s="244"/>
      <c r="N3" s="245"/>
      <c r="O3" s="82"/>
    </row>
    <row r="4" spans="1:15" ht="15.75" thickTop="1" x14ac:dyDescent="0.25">
      <c r="A4" s="84"/>
      <c r="B4" s="83"/>
      <c r="C4" s="83"/>
      <c r="D4" s="83"/>
      <c r="E4" s="83"/>
      <c r="F4" s="83"/>
      <c r="G4" s="83"/>
      <c r="H4" s="83"/>
      <c r="I4" s="83"/>
      <c r="J4" s="83"/>
      <c r="K4" s="83"/>
      <c r="L4" s="83"/>
      <c r="M4" s="83"/>
      <c r="N4" s="83"/>
      <c r="O4" s="82"/>
    </row>
    <row r="5" spans="1:15" ht="15.75" thickBot="1" x14ac:dyDescent="0.3">
      <c r="A5" s="84"/>
      <c r="B5" s="83"/>
      <c r="C5" s="83"/>
      <c r="D5" s="83"/>
      <c r="E5" s="83"/>
      <c r="F5" s="83"/>
      <c r="G5" s="83"/>
      <c r="H5" s="83"/>
      <c r="I5" s="83"/>
      <c r="J5" s="83"/>
      <c r="K5" s="83"/>
      <c r="L5" s="83"/>
      <c r="M5" s="83"/>
      <c r="N5" s="83"/>
      <c r="O5" s="82"/>
    </row>
    <row r="6" spans="1:15" ht="16.5" thickTop="1" thickBot="1" x14ac:dyDescent="0.3">
      <c r="A6" s="84"/>
      <c r="B6" s="25" t="s">
        <v>38</v>
      </c>
      <c r="C6" s="24" t="s">
        <v>37</v>
      </c>
      <c r="D6" s="83"/>
      <c r="E6" s="98" t="s">
        <v>29</v>
      </c>
      <c r="F6" s="98" t="s">
        <v>28</v>
      </c>
      <c r="G6" s="83"/>
      <c r="H6" s="83"/>
      <c r="I6" s="83"/>
      <c r="J6" s="83"/>
      <c r="K6" s="83"/>
      <c r="L6" s="248" t="s">
        <v>61</v>
      </c>
      <c r="M6" s="249"/>
      <c r="N6" s="250"/>
      <c r="O6" s="82"/>
    </row>
    <row r="7" spans="1:15" ht="15.75" thickBot="1" x14ac:dyDescent="0.3">
      <c r="A7" s="84"/>
      <c r="B7" s="22" t="s">
        <v>36</v>
      </c>
      <c r="C7" s="21">
        <v>1.73</v>
      </c>
      <c r="D7" s="83"/>
      <c r="E7" s="18" t="s">
        <v>22</v>
      </c>
      <c r="F7" s="18">
        <v>4</v>
      </c>
      <c r="G7" s="83"/>
      <c r="H7" s="83"/>
      <c r="I7" s="83"/>
      <c r="J7" s="83"/>
      <c r="K7" s="83"/>
      <c r="L7" s="251">
        <f>AVERAGE(C7:C17)</f>
        <v>1.7</v>
      </c>
      <c r="M7" s="252"/>
      <c r="N7" s="253"/>
      <c r="O7" s="82"/>
    </row>
    <row r="8" spans="1:15" ht="16.5" thickTop="1" thickBot="1" x14ac:dyDescent="0.3">
      <c r="A8" s="84"/>
      <c r="B8" s="22" t="s">
        <v>35</v>
      </c>
      <c r="C8" s="21">
        <v>1.75</v>
      </c>
      <c r="D8" s="83"/>
      <c r="E8" s="18" t="s">
        <v>20</v>
      </c>
      <c r="F8" s="18">
        <v>2</v>
      </c>
      <c r="G8" s="83"/>
      <c r="H8" s="83"/>
      <c r="I8" s="83"/>
      <c r="J8" s="83"/>
      <c r="K8" s="83"/>
      <c r="L8" s="248" t="s">
        <v>60</v>
      </c>
      <c r="M8" s="249"/>
      <c r="N8" s="250"/>
      <c r="O8" s="82"/>
    </row>
    <row r="9" spans="1:15" ht="15.75" thickBot="1" x14ac:dyDescent="0.3">
      <c r="A9" s="84"/>
      <c r="B9" s="22" t="s">
        <v>34</v>
      </c>
      <c r="C9" s="21">
        <v>1.65</v>
      </c>
      <c r="D9" s="83"/>
      <c r="E9" s="18" t="s">
        <v>18</v>
      </c>
      <c r="F9" s="18">
        <v>3</v>
      </c>
      <c r="G9" s="83"/>
      <c r="H9" s="83"/>
      <c r="I9" s="83"/>
      <c r="J9" s="83"/>
      <c r="K9" s="83"/>
      <c r="L9" s="251">
        <f>MODE(C7:C17)</f>
        <v>1.75</v>
      </c>
      <c r="M9" s="252"/>
      <c r="N9" s="253"/>
      <c r="O9" s="82"/>
    </row>
    <row r="10" spans="1:15" ht="16.5" thickTop="1" thickBot="1" x14ac:dyDescent="0.3">
      <c r="A10" s="84"/>
      <c r="B10" s="22" t="s">
        <v>33</v>
      </c>
      <c r="C10" s="21">
        <v>1.6</v>
      </c>
      <c r="D10" s="83"/>
      <c r="E10" s="18" t="s">
        <v>16</v>
      </c>
      <c r="F10" s="18">
        <v>2</v>
      </c>
      <c r="G10" s="83"/>
      <c r="H10" s="83"/>
      <c r="I10" s="83"/>
      <c r="J10" s="83"/>
      <c r="K10" s="83"/>
      <c r="L10" s="248" t="s">
        <v>59</v>
      </c>
      <c r="M10" s="249"/>
      <c r="N10" s="250"/>
      <c r="O10" s="82"/>
    </row>
    <row r="11" spans="1:15" ht="15.75" thickBot="1" x14ac:dyDescent="0.3">
      <c r="A11" s="84"/>
      <c r="B11" s="22" t="s">
        <v>32</v>
      </c>
      <c r="C11" s="21">
        <v>1.62</v>
      </c>
      <c r="D11" s="83"/>
      <c r="E11" s="83"/>
      <c r="F11" s="83"/>
      <c r="G11" s="83"/>
      <c r="H11" s="83"/>
      <c r="I11" s="83"/>
      <c r="J11" s="83"/>
      <c r="K11" s="83"/>
      <c r="L11" s="251">
        <f>MEDIAN(C7:C17)</f>
        <v>1.7</v>
      </c>
      <c r="M11" s="252"/>
      <c r="N11" s="253"/>
      <c r="O11" s="82"/>
    </row>
    <row r="12" spans="1:15" ht="16.5" thickTop="1" thickBot="1" x14ac:dyDescent="0.3">
      <c r="A12" s="84"/>
      <c r="B12" s="22" t="s">
        <v>31</v>
      </c>
      <c r="C12" s="21">
        <v>1.68</v>
      </c>
      <c r="D12" s="83"/>
      <c r="E12" s="83"/>
      <c r="F12" s="83"/>
      <c r="G12" s="83"/>
      <c r="H12" s="83"/>
      <c r="I12" s="83"/>
      <c r="J12" s="83"/>
      <c r="K12" s="83"/>
      <c r="L12" s="248" t="s">
        <v>40</v>
      </c>
      <c r="M12" s="249"/>
      <c r="N12" s="250"/>
      <c r="O12" s="82"/>
    </row>
    <row r="13" spans="1:15" ht="16.5" thickTop="1" thickBot="1" x14ac:dyDescent="0.3">
      <c r="A13" s="84"/>
      <c r="B13" s="22" t="s">
        <v>30</v>
      </c>
      <c r="C13" s="21">
        <v>1.78</v>
      </c>
      <c r="D13" s="83"/>
      <c r="E13" s="97" t="s">
        <v>29</v>
      </c>
      <c r="F13" s="96" t="s">
        <v>28</v>
      </c>
      <c r="G13" s="96" t="s">
        <v>27</v>
      </c>
      <c r="H13" s="96" t="s">
        <v>26</v>
      </c>
      <c r="I13" s="96" t="s">
        <v>25</v>
      </c>
      <c r="J13" s="95" t="s">
        <v>24</v>
      </c>
      <c r="K13" s="83"/>
      <c r="L13" s="254">
        <f>STDEV(C7:C17)</f>
        <v>6.7230945255886437E-2</v>
      </c>
      <c r="M13" s="255"/>
      <c r="N13" s="256"/>
      <c r="O13" s="82"/>
    </row>
    <row r="14" spans="1:15" ht="16.5" thickTop="1" thickBot="1" x14ac:dyDescent="0.3">
      <c r="A14" s="84"/>
      <c r="B14" s="22" t="s">
        <v>23</v>
      </c>
      <c r="C14" s="21">
        <v>1.75</v>
      </c>
      <c r="D14" s="83"/>
      <c r="E14" s="22" t="s">
        <v>22</v>
      </c>
      <c r="F14" s="18">
        <v>4</v>
      </c>
      <c r="G14" s="18">
        <f>F14/11</f>
        <v>0.36363636363636365</v>
      </c>
      <c r="H14" s="18">
        <f>F14</f>
        <v>4</v>
      </c>
      <c r="I14" s="18">
        <f>G14</f>
        <v>0.36363636363636365</v>
      </c>
      <c r="J14" s="93">
        <f>I14</f>
        <v>0.36363636363636365</v>
      </c>
      <c r="K14" s="83"/>
      <c r="L14" s="257" t="s">
        <v>79</v>
      </c>
      <c r="M14" s="258"/>
      <c r="N14" s="259"/>
      <c r="O14" s="82"/>
    </row>
    <row r="15" spans="1:15" ht="15.75" thickBot="1" x14ac:dyDescent="0.3">
      <c r="A15" s="84"/>
      <c r="B15" s="22" t="s">
        <v>21</v>
      </c>
      <c r="C15" s="21">
        <v>1.7</v>
      </c>
      <c r="D15" s="83"/>
      <c r="E15" s="22" t="s">
        <v>20</v>
      </c>
      <c r="F15" s="18">
        <v>2</v>
      </c>
      <c r="G15" s="18">
        <f>F15/11</f>
        <v>0.18181818181818182</v>
      </c>
      <c r="H15" s="18">
        <f t="shared" ref="H15:I17" si="0">H14+F15</f>
        <v>6</v>
      </c>
      <c r="I15" s="18">
        <f t="shared" si="0"/>
        <v>0.54545454545454541</v>
      </c>
      <c r="J15" s="93">
        <f>I15</f>
        <v>0.54545454545454541</v>
      </c>
      <c r="K15" s="83"/>
      <c r="L15" s="260" t="s">
        <v>54</v>
      </c>
      <c r="M15" s="261"/>
      <c r="N15" s="94">
        <f>QUARTILE(C$7:C$17,1)</f>
        <v>1.645</v>
      </c>
      <c r="O15" s="82"/>
    </row>
    <row r="16" spans="1:15" ht="15.75" thickBot="1" x14ac:dyDescent="0.3">
      <c r="A16" s="84"/>
      <c r="B16" s="22" t="s">
        <v>19</v>
      </c>
      <c r="C16" s="21">
        <v>1.64</v>
      </c>
      <c r="D16" s="83"/>
      <c r="E16" s="22" t="s">
        <v>18</v>
      </c>
      <c r="F16" s="18">
        <v>3</v>
      </c>
      <c r="G16" s="18">
        <f>F16/11</f>
        <v>0.27272727272727271</v>
      </c>
      <c r="H16" s="18">
        <f t="shared" si="0"/>
        <v>9</v>
      </c>
      <c r="I16" s="18">
        <f t="shared" si="0"/>
        <v>0.81818181818181812</v>
      </c>
      <c r="J16" s="93">
        <f>I16</f>
        <v>0.81818181818181812</v>
      </c>
      <c r="K16" s="83"/>
      <c r="L16" s="262" t="s">
        <v>52</v>
      </c>
      <c r="M16" s="263"/>
      <c r="N16" s="30">
        <f>QUARTILE(C$7:C$17,2)</f>
        <v>1.7</v>
      </c>
      <c r="O16" s="82"/>
    </row>
    <row r="17" spans="1:15" ht="15.75" thickBot="1" x14ac:dyDescent="0.3">
      <c r="A17" s="84"/>
      <c r="B17" s="20" t="s">
        <v>17</v>
      </c>
      <c r="C17" s="19">
        <v>1.8</v>
      </c>
      <c r="D17" s="83"/>
      <c r="E17" s="20" t="s">
        <v>16</v>
      </c>
      <c r="F17" s="92">
        <v>2</v>
      </c>
      <c r="G17" s="92">
        <f>F17/11</f>
        <v>0.18181818181818182</v>
      </c>
      <c r="H17" s="92">
        <f t="shared" si="0"/>
        <v>11</v>
      </c>
      <c r="I17" s="92">
        <f t="shared" si="0"/>
        <v>1</v>
      </c>
      <c r="J17" s="91">
        <f>I17</f>
        <v>1</v>
      </c>
      <c r="K17" s="83"/>
      <c r="L17" s="246" t="s">
        <v>50</v>
      </c>
      <c r="M17" s="247"/>
      <c r="N17" s="90">
        <f>QUARTILE(C$7:C$17,3)</f>
        <v>1.75</v>
      </c>
      <c r="O17" s="82"/>
    </row>
    <row r="18" spans="1:15" ht="16.5" thickTop="1" thickBot="1" x14ac:dyDescent="0.3">
      <c r="A18" s="84"/>
      <c r="B18" s="83"/>
      <c r="C18" s="83"/>
      <c r="D18" s="83"/>
      <c r="E18" s="83"/>
      <c r="F18" s="83"/>
      <c r="G18" s="83"/>
      <c r="H18" s="83"/>
      <c r="I18" s="83"/>
      <c r="J18" s="83"/>
      <c r="K18" s="83"/>
      <c r="L18" s="257" t="s">
        <v>56</v>
      </c>
      <c r="M18" s="258"/>
      <c r="N18" s="259"/>
      <c r="O18" s="82"/>
    </row>
    <row r="19" spans="1:15" ht="15.75" thickTop="1" x14ac:dyDescent="0.25">
      <c r="A19" s="84"/>
      <c r="B19" s="75" t="s">
        <v>15</v>
      </c>
      <c r="C19" s="73">
        <v>1.8</v>
      </c>
      <c r="D19" s="83"/>
      <c r="E19" s="83"/>
      <c r="F19" s="83"/>
      <c r="G19" s="83"/>
      <c r="H19" s="83"/>
      <c r="I19" s="83"/>
      <c r="J19" s="83"/>
      <c r="K19" s="83"/>
      <c r="L19" s="260" t="s">
        <v>53</v>
      </c>
      <c r="M19" s="261"/>
      <c r="N19" s="89">
        <f>PERCENTILE(C$7:C$17,0.1)</f>
        <v>1.62</v>
      </c>
      <c r="O19" s="82"/>
    </row>
    <row r="20" spans="1:15" x14ac:dyDescent="0.25">
      <c r="A20" s="84"/>
      <c r="B20" s="67" t="s">
        <v>14</v>
      </c>
      <c r="C20" s="68">
        <v>1.6</v>
      </c>
      <c r="D20" s="83"/>
      <c r="E20" s="83"/>
      <c r="F20" s="83"/>
      <c r="G20" s="83"/>
      <c r="H20" s="83"/>
      <c r="I20" s="83"/>
      <c r="J20" s="83"/>
      <c r="K20" s="83"/>
      <c r="L20" s="262" t="s">
        <v>51</v>
      </c>
      <c r="M20" s="263"/>
      <c r="N20" s="88">
        <f>PERCENTILE(C$7:C$17,0.2)</f>
        <v>1.64</v>
      </c>
      <c r="O20" s="82"/>
    </row>
    <row r="21" spans="1:15" ht="18.75" x14ac:dyDescent="0.3">
      <c r="A21" s="84"/>
      <c r="B21" s="72" t="s">
        <v>12</v>
      </c>
      <c r="C21" s="68">
        <f>C19-C20</f>
        <v>0.19999999999999996</v>
      </c>
      <c r="D21" s="83"/>
      <c r="E21" s="83"/>
      <c r="F21" s="83"/>
      <c r="G21" s="83"/>
      <c r="H21" s="83"/>
      <c r="I21" s="83"/>
      <c r="J21" s="83"/>
      <c r="K21" s="83"/>
      <c r="L21" s="262" t="s">
        <v>49</v>
      </c>
      <c r="M21" s="263"/>
      <c r="N21" s="88">
        <f>PERCENTILE(C$7:C$17,0.3)</f>
        <v>1.65</v>
      </c>
      <c r="O21" s="82"/>
    </row>
    <row r="22" spans="1:15" x14ac:dyDescent="0.25">
      <c r="A22" s="84"/>
      <c r="B22" s="210" t="s">
        <v>11</v>
      </c>
      <c r="C22" s="266"/>
      <c r="D22" s="83"/>
      <c r="E22" s="83"/>
      <c r="F22" s="83"/>
      <c r="G22" s="83"/>
      <c r="H22" s="83"/>
      <c r="I22" s="83"/>
      <c r="J22" s="83"/>
      <c r="K22" s="83"/>
      <c r="L22" s="262" t="s">
        <v>48</v>
      </c>
      <c r="M22" s="263"/>
      <c r="N22" s="88">
        <f>PERCENTILE(C$7:C$17,0.4)</f>
        <v>1.68</v>
      </c>
      <c r="O22" s="82"/>
    </row>
    <row r="23" spans="1:15" x14ac:dyDescent="0.25">
      <c r="A23" s="84"/>
      <c r="B23" s="67"/>
      <c r="C23" s="68"/>
      <c r="D23" s="83"/>
      <c r="E23" s="83"/>
      <c r="F23" s="83"/>
      <c r="G23" s="83"/>
      <c r="H23" s="83"/>
      <c r="I23" s="83"/>
      <c r="J23" s="83"/>
      <c r="K23" s="83"/>
      <c r="L23" s="262" t="s">
        <v>47</v>
      </c>
      <c r="M23" s="263"/>
      <c r="N23" s="88">
        <f>PERCENTILE(C$7:C$17,0.5)</f>
        <v>1.7</v>
      </c>
      <c r="O23" s="82"/>
    </row>
    <row r="24" spans="1:15" x14ac:dyDescent="0.25">
      <c r="A24" s="84"/>
      <c r="B24" s="67"/>
      <c r="C24" s="68"/>
      <c r="D24" s="83"/>
      <c r="E24" s="83"/>
      <c r="F24" s="83"/>
      <c r="G24" s="83"/>
      <c r="H24" s="83"/>
      <c r="I24" s="83"/>
      <c r="J24" s="83"/>
      <c r="K24" s="83"/>
      <c r="L24" s="262" t="s">
        <v>46</v>
      </c>
      <c r="M24" s="263"/>
      <c r="N24" s="88">
        <f>PERCENTILE(C$7:C$17,0.6)</f>
        <v>1.73</v>
      </c>
      <c r="O24" s="82"/>
    </row>
    <row r="25" spans="1:15" ht="15.75" customHeight="1" x14ac:dyDescent="0.25">
      <c r="A25" s="84"/>
      <c r="B25" s="67" t="s">
        <v>10</v>
      </c>
      <c r="C25" s="68">
        <f>1+3.3*LOG(11)</f>
        <v>4.436595861022143</v>
      </c>
      <c r="D25" s="83"/>
      <c r="E25" s="83"/>
      <c r="F25" s="83"/>
      <c r="G25" s="83"/>
      <c r="H25" s="83"/>
      <c r="I25" s="83"/>
      <c r="J25" s="83"/>
      <c r="K25" s="83"/>
      <c r="L25" s="262" t="s">
        <v>45</v>
      </c>
      <c r="M25" s="263"/>
      <c r="N25" s="88">
        <f>PERCENTILE(C$7:C$17,0.7)</f>
        <v>1.75</v>
      </c>
      <c r="O25" s="82"/>
    </row>
    <row r="26" spans="1:15" x14ac:dyDescent="0.25">
      <c r="A26" s="84"/>
      <c r="B26" s="67" t="s">
        <v>9</v>
      </c>
      <c r="C26" s="68">
        <v>4</v>
      </c>
      <c r="D26" s="83"/>
      <c r="E26" s="83"/>
      <c r="F26" s="83"/>
      <c r="G26" s="83"/>
      <c r="H26" s="83"/>
      <c r="I26" s="83"/>
      <c r="J26" s="83"/>
      <c r="K26" s="83"/>
      <c r="L26" s="262" t="s">
        <v>44</v>
      </c>
      <c r="M26" s="263"/>
      <c r="N26" s="88">
        <f>PERCENTILE(C$7:C$17,0.8)</f>
        <v>1.75</v>
      </c>
      <c r="O26" s="82"/>
    </row>
    <row r="27" spans="1:15" ht="15.75" thickBot="1" x14ac:dyDescent="0.3">
      <c r="A27" s="84"/>
      <c r="B27" s="67"/>
      <c r="C27" s="68"/>
      <c r="D27" s="83"/>
      <c r="E27" s="83"/>
      <c r="F27" s="83"/>
      <c r="G27" s="83"/>
      <c r="H27" s="83"/>
      <c r="I27" s="83"/>
      <c r="J27" s="83"/>
      <c r="K27" s="83"/>
      <c r="L27" s="267" t="s">
        <v>43</v>
      </c>
      <c r="M27" s="268"/>
      <c r="N27" s="87">
        <f>PERCENTILE(C$7:C$17,0.9)</f>
        <v>1.78</v>
      </c>
      <c r="O27" s="82"/>
    </row>
    <row r="28" spans="1:15" ht="15.75" thickTop="1" x14ac:dyDescent="0.25">
      <c r="A28" s="84"/>
      <c r="B28" s="264" t="s">
        <v>8</v>
      </c>
      <c r="C28" s="265"/>
      <c r="D28" s="83"/>
      <c r="E28" s="83"/>
      <c r="F28" s="83"/>
      <c r="G28" s="83"/>
      <c r="H28" s="83"/>
      <c r="I28" s="83"/>
      <c r="J28" s="83"/>
      <c r="K28" s="83"/>
      <c r="L28" s="86"/>
      <c r="M28" s="86"/>
      <c r="N28" s="83"/>
      <c r="O28" s="82"/>
    </row>
    <row r="29" spans="1:15" x14ac:dyDescent="0.25">
      <c r="A29" s="84"/>
      <c r="B29" s="264"/>
      <c r="C29" s="265"/>
      <c r="D29" s="83"/>
      <c r="E29" s="83"/>
      <c r="F29" s="83"/>
      <c r="G29" s="83"/>
      <c r="H29" s="83"/>
      <c r="I29" s="83"/>
      <c r="J29" s="83"/>
      <c r="K29" s="83"/>
      <c r="L29" s="83"/>
      <c r="M29" s="83"/>
      <c r="N29" s="83"/>
      <c r="O29" s="82"/>
    </row>
    <row r="30" spans="1:15" x14ac:dyDescent="0.25">
      <c r="A30" s="84"/>
      <c r="B30" s="67"/>
      <c r="C30" s="68"/>
      <c r="D30" s="83"/>
      <c r="E30" s="83"/>
      <c r="F30" s="83"/>
      <c r="G30" s="83"/>
      <c r="H30" s="83"/>
      <c r="I30" s="83"/>
      <c r="J30" s="83"/>
      <c r="K30" s="83"/>
      <c r="L30" s="83"/>
      <c r="M30" s="83"/>
      <c r="N30" s="83"/>
      <c r="O30" s="82"/>
    </row>
    <row r="31" spans="1:15" ht="15.75" thickBot="1" x14ac:dyDescent="0.3">
      <c r="A31" s="84"/>
      <c r="B31" s="57" t="s">
        <v>7</v>
      </c>
      <c r="C31" s="85">
        <f>C21/C26</f>
        <v>4.9999999999999989E-2</v>
      </c>
      <c r="D31" s="83"/>
      <c r="E31" s="83"/>
      <c r="F31" s="83"/>
      <c r="G31" s="83"/>
      <c r="H31" s="83"/>
      <c r="I31" s="83"/>
      <c r="J31" s="83"/>
      <c r="K31" s="83"/>
      <c r="L31" s="83"/>
      <c r="M31" s="83"/>
      <c r="N31" s="83"/>
      <c r="O31" s="82"/>
    </row>
    <row r="32" spans="1:15" ht="15.75" thickTop="1" x14ac:dyDescent="0.25">
      <c r="A32" s="84"/>
      <c r="B32" s="83"/>
      <c r="C32" s="83"/>
      <c r="D32" s="83"/>
      <c r="E32" s="83"/>
      <c r="F32" s="83"/>
      <c r="G32" s="83"/>
      <c r="H32" s="83"/>
      <c r="I32" s="83"/>
      <c r="J32" s="83"/>
      <c r="K32" s="83"/>
      <c r="L32" s="83"/>
      <c r="M32" s="83"/>
      <c r="N32" s="83"/>
      <c r="O32" s="82"/>
    </row>
    <row r="33" spans="1:15" x14ac:dyDescent="0.25">
      <c r="A33" s="84"/>
      <c r="B33" s="83"/>
      <c r="C33" s="83"/>
      <c r="D33" s="83"/>
      <c r="E33" s="83"/>
      <c r="F33" s="83"/>
      <c r="G33" s="83"/>
      <c r="H33" s="83"/>
      <c r="I33" s="83"/>
      <c r="J33" s="83"/>
      <c r="K33" s="83"/>
      <c r="L33" s="83"/>
      <c r="M33" s="83"/>
      <c r="N33" s="83"/>
      <c r="O33" s="82"/>
    </row>
    <row r="34" spans="1:15" x14ac:dyDescent="0.25">
      <c r="A34" s="84"/>
      <c r="B34" s="83"/>
      <c r="C34" s="83"/>
      <c r="D34" s="83"/>
      <c r="E34" s="83"/>
      <c r="F34" s="83"/>
      <c r="G34" s="83"/>
      <c r="H34" s="83"/>
      <c r="I34" s="83"/>
      <c r="J34" s="83"/>
      <c r="K34" s="83"/>
      <c r="L34" s="83"/>
      <c r="M34" s="83"/>
      <c r="N34" s="83"/>
      <c r="O34" s="82"/>
    </row>
    <row r="35" spans="1:15" x14ac:dyDescent="0.25">
      <c r="A35" s="84"/>
      <c r="B35" s="83"/>
      <c r="C35" s="83"/>
      <c r="D35" s="83"/>
      <c r="E35" s="83"/>
      <c r="F35" s="83"/>
      <c r="G35" s="83"/>
      <c r="H35" s="83"/>
      <c r="I35" s="83"/>
      <c r="J35" s="83"/>
      <c r="K35" s="83"/>
      <c r="L35" s="83"/>
      <c r="M35" s="83"/>
      <c r="N35" s="83"/>
      <c r="O35" s="82"/>
    </row>
    <row r="36" spans="1:15" x14ac:dyDescent="0.25">
      <c r="A36" s="84"/>
      <c r="B36" s="83"/>
      <c r="C36" s="83"/>
      <c r="D36" s="83"/>
      <c r="E36" s="83"/>
      <c r="F36" s="83"/>
      <c r="G36" s="83"/>
      <c r="H36" s="83"/>
      <c r="I36" s="83"/>
      <c r="J36" s="83"/>
      <c r="K36" s="83"/>
      <c r="L36" s="83"/>
      <c r="M36" s="83"/>
      <c r="N36" s="83"/>
      <c r="O36" s="82"/>
    </row>
    <row r="37" spans="1:15" x14ac:dyDescent="0.25">
      <c r="A37" s="84"/>
      <c r="B37" s="83"/>
      <c r="C37" s="83"/>
      <c r="D37" s="83"/>
      <c r="E37" s="83"/>
      <c r="F37" s="83"/>
      <c r="G37" s="83"/>
      <c r="H37" s="83"/>
      <c r="I37" s="83"/>
      <c r="J37" s="83"/>
      <c r="K37" s="83"/>
      <c r="L37" s="83"/>
      <c r="M37" s="83"/>
      <c r="N37" s="83"/>
      <c r="O37" s="82"/>
    </row>
    <row r="38" spans="1:15" x14ac:dyDescent="0.25">
      <c r="A38" s="84"/>
      <c r="B38" s="83"/>
      <c r="C38" s="83"/>
      <c r="D38" s="83"/>
      <c r="E38" s="83"/>
      <c r="F38" s="83"/>
      <c r="G38" s="83"/>
      <c r="H38" s="83"/>
      <c r="I38" s="83"/>
      <c r="J38" s="83"/>
      <c r="K38" s="83"/>
      <c r="L38" s="83"/>
      <c r="M38" s="83"/>
      <c r="N38" s="83"/>
      <c r="O38" s="82"/>
    </row>
    <row r="39" spans="1:15" x14ac:dyDescent="0.25">
      <c r="A39" s="84"/>
      <c r="B39" s="83"/>
      <c r="C39" s="83"/>
      <c r="D39" s="83"/>
      <c r="E39" s="83"/>
      <c r="F39" s="83"/>
      <c r="G39" s="83"/>
      <c r="H39" s="83"/>
      <c r="I39" s="83"/>
      <c r="J39" s="83"/>
      <c r="K39" s="83"/>
      <c r="L39" s="83"/>
      <c r="M39" s="83"/>
      <c r="N39" s="83"/>
      <c r="O39" s="82"/>
    </row>
    <row r="40" spans="1:15" x14ac:dyDescent="0.25">
      <c r="A40" s="84"/>
      <c r="B40" s="83"/>
      <c r="C40" s="83"/>
      <c r="D40" s="83"/>
      <c r="E40" s="83"/>
      <c r="F40" s="83"/>
      <c r="G40" s="83"/>
      <c r="H40" s="83"/>
      <c r="I40" s="83"/>
      <c r="J40" s="83"/>
      <c r="K40" s="83"/>
      <c r="L40" s="83"/>
      <c r="M40" s="83"/>
      <c r="N40" s="83"/>
      <c r="O40" s="82"/>
    </row>
    <row r="41" spans="1:15" x14ac:dyDescent="0.25">
      <c r="A41" s="84"/>
      <c r="B41" s="83"/>
      <c r="C41" s="83"/>
      <c r="D41" s="83"/>
      <c r="E41" s="83"/>
      <c r="F41" s="83"/>
      <c r="G41" s="83"/>
      <c r="H41" s="83"/>
      <c r="I41" s="83"/>
      <c r="J41" s="83"/>
      <c r="K41" s="83"/>
      <c r="L41" s="83"/>
      <c r="M41" s="83"/>
      <c r="N41" s="83"/>
      <c r="O41" s="82"/>
    </row>
    <row r="42" spans="1:15" x14ac:dyDescent="0.25">
      <c r="A42" s="84"/>
      <c r="B42" s="83"/>
      <c r="C42" s="83"/>
      <c r="D42" s="83"/>
      <c r="E42" s="83"/>
      <c r="F42" s="83"/>
      <c r="G42" s="83"/>
      <c r="H42" s="83"/>
      <c r="I42" s="83"/>
      <c r="J42" s="83"/>
      <c r="K42" s="83"/>
      <c r="L42" s="83"/>
      <c r="M42" s="83"/>
      <c r="N42" s="83"/>
      <c r="O42" s="82"/>
    </row>
    <row r="43" spans="1:15" x14ac:dyDescent="0.25">
      <c r="A43" s="84"/>
      <c r="B43" s="83"/>
      <c r="C43" s="83"/>
      <c r="D43" s="83"/>
      <c r="E43" s="83"/>
      <c r="F43" s="83"/>
      <c r="G43" s="83"/>
      <c r="H43" s="83"/>
      <c r="I43" s="83"/>
      <c r="J43" s="83"/>
      <c r="K43" s="83"/>
      <c r="L43" s="83"/>
      <c r="M43" s="83"/>
      <c r="N43" s="83"/>
      <c r="O43" s="82"/>
    </row>
    <row r="44" spans="1:15" x14ac:dyDescent="0.25">
      <c r="A44" s="84"/>
      <c r="B44" s="83"/>
      <c r="C44" s="83"/>
      <c r="D44" s="83"/>
      <c r="E44" s="83"/>
      <c r="F44" s="83"/>
      <c r="G44" s="83"/>
      <c r="H44" s="83"/>
      <c r="I44" s="83"/>
      <c r="J44" s="83"/>
      <c r="K44" s="83"/>
      <c r="L44" s="83"/>
      <c r="M44" s="83"/>
      <c r="N44" s="83"/>
      <c r="O44" s="82"/>
    </row>
    <row r="45" spans="1:15" x14ac:dyDescent="0.25">
      <c r="A45" s="84"/>
      <c r="B45" s="83"/>
      <c r="C45" s="83"/>
      <c r="D45" s="83"/>
      <c r="E45" s="83"/>
      <c r="F45" s="83"/>
      <c r="G45" s="83"/>
      <c r="H45" s="83"/>
      <c r="I45" s="83"/>
      <c r="J45" s="83"/>
      <c r="K45" s="83"/>
      <c r="L45" s="83"/>
      <c r="M45" s="83"/>
      <c r="N45" s="83"/>
      <c r="O45" s="82"/>
    </row>
    <row r="46" spans="1:15" x14ac:dyDescent="0.25">
      <c r="A46" s="84"/>
      <c r="B46" s="83"/>
      <c r="C46" s="83"/>
      <c r="D46" s="83"/>
      <c r="E46" s="83"/>
      <c r="F46" s="83"/>
      <c r="G46" s="83"/>
      <c r="H46" s="83"/>
      <c r="I46" s="83"/>
      <c r="J46" s="83"/>
      <c r="K46" s="83"/>
      <c r="L46" s="83"/>
      <c r="M46" s="83"/>
      <c r="N46" s="83"/>
      <c r="O46" s="82"/>
    </row>
    <row r="47" spans="1:15" x14ac:dyDescent="0.25">
      <c r="A47" s="84"/>
      <c r="B47" s="83"/>
      <c r="C47" s="83"/>
      <c r="D47" s="83"/>
      <c r="E47" s="83"/>
      <c r="F47" s="83"/>
      <c r="G47" s="83"/>
      <c r="H47" s="83"/>
      <c r="I47" s="83"/>
      <c r="J47" s="83"/>
      <c r="K47" s="83"/>
      <c r="L47" s="83"/>
      <c r="M47" s="83"/>
      <c r="N47" s="83"/>
      <c r="O47" s="82"/>
    </row>
    <row r="48" spans="1:15" x14ac:dyDescent="0.25">
      <c r="A48" s="84"/>
      <c r="B48" s="83"/>
      <c r="C48" s="83"/>
      <c r="D48" s="83"/>
      <c r="E48" s="83"/>
      <c r="F48" s="83"/>
      <c r="G48" s="83"/>
      <c r="H48" s="83"/>
      <c r="I48" s="83"/>
      <c r="J48" s="83"/>
      <c r="K48" s="83"/>
      <c r="L48" s="83"/>
      <c r="M48" s="83"/>
      <c r="N48" s="83"/>
      <c r="O48" s="82"/>
    </row>
    <row r="49" spans="1:15" x14ac:dyDescent="0.25">
      <c r="A49" s="84"/>
      <c r="B49" s="83"/>
      <c r="C49" s="83"/>
      <c r="D49" s="83"/>
      <c r="E49" s="83"/>
      <c r="F49" s="83"/>
      <c r="G49" s="83"/>
      <c r="H49" s="83"/>
      <c r="I49" s="83"/>
      <c r="J49" s="83"/>
      <c r="K49" s="83"/>
      <c r="L49" s="83"/>
      <c r="M49" s="83"/>
      <c r="N49" s="83"/>
      <c r="O49" s="82"/>
    </row>
    <row r="50" spans="1:15" x14ac:dyDescent="0.25">
      <c r="A50" s="84"/>
      <c r="B50" s="83"/>
      <c r="C50" s="83"/>
      <c r="D50" s="83"/>
      <c r="E50" s="83"/>
      <c r="F50" s="83"/>
      <c r="G50" s="83"/>
      <c r="H50" s="83"/>
      <c r="I50" s="83"/>
      <c r="J50" s="83"/>
      <c r="K50" s="83"/>
      <c r="L50" s="83"/>
      <c r="M50" s="83"/>
      <c r="N50" s="83"/>
      <c r="O50" s="82"/>
    </row>
    <row r="51" spans="1:15" x14ac:dyDescent="0.25">
      <c r="A51" s="84"/>
      <c r="B51" s="83"/>
      <c r="C51" s="83"/>
      <c r="D51" s="83"/>
      <c r="E51" s="83"/>
      <c r="F51" s="83"/>
      <c r="G51" s="83"/>
      <c r="H51" s="83"/>
      <c r="I51" s="83"/>
      <c r="J51" s="83"/>
      <c r="K51" s="83"/>
      <c r="L51" s="83"/>
      <c r="M51" s="83"/>
      <c r="N51" s="83"/>
      <c r="O51" s="82"/>
    </row>
    <row r="52" spans="1:15" ht="15.75" thickBot="1" x14ac:dyDescent="0.3">
      <c r="A52" s="81"/>
      <c r="B52" s="80"/>
      <c r="C52" s="80"/>
      <c r="D52" s="80"/>
      <c r="E52" s="80"/>
      <c r="F52" s="80"/>
      <c r="G52" s="80"/>
      <c r="H52" s="80"/>
      <c r="I52" s="80"/>
      <c r="J52" s="80"/>
      <c r="K52" s="80"/>
      <c r="L52" s="80"/>
      <c r="M52" s="80"/>
      <c r="N52" s="80"/>
      <c r="O52" s="79"/>
    </row>
    <row r="53" spans="1:15" ht="15.75" thickTop="1" x14ac:dyDescent="0.25"/>
  </sheetData>
  <mergeCells count="25">
    <mergeCell ref="B28:C29"/>
    <mergeCell ref="L18:N18"/>
    <mergeCell ref="L19:M19"/>
    <mergeCell ref="L20:M20"/>
    <mergeCell ref="L21:M21"/>
    <mergeCell ref="B22:C22"/>
    <mergeCell ref="L22:M22"/>
    <mergeCell ref="L23:M23"/>
    <mergeCell ref="L24:M24"/>
    <mergeCell ref="L25:M25"/>
    <mergeCell ref="L26:M26"/>
    <mergeCell ref="L27:M27"/>
    <mergeCell ref="B2:N3"/>
    <mergeCell ref="L17:M17"/>
    <mergeCell ref="L6:N6"/>
    <mergeCell ref="L7:N7"/>
    <mergeCell ref="L8:N8"/>
    <mergeCell ref="L9:N9"/>
    <mergeCell ref="L10:N10"/>
    <mergeCell ref="L11:N11"/>
    <mergeCell ref="L12:N12"/>
    <mergeCell ref="L13:N13"/>
    <mergeCell ref="L14:N14"/>
    <mergeCell ref="L15:M15"/>
    <mergeCell ref="L16:M1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
  <sheetViews>
    <sheetView zoomScale="77" zoomScaleNormal="77" workbookViewId="0">
      <selection activeCell="O17" sqref="O17"/>
    </sheetView>
  </sheetViews>
  <sheetFormatPr baseColWidth="10" defaultRowHeight="15" x14ac:dyDescent="0.25"/>
  <cols>
    <col min="1" max="1" width="7" customWidth="1"/>
    <col min="3" max="3" width="12.85546875" customWidth="1"/>
    <col min="4" max="4" width="13.85546875" customWidth="1"/>
    <col min="5" max="5" width="13.42578125" customWidth="1"/>
    <col min="6" max="6" width="13" customWidth="1"/>
    <col min="7" max="7" width="15.85546875" customWidth="1"/>
    <col min="8" max="8" width="6.42578125" customWidth="1"/>
    <col min="10" max="10" width="12.85546875" customWidth="1"/>
    <col min="11" max="11" width="12.5703125" customWidth="1"/>
    <col min="12" max="12" width="13.140625" customWidth="1"/>
    <col min="13" max="13" width="13" customWidth="1"/>
    <col min="14" max="15" width="15.5703125" customWidth="1"/>
  </cols>
  <sheetData>
    <row r="1" spans="1:15" ht="15.75" thickBot="1" x14ac:dyDescent="0.3">
      <c r="A1" s="11"/>
      <c r="B1" s="269"/>
      <c r="C1" s="269"/>
      <c r="D1" s="269"/>
      <c r="E1" s="269"/>
      <c r="F1" s="269"/>
      <c r="G1" s="269"/>
      <c r="H1" s="269"/>
      <c r="I1" s="269"/>
      <c r="J1" s="269"/>
      <c r="K1" s="269"/>
      <c r="L1" s="269"/>
      <c r="M1" s="269"/>
      <c r="N1" s="269"/>
      <c r="O1" s="269"/>
    </row>
    <row r="2" spans="1:15" ht="15" customHeight="1" thickTop="1" x14ac:dyDescent="0.45">
      <c r="A2" s="11"/>
      <c r="B2" s="270" t="s">
        <v>114</v>
      </c>
      <c r="C2" s="271"/>
      <c r="D2" s="271"/>
      <c r="E2" s="271"/>
      <c r="F2" s="271"/>
      <c r="G2" s="271"/>
      <c r="H2" s="271"/>
      <c r="I2" s="271"/>
      <c r="J2" s="271"/>
      <c r="K2" s="271"/>
      <c r="L2" s="271"/>
      <c r="M2" s="271"/>
      <c r="N2" s="272"/>
      <c r="O2" s="125"/>
    </row>
    <row r="3" spans="1:15" ht="15" customHeight="1" thickBot="1" x14ac:dyDescent="0.5">
      <c r="A3" s="11"/>
      <c r="B3" s="273"/>
      <c r="C3" s="274"/>
      <c r="D3" s="274"/>
      <c r="E3" s="274"/>
      <c r="F3" s="274"/>
      <c r="G3" s="274"/>
      <c r="H3" s="274"/>
      <c r="I3" s="274"/>
      <c r="J3" s="274"/>
      <c r="K3" s="274"/>
      <c r="L3" s="274"/>
      <c r="M3" s="274"/>
      <c r="N3" s="275"/>
      <c r="O3" s="125"/>
    </row>
    <row r="4" spans="1:15" ht="16.5" thickTop="1" thickBot="1" x14ac:dyDescent="0.3">
      <c r="A4" s="11"/>
      <c r="B4" s="269"/>
      <c r="C4" s="269"/>
      <c r="D4" s="269"/>
      <c r="E4" s="269"/>
      <c r="F4" s="269"/>
      <c r="G4" s="269"/>
      <c r="H4" s="269"/>
      <c r="I4" s="269"/>
      <c r="J4" s="269"/>
      <c r="K4" s="269"/>
      <c r="L4" s="269"/>
      <c r="M4" s="269"/>
      <c r="N4" s="269"/>
      <c r="O4" s="269"/>
    </row>
    <row r="5" spans="1:15" ht="34.5" customHeight="1" thickTop="1" thickBot="1" x14ac:dyDescent="0.45">
      <c r="A5" s="11"/>
      <c r="B5" s="126" t="s">
        <v>115</v>
      </c>
      <c r="C5" s="127" t="s">
        <v>7</v>
      </c>
      <c r="D5" s="128">
        <v>1000000</v>
      </c>
      <c r="E5" s="276" t="s">
        <v>116</v>
      </c>
      <c r="F5" s="277"/>
      <c r="G5" s="277"/>
      <c r="H5" s="277"/>
      <c r="I5" s="277"/>
      <c r="J5" s="277"/>
      <c r="K5" s="277"/>
      <c r="L5" s="277"/>
      <c r="M5" s="277"/>
      <c r="N5" s="278"/>
      <c r="O5" s="269"/>
    </row>
    <row r="6" spans="1:15" ht="51.75" customHeight="1" thickTop="1" x14ac:dyDescent="0.3">
      <c r="A6" s="11"/>
      <c r="B6" s="129" t="s">
        <v>92</v>
      </c>
      <c r="C6" s="130" t="s">
        <v>117</v>
      </c>
      <c r="D6" s="131" t="s">
        <v>98</v>
      </c>
      <c r="E6" s="279" t="s">
        <v>118</v>
      </c>
      <c r="F6" s="279"/>
      <c r="G6" s="279"/>
      <c r="H6" s="279"/>
      <c r="I6" s="279"/>
      <c r="J6" s="279"/>
      <c r="K6" s="279"/>
      <c r="L6" s="279"/>
      <c r="M6" s="279"/>
      <c r="N6" s="280"/>
      <c r="O6" s="269"/>
    </row>
    <row r="7" spans="1:15" ht="55.5" customHeight="1" thickBot="1" x14ac:dyDescent="0.35">
      <c r="A7" s="11"/>
      <c r="B7" s="129" t="s">
        <v>95</v>
      </c>
      <c r="C7" s="130" t="s">
        <v>119</v>
      </c>
      <c r="D7" s="132">
        <v>0.15</v>
      </c>
      <c r="E7" s="281"/>
      <c r="F7" s="281"/>
      <c r="G7" s="281"/>
      <c r="H7" s="281"/>
      <c r="I7" s="281"/>
      <c r="J7" s="281"/>
      <c r="K7" s="281"/>
      <c r="L7" s="281"/>
      <c r="M7" s="281"/>
      <c r="N7" s="282"/>
      <c r="O7" s="269"/>
    </row>
    <row r="8" spans="1:15" ht="27.75" customHeight="1" thickTop="1" thickBot="1" x14ac:dyDescent="0.35">
      <c r="A8" s="11"/>
      <c r="B8" s="133" t="s">
        <v>95</v>
      </c>
      <c r="C8" s="134" t="s">
        <v>120</v>
      </c>
      <c r="D8" s="135">
        <f>D7/6</f>
        <v>2.4999999999999998E-2</v>
      </c>
      <c r="E8" s="136"/>
      <c r="F8" s="136"/>
      <c r="G8" s="136"/>
      <c r="H8" s="136"/>
      <c r="I8" s="136"/>
      <c r="J8" s="136"/>
      <c r="K8" s="136"/>
      <c r="L8" s="136"/>
      <c r="M8" s="136"/>
      <c r="N8" s="136"/>
      <c r="O8" s="269"/>
    </row>
    <row r="9" spans="1:15" ht="16.5" thickTop="1" thickBot="1" x14ac:dyDescent="0.3">
      <c r="A9" s="11"/>
      <c r="B9" s="11"/>
      <c r="C9" s="11"/>
      <c r="D9" s="137"/>
      <c r="E9" s="138"/>
      <c r="F9" s="11"/>
      <c r="G9" s="11"/>
      <c r="H9" s="11"/>
      <c r="I9" s="11"/>
      <c r="J9" s="11"/>
      <c r="K9" s="11"/>
      <c r="L9" s="11"/>
      <c r="M9" s="11"/>
      <c r="N9" s="11"/>
      <c r="O9" s="11"/>
    </row>
    <row r="10" spans="1:15" ht="17.25" thickTop="1" thickBot="1" x14ac:dyDescent="0.3">
      <c r="A10" s="11"/>
      <c r="B10" s="283" t="s">
        <v>121</v>
      </c>
      <c r="C10" s="284"/>
      <c r="D10" s="284"/>
      <c r="E10" s="284"/>
      <c r="F10" s="284"/>
      <c r="G10" s="285"/>
      <c r="H10" s="139"/>
      <c r="I10" s="283" t="s">
        <v>122</v>
      </c>
      <c r="J10" s="284"/>
      <c r="K10" s="284"/>
      <c r="L10" s="284"/>
      <c r="M10" s="284"/>
      <c r="N10" s="285"/>
      <c r="O10" s="11"/>
    </row>
    <row r="11" spans="1:15" ht="30.75" customHeight="1" thickBot="1" x14ac:dyDescent="0.3">
      <c r="A11" s="11"/>
      <c r="B11" s="140" t="s">
        <v>123</v>
      </c>
      <c r="C11" s="106" t="s">
        <v>124</v>
      </c>
      <c r="D11" s="107" t="s">
        <v>125</v>
      </c>
      <c r="E11" s="106" t="s">
        <v>88</v>
      </c>
      <c r="F11" s="106" t="s">
        <v>89</v>
      </c>
      <c r="G11" s="108" t="s">
        <v>90</v>
      </c>
      <c r="H11" s="141"/>
      <c r="I11" s="140" t="s">
        <v>123</v>
      </c>
      <c r="J11" s="106" t="s">
        <v>124</v>
      </c>
      <c r="K11" s="107" t="s">
        <v>125</v>
      </c>
      <c r="L11" s="106" t="s">
        <v>88</v>
      </c>
      <c r="M11" s="106" t="s">
        <v>89</v>
      </c>
      <c r="N11" s="108" t="s">
        <v>90</v>
      </c>
      <c r="O11" s="11"/>
    </row>
    <row r="12" spans="1:15" ht="15.75" thickBot="1" x14ac:dyDescent="0.3">
      <c r="A12" s="11"/>
      <c r="B12" s="286">
        <v>1</v>
      </c>
      <c r="C12" s="113">
        <v>1</v>
      </c>
      <c r="D12" s="114">
        <v>1000000</v>
      </c>
      <c r="E12" s="114">
        <f>D5*D7</f>
        <v>150000</v>
      </c>
      <c r="F12" s="114">
        <f>D12</f>
        <v>1000000</v>
      </c>
      <c r="G12" s="115">
        <f>E12</f>
        <v>150000</v>
      </c>
      <c r="H12" s="142"/>
      <c r="I12" s="286">
        <v>1</v>
      </c>
      <c r="J12" s="113">
        <v>1</v>
      </c>
      <c r="K12" s="114">
        <v>1000000</v>
      </c>
      <c r="L12" s="114">
        <f>K12*D$7</f>
        <v>150000</v>
      </c>
      <c r="M12" s="114">
        <f>K12+L12</f>
        <v>1150000</v>
      </c>
      <c r="N12" s="115">
        <f>L12</f>
        <v>150000</v>
      </c>
      <c r="O12" s="11"/>
    </row>
    <row r="13" spans="1:15" ht="15.75" thickBot="1" x14ac:dyDescent="0.3">
      <c r="A13" s="11"/>
      <c r="B13" s="286"/>
      <c r="C13" s="113">
        <v>2</v>
      </c>
      <c r="D13" s="114">
        <f>F12</f>
        <v>1000000</v>
      </c>
      <c r="E13" s="114">
        <f>D13*D$7</f>
        <v>150000</v>
      </c>
      <c r="F13" s="114">
        <f t="shared" ref="F13:F21" si="0">D13</f>
        <v>1000000</v>
      </c>
      <c r="G13" s="115">
        <f>G12+E13</f>
        <v>300000</v>
      </c>
      <c r="H13" s="142"/>
      <c r="I13" s="286"/>
      <c r="J13" s="113">
        <v>2</v>
      </c>
      <c r="K13" s="114">
        <f>K12+L12</f>
        <v>1150000</v>
      </c>
      <c r="L13" s="114">
        <f>K13*D$7</f>
        <v>172500</v>
      </c>
      <c r="M13" s="114">
        <f t="shared" ref="M13:M21" si="1">K13+L13</f>
        <v>1322500</v>
      </c>
      <c r="N13" s="115">
        <f t="shared" ref="N13:N21" si="2">N12+L13</f>
        <v>322500</v>
      </c>
      <c r="O13" s="11"/>
    </row>
    <row r="14" spans="1:15" ht="15.75" thickBot="1" x14ac:dyDescent="0.3">
      <c r="A14" s="11"/>
      <c r="B14" s="286">
        <v>2</v>
      </c>
      <c r="C14" s="113">
        <v>3</v>
      </c>
      <c r="D14" s="114">
        <f>F13</f>
        <v>1000000</v>
      </c>
      <c r="E14" s="114">
        <f t="shared" ref="E14:E21" si="3">D14*D$7</f>
        <v>150000</v>
      </c>
      <c r="F14" s="114">
        <f t="shared" si="0"/>
        <v>1000000</v>
      </c>
      <c r="G14" s="115">
        <f t="shared" ref="G14:G21" si="4">G13+E14</f>
        <v>450000</v>
      </c>
      <c r="H14" s="142"/>
      <c r="I14" s="286">
        <v>2</v>
      </c>
      <c r="J14" s="113">
        <v>3</v>
      </c>
      <c r="K14" s="114">
        <f>K13+L13</f>
        <v>1322500</v>
      </c>
      <c r="L14" s="114">
        <f t="shared" ref="L14:L21" si="5">K14*D$7</f>
        <v>198375</v>
      </c>
      <c r="M14" s="114">
        <f t="shared" si="1"/>
        <v>1520875</v>
      </c>
      <c r="N14" s="115">
        <f t="shared" si="2"/>
        <v>520875</v>
      </c>
      <c r="O14" s="11"/>
    </row>
    <row r="15" spans="1:15" ht="15.75" thickBot="1" x14ac:dyDescent="0.3">
      <c r="A15" s="11"/>
      <c r="B15" s="286"/>
      <c r="C15" s="113">
        <v>4</v>
      </c>
      <c r="D15" s="114">
        <f t="shared" ref="D15:D21" si="6">F14</f>
        <v>1000000</v>
      </c>
      <c r="E15" s="114">
        <f t="shared" si="3"/>
        <v>150000</v>
      </c>
      <c r="F15" s="114">
        <f t="shared" si="0"/>
        <v>1000000</v>
      </c>
      <c r="G15" s="115">
        <f t="shared" si="4"/>
        <v>600000</v>
      </c>
      <c r="H15" s="142"/>
      <c r="I15" s="286"/>
      <c r="J15" s="113">
        <v>4</v>
      </c>
      <c r="K15" s="114">
        <f t="shared" ref="K15:K21" si="7">K14+L14</f>
        <v>1520875</v>
      </c>
      <c r="L15" s="114">
        <f t="shared" si="5"/>
        <v>228131.25</v>
      </c>
      <c r="M15" s="114">
        <f t="shared" si="1"/>
        <v>1749006.25</v>
      </c>
      <c r="N15" s="115">
        <f t="shared" si="2"/>
        <v>749006.25</v>
      </c>
      <c r="O15" s="11"/>
    </row>
    <row r="16" spans="1:15" ht="15.75" thickBot="1" x14ac:dyDescent="0.3">
      <c r="A16" s="11"/>
      <c r="B16" s="286">
        <v>3</v>
      </c>
      <c r="C16" s="113">
        <v>5</v>
      </c>
      <c r="D16" s="114">
        <f t="shared" si="6"/>
        <v>1000000</v>
      </c>
      <c r="E16" s="114">
        <f>D16*D$7</f>
        <v>150000</v>
      </c>
      <c r="F16" s="114">
        <f t="shared" si="0"/>
        <v>1000000</v>
      </c>
      <c r="G16" s="115">
        <f t="shared" si="4"/>
        <v>750000</v>
      </c>
      <c r="H16" s="142"/>
      <c r="I16" s="286">
        <v>3</v>
      </c>
      <c r="J16" s="113">
        <v>5</v>
      </c>
      <c r="K16" s="114">
        <f>K15+L15</f>
        <v>1749006.25</v>
      </c>
      <c r="L16" s="114">
        <f t="shared" si="5"/>
        <v>262350.9375</v>
      </c>
      <c r="M16" s="114">
        <f t="shared" si="1"/>
        <v>2011357.1875</v>
      </c>
      <c r="N16" s="115">
        <f t="shared" si="2"/>
        <v>1011357.1875</v>
      </c>
      <c r="O16" s="11"/>
    </row>
    <row r="17" spans="1:15" ht="15.75" thickBot="1" x14ac:dyDescent="0.3">
      <c r="A17" s="11"/>
      <c r="B17" s="286"/>
      <c r="C17" s="113">
        <v>6</v>
      </c>
      <c r="D17" s="114">
        <f t="shared" si="6"/>
        <v>1000000</v>
      </c>
      <c r="E17" s="114">
        <f t="shared" si="3"/>
        <v>150000</v>
      </c>
      <c r="F17" s="114">
        <f t="shared" si="0"/>
        <v>1000000</v>
      </c>
      <c r="G17" s="115">
        <f t="shared" si="4"/>
        <v>900000</v>
      </c>
      <c r="H17" s="142"/>
      <c r="I17" s="286"/>
      <c r="J17" s="113">
        <v>6</v>
      </c>
      <c r="K17" s="114">
        <f t="shared" si="7"/>
        <v>2011357.1875</v>
      </c>
      <c r="L17" s="114">
        <f t="shared" si="5"/>
        <v>301703.578125</v>
      </c>
      <c r="M17" s="114">
        <f t="shared" si="1"/>
        <v>2313060.765625</v>
      </c>
      <c r="N17" s="115">
        <f t="shared" si="2"/>
        <v>1313060.765625</v>
      </c>
      <c r="O17" s="11"/>
    </row>
    <row r="18" spans="1:15" ht="15.75" thickBot="1" x14ac:dyDescent="0.3">
      <c r="A18" s="11"/>
      <c r="B18" s="286">
        <v>4</v>
      </c>
      <c r="C18" s="113">
        <v>7</v>
      </c>
      <c r="D18" s="114">
        <f t="shared" si="6"/>
        <v>1000000</v>
      </c>
      <c r="E18" s="114">
        <f t="shared" si="3"/>
        <v>150000</v>
      </c>
      <c r="F18" s="114">
        <f t="shared" si="0"/>
        <v>1000000</v>
      </c>
      <c r="G18" s="115">
        <f t="shared" si="4"/>
        <v>1050000</v>
      </c>
      <c r="H18" s="142"/>
      <c r="I18" s="286">
        <v>4</v>
      </c>
      <c r="J18" s="113">
        <v>7</v>
      </c>
      <c r="K18" s="114">
        <f t="shared" si="7"/>
        <v>2313060.765625</v>
      </c>
      <c r="L18" s="114">
        <f t="shared" si="5"/>
        <v>346959.11484374997</v>
      </c>
      <c r="M18" s="114">
        <f t="shared" si="1"/>
        <v>2660019.8804687499</v>
      </c>
      <c r="N18" s="115">
        <f t="shared" si="2"/>
        <v>1660019.8804687499</v>
      </c>
      <c r="O18" s="11"/>
    </row>
    <row r="19" spans="1:15" ht="15.75" thickBot="1" x14ac:dyDescent="0.3">
      <c r="A19" s="11"/>
      <c r="B19" s="286"/>
      <c r="C19" s="113">
        <v>8</v>
      </c>
      <c r="D19" s="114">
        <f t="shared" si="6"/>
        <v>1000000</v>
      </c>
      <c r="E19" s="114">
        <f t="shared" si="3"/>
        <v>150000</v>
      </c>
      <c r="F19" s="114">
        <f t="shared" si="0"/>
        <v>1000000</v>
      </c>
      <c r="G19" s="115">
        <f t="shared" si="4"/>
        <v>1200000</v>
      </c>
      <c r="H19" s="142"/>
      <c r="I19" s="286"/>
      <c r="J19" s="113">
        <v>8</v>
      </c>
      <c r="K19" s="114">
        <f t="shared" si="7"/>
        <v>2660019.8804687499</v>
      </c>
      <c r="L19" s="114">
        <f t="shared" si="5"/>
        <v>399002.98207031249</v>
      </c>
      <c r="M19" s="114">
        <f t="shared" si="1"/>
        <v>3059022.8625390623</v>
      </c>
      <c r="N19" s="115">
        <f t="shared" si="2"/>
        <v>2059022.8625390623</v>
      </c>
      <c r="O19" s="11"/>
    </row>
    <row r="20" spans="1:15" ht="15.75" thickBot="1" x14ac:dyDescent="0.3">
      <c r="A20" s="11"/>
      <c r="B20" s="286">
        <v>5</v>
      </c>
      <c r="C20" s="113">
        <v>9</v>
      </c>
      <c r="D20" s="114">
        <f t="shared" si="6"/>
        <v>1000000</v>
      </c>
      <c r="E20" s="114">
        <f t="shared" si="3"/>
        <v>150000</v>
      </c>
      <c r="F20" s="114">
        <f t="shared" si="0"/>
        <v>1000000</v>
      </c>
      <c r="G20" s="115">
        <f t="shared" si="4"/>
        <v>1350000</v>
      </c>
      <c r="H20" s="142"/>
      <c r="I20" s="286">
        <v>5</v>
      </c>
      <c r="J20" s="113">
        <v>9</v>
      </c>
      <c r="K20" s="114">
        <f t="shared" si="7"/>
        <v>3059022.8625390623</v>
      </c>
      <c r="L20" s="114">
        <f t="shared" si="5"/>
        <v>458853.42938085931</v>
      </c>
      <c r="M20" s="114">
        <f t="shared" si="1"/>
        <v>3517876.2919199215</v>
      </c>
      <c r="N20" s="115">
        <f t="shared" si="2"/>
        <v>2517876.2919199215</v>
      </c>
      <c r="O20" s="11"/>
    </row>
    <row r="21" spans="1:15" ht="15.75" thickBot="1" x14ac:dyDescent="0.3">
      <c r="A21" s="11"/>
      <c r="B21" s="286"/>
      <c r="C21" s="113">
        <v>10</v>
      </c>
      <c r="D21" s="114">
        <f t="shared" si="6"/>
        <v>1000000</v>
      </c>
      <c r="E21" s="114">
        <f t="shared" si="3"/>
        <v>150000</v>
      </c>
      <c r="F21" s="114">
        <f t="shared" si="0"/>
        <v>1000000</v>
      </c>
      <c r="G21" s="115">
        <f t="shared" si="4"/>
        <v>1500000</v>
      </c>
      <c r="H21" s="142"/>
      <c r="I21" s="286"/>
      <c r="J21" s="113">
        <v>10</v>
      </c>
      <c r="K21" s="114">
        <f t="shared" si="7"/>
        <v>3517876.2919199215</v>
      </c>
      <c r="L21" s="114">
        <f t="shared" si="5"/>
        <v>527681.44378798816</v>
      </c>
      <c r="M21" s="114">
        <f t="shared" si="1"/>
        <v>4045557.7357079098</v>
      </c>
      <c r="N21" s="115">
        <f t="shared" si="2"/>
        <v>3045557.7357079098</v>
      </c>
      <c r="O21" s="11"/>
    </row>
    <row r="22" spans="1:15" ht="16.5" thickBot="1" x14ac:dyDescent="0.3">
      <c r="A22" s="11"/>
      <c r="B22" s="287" t="s">
        <v>62</v>
      </c>
      <c r="C22" s="288"/>
      <c r="D22" s="289"/>
      <c r="E22" s="123">
        <f>SUM(E12:E21)</f>
        <v>1500000</v>
      </c>
      <c r="F22" s="123">
        <f>F21</f>
        <v>1000000</v>
      </c>
      <c r="G22" s="124">
        <f>G21</f>
        <v>1500000</v>
      </c>
      <c r="H22" s="143"/>
      <c r="I22" s="287" t="s">
        <v>62</v>
      </c>
      <c r="J22" s="288"/>
      <c r="K22" s="289"/>
      <c r="L22" s="123">
        <f>SUM(L12:L21)</f>
        <v>3045557.7357079098</v>
      </c>
      <c r="M22" s="123">
        <f>M21</f>
        <v>4045557.7357079098</v>
      </c>
      <c r="N22" s="124">
        <f>N21</f>
        <v>3045557.7357079098</v>
      </c>
      <c r="O22" s="11"/>
    </row>
    <row r="23" spans="1:15" ht="15.75" thickTop="1" x14ac:dyDescent="0.25">
      <c r="A23" s="11"/>
      <c r="B23" s="11"/>
      <c r="C23" s="11"/>
      <c r="D23" s="11"/>
      <c r="E23" s="11"/>
      <c r="F23" s="11"/>
      <c r="G23" s="11"/>
      <c r="H23" s="11"/>
      <c r="I23" s="11"/>
      <c r="J23" s="11"/>
      <c r="K23" s="11"/>
      <c r="L23" s="11"/>
      <c r="M23" s="11"/>
      <c r="N23" s="11"/>
      <c r="O23" s="11"/>
    </row>
    <row r="24" spans="1:15" ht="21" x14ac:dyDescent="0.35">
      <c r="A24" s="11"/>
      <c r="B24" s="290" t="s">
        <v>126</v>
      </c>
      <c r="C24" s="290"/>
      <c r="D24" s="290"/>
      <c r="E24" s="290"/>
      <c r="F24" s="290"/>
      <c r="G24" s="290"/>
      <c r="H24" s="290"/>
      <c r="I24" s="290"/>
      <c r="J24" s="290"/>
      <c r="K24" s="290"/>
      <c r="L24" s="290"/>
      <c r="M24" s="290"/>
      <c r="N24" s="290"/>
      <c r="O24" s="11"/>
    </row>
    <row r="25" spans="1:15" x14ac:dyDescent="0.25">
      <c r="A25" s="11"/>
      <c r="B25" s="11"/>
      <c r="C25" s="11"/>
      <c r="D25" s="11"/>
      <c r="E25" s="11"/>
      <c r="F25" s="11"/>
      <c r="G25" s="11"/>
      <c r="H25" s="11"/>
      <c r="I25" s="11"/>
      <c r="J25" s="11"/>
      <c r="K25" s="11"/>
      <c r="L25" s="11"/>
      <c r="M25" s="11"/>
      <c r="N25" s="11"/>
      <c r="O25" s="11"/>
    </row>
    <row r="26" spans="1:15" x14ac:dyDescent="0.25">
      <c r="A26" s="11"/>
      <c r="B26" s="11"/>
      <c r="C26" s="11"/>
      <c r="D26" s="11"/>
      <c r="E26" s="11"/>
      <c r="F26" s="11"/>
      <c r="G26" s="11"/>
      <c r="H26" s="11"/>
      <c r="I26" s="11"/>
      <c r="J26" s="11"/>
      <c r="K26" s="11"/>
      <c r="L26" s="11"/>
      <c r="M26" s="11"/>
      <c r="N26" s="11"/>
      <c r="O26" s="11"/>
    </row>
    <row r="27" spans="1:15" x14ac:dyDescent="0.25">
      <c r="A27" s="11"/>
      <c r="B27" s="11"/>
      <c r="C27" s="11"/>
      <c r="D27" s="11"/>
      <c r="E27" s="11"/>
      <c r="F27" s="11"/>
      <c r="G27" s="11"/>
      <c r="H27" s="11"/>
      <c r="I27" s="11"/>
      <c r="J27" s="11"/>
      <c r="K27" s="11"/>
      <c r="L27" s="11"/>
      <c r="M27" s="11"/>
      <c r="N27" s="11"/>
      <c r="O27" s="11"/>
    </row>
    <row r="28" spans="1:15" x14ac:dyDescent="0.25">
      <c r="A28" s="11"/>
      <c r="B28" s="11"/>
      <c r="C28" s="11"/>
      <c r="D28" s="11"/>
      <c r="E28" s="11"/>
      <c r="F28" s="11"/>
      <c r="G28" s="11"/>
      <c r="H28" s="11"/>
      <c r="I28" s="11"/>
      <c r="J28" s="11"/>
      <c r="K28" s="11"/>
      <c r="L28" s="11"/>
      <c r="M28" s="11"/>
      <c r="N28" s="11"/>
      <c r="O28" s="11"/>
    </row>
    <row r="29" spans="1:15" x14ac:dyDescent="0.25">
      <c r="A29" s="11"/>
      <c r="B29" s="11"/>
      <c r="C29" s="11"/>
      <c r="D29" s="11"/>
      <c r="E29" s="11"/>
      <c r="F29" s="11"/>
      <c r="G29" s="11"/>
      <c r="H29" s="11"/>
      <c r="I29" s="11"/>
      <c r="J29" s="11"/>
      <c r="K29" s="11"/>
      <c r="L29" s="11"/>
      <c r="M29" s="11"/>
      <c r="N29" s="11"/>
      <c r="O29" s="11"/>
    </row>
    <row r="30" spans="1:15" x14ac:dyDescent="0.25">
      <c r="A30" s="11"/>
      <c r="B30" s="11"/>
      <c r="C30" s="11"/>
      <c r="D30" s="11"/>
      <c r="E30" s="11"/>
      <c r="F30" s="11"/>
      <c r="G30" s="11"/>
      <c r="H30" s="11"/>
      <c r="I30" s="11"/>
      <c r="J30" s="11"/>
      <c r="K30" s="11"/>
      <c r="L30" s="11"/>
      <c r="M30" s="11"/>
      <c r="N30" s="11"/>
      <c r="O30" s="11"/>
    </row>
    <row r="31" spans="1:15" x14ac:dyDescent="0.25">
      <c r="A31" s="11"/>
      <c r="B31" s="11"/>
      <c r="C31" s="11"/>
      <c r="D31" s="11"/>
      <c r="E31" s="11"/>
      <c r="F31" s="11"/>
      <c r="G31" s="11"/>
      <c r="H31" s="11"/>
      <c r="I31" s="11"/>
      <c r="J31" s="11"/>
      <c r="K31" s="11"/>
      <c r="L31" s="11"/>
      <c r="M31" s="11"/>
      <c r="N31" s="11"/>
      <c r="O31" s="11"/>
    </row>
    <row r="32" spans="1:15" x14ac:dyDescent="0.25">
      <c r="A32" s="11"/>
      <c r="B32" s="11"/>
      <c r="C32" s="11"/>
      <c r="D32" s="11"/>
      <c r="E32" s="11"/>
      <c r="F32" s="11"/>
      <c r="G32" s="11"/>
      <c r="H32" s="11"/>
      <c r="I32" s="11"/>
      <c r="J32" s="11"/>
      <c r="K32" s="11"/>
      <c r="L32" s="11"/>
      <c r="M32" s="11"/>
      <c r="N32" s="11"/>
      <c r="O32" s="11"/>
    </row>
    <row r="33" spans="1:15" x14ac:dyDescent="0.25">
      <c r="A33" s="11"/>
      <c r="B33" s="11"/>
      <c r="C33" s="11"/>
      <c r="D33" s="11"/>
      <c r="E33" s="11"/>
      <c r="F33" s="11"/>
      <c r="G33" s="11"/>
      <c r="H33" s="11"/>
      <c r="I33" s="11"/>
      <c r="J33" s="11"/>
      <c r="K33" s="11"/>
      <c r="L33" s="11"/>
      <c r="M33" s="11"/>
      <c r="N33" s="11"/>
      <c r="O33" s="11"/>
    </row>
    <row r="34" spans="1:15" x14ac:dyDescent="0.25">
      <c r="A34" s="11"/>
      <c r="B34" s="11"/>
      <c r="C34" s="11"/>
      <c r="D34" s="11"/>
      <c r="E34" s="11"/>
      <c r="F34" s="11"/>
      <c r="G34" s="11"/>
      <c r="H34" s="11"/>
      <c r="I34" s="11"/>
      <c r="J34" s="11"/>
      <c r="K34" s="11"/>
      <c r="L34" s="11"/>
      <c r="M34" s="11"/>
      <c r="N34" s="11"/>
      <c r="O34" s="11"/>
    </row>
    <row r="35" spans="1:15" x14ac:dyDescent="0.25">
      <c r="A35" s="11"/>
      <c r="B35" s="11"/>
      <c r="C35" s="11"/>
      <c r="D35" s="11"/>
      <c r="E35" s="11"/>
      <c r="F35" s="11"/>
      <c r="G35" s="11"/>
      <c r="H35" s="11"/>
      <c r="I35" s="11"/>
      <c r="J35" s="11"/>
      <c r="K35" s="11"/>
      <c r="L35" s="11"/>
      <c r="M35" s="11"/>
      <c r="N35" s="11"/>
      <c r="O35" s="11"/>
    </row>
    <row r="36" spans="1:15" x14ac:dyDescent="0.25">
      <c r="A36" s="11"/>
      <c r="B36" s="11"/>
      <c r="C36" s="11"/>
      <c r="D36" s="11"/>
      <c r="E36" s="11"/>
      <c r="F36" s="11"/>
      <c r="G36" s="11"/>
      <c r="H36" s="11"/>
      <c r="I36" s="11"/>
      <c r="J36" s="11"/>
      <c r="K36" s="11"/>
      <c r="L36" s="11"/>
      <c r="M36" s="11"/>
      <c r="N36" s="11"/>
      <c r="O36" s="11"/>
    </row>
    <row r="37" spans="1:15" x14ac:dyDescent="0.25">
      <c r="A37" s="11"/>
      <c r="B37" s="11"/>
      <c r="C37" s="11"/>
      <c r="D37" s="11"/>
      <c r="E37" s="11"/>
      <c r="F37" s="11"/>
      <c r="G37" s="11"/>
      <c r="H37" s="11"/>
      <c r="I37" s="11"/>
      <c r="J37" s="11"/>
      <c r="K37" s="11"/>
      <c r="L37" s="11"/>
      <c r="M37" s="11"/>
      <c r="N37" s="11"/>
      <c r="O37" s="11"/>
    </row>
    <row r="38" spans="1:15" x14ac:dyDescent="0.25">
      <c r="A38" s="11"/>
      <c r="B38" s="11"/>
      <c r="C38" s="11"/>
      <c r="D38" s="11"/>
      <c r="E38" s="11"/>
      <c r="F38" s="11"/>
      <c r="G38" s="11"/>
      <c r="H38" s="11"/>
      <c r="I38" s="11"/>
      <c r="J38" s="11"/>
      <c r="K38" s="11"/>
      <c r="L38" s="11"/>
      <c r="M38" s="11"/>
      <c r="N38" s="11"/>
      <c r="O38" s="11"/>
    </row>
    <row r="39" spans="1:15" x14ac:dyDescent="0.25">
      <c r="A39" s="11"/>
      <c r="B39" s="11"/>
      <c r="C39" s="11"/>
      <c r="D39" s="11"/>
      <c r="E39" s="11"/>
      <c r="F39" s="11"/>
      <c r="G39" s="11"/>
      <c r="H39" s="11"/>
      <c r="I39" s="11"/>
      <c r="J39" s="11"/>
      <c r="K39" s="11"/>
      <c r="L39" s="11"/>
      <c r="M39" s="11"/>
      <c r="N39" s="11"/>
      <c r="O39" s="11"/>
    </row>
    <row r="40" spans="1:15" x14ac:dyDescent="0.25">
      <c r="A40" s="11"/>
      <c r="B40" s="11"/>
      <c r="C40" s="11"/>
      <c r="D40" s="11"/>
      <c r="E40" s="11"/>
      <c r="F40" s="11"/>
      <c r="G40" s="11"/>
      <c r="H40" s="11"/>
      <c r="I40" s="11"/>
      <c r="J40" s="11"/>
      <c r="K40" s="11"/>
      <c r="L40" s="11"/>
      <c r="M40" s="11"/>
      <c r="N40" s="11"/>
      <c r="O40" s="11"/>
    </row>
    <row r="41" spans="1:15" x14ac:dyDescent="0.25">
      <c r="A41" s="11"/>
      <c r="B41" s="11"/>
      <c r="C41" s="11"/>
      <c r="D41" s="11"/>
      <c r="E41" s="11"/>
      <c r="F41" s="11"/>
      <c r="G41" s="11"/>
      <c r="H41" s="11"/>
      <c r="I41" s="11"/>
      <c r="J41" s="11"/>
      <c r="K41" s="11"/>
      <c r="L41" s="11"/>
      <c r="M41" s="11"/>
      <c r="N41" s="11"/>
      <c r="O41" s="11"/>
    </row>
    <row r="42" spans="1:15" x14ac:dyDescent="0.25">
      <c r="A42" s="11"/>
      <c r="B42" s="11"/>
      <c r="C42" s="11"/>
      <c r="D42" s="11"/>
      <c r="E42" s="11"/>
      <c r="F42" s="11"/>
      <c r="G42" s="11"/>
      <c r="H42" s="11"/>
      <c r="I42" s="11"/>
      <c r="J42" s="11"/>
      <c r="K42" s="11"/>
      <c r="L42" s="11"/>
      <c r="M42" s="11"/>
      <c r="N42" s="11"/>
      <c r="O42" s="11"/>
    </row>
    <row r="43" spans="1:15" ht="33.75" customHeight="1" x14ac:dyDescent="0.25">
      <c r="A43" s="11"/>
      <c r="B43" s="11"/>
      <c r="C43" s="11"/>
      <c r="D43" s="11"/>
      <c r="E43" s="11"/>
      <c r="F43" s="11"/>
      <c r="G43" s="11"/>
      <c r="H43" s="11"/>
      <c r="I43" s="11"/>
      <c r="J43" s="11"/>
      <c r="K43" s="11"/>
      <c r="L43" s="11"/>
      <c r="M43" s="11"/>
      <c r="N43" s="11"/>
      <c r="O43" s="11"/>
    </row>
  </sheetData>
  <mergeCells count="21">
    <mergeCell ref="B22:D22"/>
    <mergeCell ref="I22:K22"/>
    <mergeCell ref="B24:N24"/>
    <mergeCell ref="B16:B17"/>
    <mergeCell ref="I16:I17"/>
    <mergeCell ref="B18:B19"/>
    <mergeCell ref="I18:I19"/>
    <mergeCell ref="B20:B21"/>
    <mergeCell ref="I20:I21"/>
    <mergeCell ref="B10:G10"/>
    <mergeCell ref="I10:N10"/>
    <mergeCell ref="B12:B13"/>
    <mergeCell ref="I12:I13"/>
    <mergeCell ref="B14:B15"/>
    <mergeCell ref="I14:I15"/>
    <mergeCell ref="B1:O1"/>
    <mergeCell ref="B2:N3"/>
    <mergeCell ref="B4:O4"/>
    <mergeCell ref="E5:N5"/>
    <mergeCell ref="O5:O8"/>
    <mergeCell ref="E6:N7"/>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2"/>
  <sheetViews>
    <sheetView zoomScale="96" zoomScaleNormal="96" workbookViewId="0">
      <selection activeCell="E7" sqref="E7"/>
    </sheetView>
  </sheetViews>
  <sheetFormatPr baseColWidth="10" defaultRowHeight="15" x14ac:dyDescent="0.2"/>
  <cols>
    <col min="1" max="1" width="11.42578125" style="105"/>
    <col min="2" max="2" width="21.28515625" style="105" customWidth="1"/>
    <col min="3" max="3" width="20.85546875" style="105" customWidth="1"/>
    <col min="4" max="4" width="11.42578125" style="105"/>
    <col min="5" max="5" width="21.7109375" style="105" customWidth="1"/>
    <col min="6" max="6" width="29.140625" style="105" customWidth="1"/>
    <col min="7" max="7" width="19" style="105" bestFit="1" customWidth="1"/>
    <col min="8" max="9" width="11.42578125" style="105"/>
    <col min="10" max="10" width="21.7109375" style="105" customWidth="1"/>
    <col min="11" max="11" width="12.5703125" style="105" customWidth="1"/>
    <col min="12" max="12" width="15.28515625" style="105" bestFit="1" customWidth="1"/>
    <col min="13" max="13" width="11.42578125" style="105"/>
    <col min="14" max="14" width="6.28515625" style="105" customWidth="1"/>
    <col min="15" max="15" width="14.28515625" style="105" customWidth="1"/>
    <col min="16" max="16384" width="11.42578125" style="105"/>
  </cols>
  <sheetData>
    <row r="1" spans="1:20" ht="15.75" thickBot="1" x14ac:dyDescent="0.25">
      <c r="A1" s="104"/>
      <c r="B1" s="104"/>
      <c r="C1" s="104"/>
      <c r="D1" s="104"/>
      <c r="E1" s="104"/>
      <c r="F1" s="104"/>
      <c r="G1" s="104"/>
      <c r="H1" s="104"/>
      <c r="I1" s="104"/>
      <c r="J1" s="104"/>
      <c r="K1" s="104"/>
      <c r="L1" s="104"/>
      <c r="M1" s="104"/>
      <c r="N1" s="104"/>
      <c r="O1" s="104"/>
      <c r="P1" s="104"/>
      <c r="Q1" s="104"/>
      <c r="R1" s="104"/>
      <c r="S1" s="104"/>
      <c r="T1" s="104"/>
    </row>
    <row r="2" spans="1:20" ht="15.75" thickTop="1" x14ac:dyDescent="0.2">
      <c r="A2" s="104"/>
      <c r="B2" s="104"/>
      <c r="C2" s="104"/>
      <c r="D2" s="303" t="s">
        <v>81</v>
      </c>
      <c r="E2" s="304"/>
      <c r="F2" s="304"/>
      <c r="G2" s="304"/>
      <c r="H2" s="304"/>
      <c r="I2" s="304"/>
      <c r="J2" s="304"/>
      <c r="K2" s="304"/>
      <c r="L2" s="304"/>
      <c r="M2" s="304"/>
      <c r="N2" s="304"/>
      <c r="O2" s="305"/>
      <c r="P2" s="104"/>
      <c r="Q2" s="104"/>
      <c r="R2" s="104"/>
      <c r="S2" s="104"/>
      <c r="T2" s="104"/>
    </row>
    <row r="3" spans="1:20" ht="68.25" customHeight="1" thickBot="1" x14ac:dyDescent="0.25">
      <c r="A3" s="104"/>
      <c r="B3" s="104"/>
      <c r="C3" s="104"/>
      <c r="D3" s="306"/>
      <c r="E3" s="307"/>
      <c r="F3" s="307"/>
      <c r="G3" s="307"/>
      <c r="H3" s="307"/>
      <c r="I3" s="307"/>
      <c r="J3" s="307"/>
      <c r="K3" s="307"/>
      <c r="L3" s="307"/>
      <c r="M3" s="307"/>
      <c r="N3" s="307"/>
      <c r="O3" s="308"/>
      <c r="P3" s="104"/>
      <c r="Q3" s="104"/>
      <c r="R3" s="104"/>
      <c r="S3" s="104"/>
      <c r="T3" s="104"/>
    </row>
    <row r="4" spans="1:20" ht="16.5" thickTop="1" thickBot="1" x14ac:dyDescent="0.25">
      <c r="A4" s="104"/>
      <c r="B4" s="104"/>
      <c r="C4" s="104"/>
      <c r="D4" s="104"/>
      <c r="E4" s="104"/>
      <c r="F4" s="104"/>
      <c r="G4" s="104"/>
      <c r="H4" s="104"/>
      <c r="I4" s="104"/>
      <c r="J4" s="104"/>
      <c r="K4" s="104"/>
      <c r="L4" s="104"/>
      <c r="M4" s="104"/>
      <c r="N4" s="104"/>
      <c r="O4" s="104"/>
      <c r="P4" s="104"/>
      <c r="Q4" s="104"/>
      <c r="R4" s="104"/>
      <c r="S4" s="104"/>
      <c r="T4" s="104"/>
    </row>
    <row r="5" spans="1:20" ht="19.5" thickTop="1" thickBot="1" x14ac:dyDescent="0.3">
      <c r="A5" s="104"/>
      <c r="B5" s="104"/>
      <c r="C5" s="104"/>
      <c r="D5" s="104"/>
      <c r="E5" s="104"/>
      <c r="F5" s="104"/>
      <c r="G5" s="104"/>
      <c r="H5" s="104"/>
      <c r="I5" s="309" t="s">
        <v>82</v>
      </c>
      <c r="J5" s="310"/>
      <c r="K5" s="310"/>
      <c r="L5" s="310"/>
      <c r="M5" s="310"/>
      <c r="N5" s="310"/>
      <c r="O5" s="310"/>
      <c r="P5" s="310"/>
      <c r="Q5" s="310"/>
      <c r="R5" s="310"/>
      <c r="S5" s="311"/>
      <c r="T5" s="104"/>
    </row>
    <row r="6" spans="1:20" ht="16.5" customHeight="1" thickTop="1" thickBot="1" x14ac:dyDescent="0.25">
      <c r="A6" s="104"/>
      <c r="B6" s="104"/>
      <c r="C6" s="104"/>
      <c r="D6" s="104"/>
      <c r="E6" s="104"/>
      <c r="F6" s="104"/>
      <c r="G6" s="104"/>
      <c r="H6" s="104"/>
      <c r="I6" s="312">
        <v>2.1999999999999999E-2</v>
      </c>
      <c r="J6" s="313"/>
      <c r="K6" s="313"/>
      <c r="L6" s="313"/>
      <c r="M6" s="313"/>
      <c r="N6" s="313"/>
      <c r="O6" s="313"/>
      <c r="P6" s="313"/>
      <c r="Q6" s="313"/>
      <c r="R6" s="313"/>
      <c r="S6" s="314"/>
      <c r="T6" s="104"/>
    </row>
    <row r="7" spans="1:20" ht="16.5" customHeight="1" thickTop="1" thickBot="1" x14ac:dyDescent="0.3">
      <c r="A7" s="104"/>
      <c r="B7" s="104"/>
      <c r="C7" s="104"/>
      <c r="D7" s="104"/>
      <c r="E7" s="104"/>
      <c r="F7" s="104"/>
      <c r="G7" s="104"/>
      <c r="H7" s="104"/>
      <c r="I7" s="309" t="s">
        <v>83</v>
      </c>
      <c r="J7" s="310"/>
      <c r="K7" s="310"/>
      <c r="L7" s="310"/>
      <c r="M7" s="310"/>
      <c r="N7" s="310"/>
      <c r="O7" s="310"/>
      <c r="P7" s="310"/>
      <c r="Q7" s="310"/>
      <c r="R7" s="310"/>
      <c r="S7" s="311"/>
      <c r="T7" s="104"/>
    </row>
    <row r="8" spans="1:20" ht="16.5" customHeight="1" thickTop="1" thickBot="1" x14ac:dyDescent="0.25">
      <c r="A8" s="104"/>
      <c r="B8" s="104"/>
      <c r="C8" s="104"/>
      <c r="D8" s="104"/>
      <c r="E8" s="104"/>
      <c r="F8" s="104"/>
      <c r="G8" s="104"/>
      <c r="H8" s="104"/>
      <c r="I8" s="315">
        <f>I6/12</f>
        <v>1.8333333333333333E-3</v>
      </c>
      <c r="J8" s="316"/>
      <c r="K8" s="316"/>
      <c r="L8" s="316"/>
      <c r="M8" s="316"/>
      <c r="N8" s="316"/>
      <c r="O8" s="316"/>
      <c r="P8" s="316"/>
      <c r="Q8" s="316"/>
      <c r="R8" s="316"/>
      <c r="S8" s="317"/>
      <c r="T8" s="104"/>
    </row>
    <row r="9" spans="1:20" ht="20.25" thickTop="1" thickBot="1" x14ac:dyDescent="0.35">
      <c r="A9" s="104"/>
      <c r="B9" s="291" t="s">
        <v>84</v>
      </c>
      <c r="C9" s="292"/>
      <c r="D9" s="292"/>
      <c r="E9" s="292"/>
      <c r="F9" s="292"/>
      <c r="G9" s="293"/>
      <c r="H9" s="104"/>
      <c r="I9" s="297" t="s">
        <v>85</v>
      </c>
      <c r="J9" s="297"/>
      <c r="K9" s="297"/>
      <c r="L9" s="297"/>
      <c r="M9" s="298"/>
      <c r="N9" s="299"/>
      <c r="O9" s="297" t="str">
        <f>B16</f>
        <v>Vega Jose Maria</v>
      </c>
      <c r="P9" s="297"/>
      <c r="Q9" s="297"/>
      <c r="R9" s="297"/>
      <c r="S9" s="298"/>
      <c r="T9" s="104"/>
    </row>
    <row r="10" spans="1:20" ht="48" thickBot="1" x14ac:dyDescent="0.3">
      <c r="A10" s="104"/>
      <c r="B10" s="294"/>
      <c r="C10" s="295"/>
      <c r="D10" s="295"/>
      <c r="E10" s="295"/>
      <c r="F10" s="295"/>
      <c r="G10" s="296"/>
      <c r="H10" s="104"/>
      <c r="I10" s="106" t="s">
        <v>86</v>
      </c>
      <c r="J10" s="107" t="s">
        <v>87</v>
      </c>
      <c r="K10" s="106" t="s">
        <v>88</v>
      </c>
      <c r="L10" s="106" t="s">
        <v>89</v>
      </c>
      <c r="M10" s="108" t="s">
        <v>90</v>
      </c>
      <c r="N10" s="300"/>
      <c r="O10" s="106" t="s">
        <v>86</v>
      </c>
      <c r="P10" s="107" t="s">
        <v>87</v>
      </c>
      <c r="Q10" s="106" t="s">
        <v>88</v>
      </c>
      <c r="R10" s="106" t="s">
        <v>89</v>
      </c>
      <c r="S10" s="108" t="s">
        <v>90</v>
      </c>
      <c r="T10" s="104"/>
    </row>
    <row r="11" spans="1:20" ht="17.25" thickTop="1" thickBot="1" x14ac:dyDescent="0.3">
      <c r="A11" s="104"/>
      <c r="B11" s="109" t="s">
        <v>91</v>
      </c>
      <c r="C11" s="110" t="s">
        <v>87</v>
      </c>
      <c r="D11" s="110" t="s">
        <v>92</v>
      </c>
      <c r="E11" s="110" t="s">
        <v>93</v>
      </c>
      <c r="F11" s="111" t="s">
        <v>94</v>
      </c>
      <c r="G11" s="112" t="s">
        <v>95</v>
      </c>
      <c r="H11" s="104"/>
      <c r="I11" s="113">
        <v>1</v>
      </c>
      <c r="J11" s="114">
        <f>C12</f>
        <v>4000000</v>
      </c>
      <c r="K11" s="114">
        <f t="shared" ref="K11:K22" si="0">J11*I$8</f>
        <v>7333.333333333333</v>
      </c>
      <c r="L11" s="114">
        <f>J11+K11</f>
        <v>4007333.3333333335</v>
      </c>
      <c r="M11" s="115">
        <f>K11</f>
        <v>7333.333333333333</v>
      </c>
      <c r="N11" s="300"/>
      <c r="O11" s="113">
        <v>1</v>
      </c>
      <c r="P11" s="114">
        <f>C16</f>
        <v>1250000</v>
      </c>
      <c r="Q11" s="114">
        <f t="shared" ref="Q11:Q20" si="1">P11*I$8</f>
        <v>2291.6666666666665</v>
      </c>
      <c r="R11" s="114">
        <f>P11+Q11</f>
        <v>1252291.6666666667</v>
      </c>
      <c r="S11" s="115">
        <f>Q11</f>
        <v>2291.6666666666665</v>
      </c>
      <c r="T11" s="104"/>
    </row>
    <row r="12" spans="1:20" ht="16.5" thickBot="1" x14ac:dyDescent="0.3">
      <c r="A12" s="104"/>
      <c r="B12" s="116" t="s">
        <v>85</v>
      </c>
      <c r="C12" s="117">
        <v>4000000</v>
      </c>
      <c r="D12" s="118" t="s">
        <v>96</v>
      </c>
      <c r="E12" s="119">
        <v>1</v>
      </c>
      <c r="F12" s="120">
        <v>2.1999999999999999E-2</v>
      </c>
      <c r="G12" s="121">
        <f>C12*E12*F12</f>
        <v>88000</v>
      </c>
      <c r="H12" s="104"/>
      <c r="I12" s="113">
        <v>2</v>
      </c>
      <c r="J12" s="114">
        <f>J11+K11</f>
        <v>4007333.3333333335</v>
      </c>
      <c r="K12" s="114">
        <f t="shared" si="0"/>
        <v>7346.7777777777783</v>
      </c>
      <c r="L12" s="114">
        <f>J12+K12</f>
        <v>4014680.1111111115</v>
      </c>
      <c r="M12" s="115">
        <f t="shared" ref="M12:M22" si="2">M11+K12</f>
        <v>14680.111111111111</v>
      </c>
      <c r="N12" s="300"/>
      <c r="O12" s="113">
        <v>2</v>
      </c>
      <c r="P12" s="114">
        <f t="shared" ref="P12:P20" si="3">P11+Q11</f>
        <v>1252291.6666666667</v>
      </c>
      <c r="Q12" s="114">
        <f t="shared" si="1"/>
        <v>2295.8680555555557</v>
      </c>
      <c r="R12" s="114">
        <f>P12+Q12</f>
        <v>1254587.5347222222</v>
      </c>
      <c r="S12" s="115">
        <f t="shared" ref="S12:S20" si="4">S11+Q12</f>
        <v>4587.5347222222226</v>
      </c>
      <c r="T12" s="104"/>
    </row>
    <row r="13" spans="1:20" ht="16.5" thickBot="1" x14ac:dyDescent="0.3">
      <c r="A13" s="104"/>
      <c r="B13" s="116" t="s">
        <v>97</v>
      </c>
      <c r="C13" s="117">
        <v>4000000</v>
      </c>
      <c r="D13" s="118" t="s">
        <v>98</v>
      </c>
      <c r="E13" s="119">
        <v>0.5</v>
      </c>
      <c r="F13" s="120">
        <v>2.1999999999999999E-2</v>
      </c>
      <c r="G13" s="121">
        <f t="shared" ref="G13:G19" si="5">C13*E13*F13</f>
        <v>44000</v>
      </c>
      <c r="H13" s="104"/>
      <c r="I13" s="113">
        <v>3</v>
      </c>
      <c r="J13" s="114">
        <f>J12+K12</f>
        <v>4014680.1111111115</v>
      </c>
      <c r="K13" s="114">
        <f t="shared" si="0"/>
        <v>7360.2468703703707</v>
      </c>
      <c r="L13" s="114">
        <f t="shared" ref="L13:L22" si="6">J13+K13</f>
        <v>4022040.3579814821</v>
      </c>
      <c r="M13" s="115">
        <f t="shared" si="2"/>
        <v>22040.35798148148</v>
      </c>
      <c r="N13" s="300"/>
      <c r="O13" s="113">
        <v>3</v>
      </c>
      <c r="P13" s="114">
        <f t="shared" si="3"/>
        <v>1254587.5347222222</v>
      </c>
      <c r="Q13" s="114">
        <f t="shared" si="1"/>
        <v>2300.0771469907409</v>
      </c>
      <c r="R13" s="114">
        <f t="shared" ref="R13:R20" si="7">P13+Q13</f>
        <v>1256887.6118692129</v>
      </c>
      <c r="S13" s="115">
        <f t="shared" si="4"/>
        <v>6887.6118692129639</v>
      </c>
      <c r="T13" s="104"/>
    </row>
    <row r="14" spans="1:20" ht="16.5" thickBot="1" x14ac:dyDescent="0.3">
      <c r="A14" s="104"/>
      <c r="B14" s="116" t="s">
        <v>99</v>
      </c>
      <c r="C14" s="117">
        <v>2000000</v>
      </c>
      <c r="D14" s="118" t="s">
        <v>100</v>
      </c>
      <c r="E14" s="119">
        <v>2</v>
      </c>
      <c r="F14" s="120">
        <v>2.1999999999999999E-2</v>
      </c>
      <c r="G14" s="121">
        <f t="shared" si="5"/>
        <v>88000</v>
      </c>
      <c r="H14" s="104"/>
      <c r="I14" s="113">
        <v>4</v>
      </c>
      <c r="J14" s="114">
        <f t="shared" ref="J14:J22" si="8">J13+K13</f>
        <v>4022040.3579814821</v>
      </c>
      <c r="K14" s="114">
        <f t="shared" si="0"/>
        <v>7373.7406562993838</v>
      </c>
      <c r="L14" s="114">
        <f t="shared" si="6"/>
        <v>4029414.0986377816</v>
      </c>
      <c r="M14" s="115">
        <f t="shared" si="2"/>
        <v>29414.098637780866</v>
      </c>
      <c r="N14" s="300"/>
      <c r="O14" s="113">
        <v>4</v>
      </c>
      <c r="P14" s="114">
        <f t="shared" si="3"/>
        <v>1256887.6118692129</v>
      </c>
      <c r="Q14" s="114">
        <f t="shared" si="1"/>
        <v>2304.2939550935571</v>
      </c>
      <c r="R14" s="114">
        <f t="shared" si="7"/>
        <v>1259191.9058243064</v>
      </c>
      <c r="S14" s="115">
        <f t="shared" si="4"/>
        <v>9191.905824306521</v>
      </c>
      <c r="T14" s="104"/>
    </row>
    <row r="15" spans="1:20" ht="16.5" thickBot="1" x14ac:dyDescent="0.3">
      <c r="A15" s="104"/>
      <c r="B15" s="116" t="s">
        <v>101</v>
      </c>
      <c r="C15" s="117">
        <v>2500000</v>
      </c>
      <c r="D15" s="118" t="s">
        <v>102</v>
      </c>
      <c r="E15" s="119">
        <v>0.25</v>
      </c>
      <c r="F15" s="120">
        <v>2.1999999999999999E-2</v>
      </c>
      <c r="G15" s="121">
        <f t="shared" si="5"/>
        <v>13750</v>
      </c>
      <c r="H15" s="104"/>
      <c r="I15" s="113">
        <v>5</v>
      </c>
      <c r="J15" s="114">
        <f>J14+K14</f>
        <v>4029414.0986377816</v>
      </c>
      <c r="K15" s="114">
        <f t="shared" si="0"/>
        <v>7387.259180835933</v>
      </c>
      <c r="L15" s="114">
        <f t="shared" si="6"/>
        <v>4036801.3578186175</v>
      </c>
      <c r="M15" s="115">
        <f t="shared" si="2"/>
        <v>36801.357818616802</v>
      </c>
      <c r="N15" s="300"/>
      <c r="O15" s="113">
        <v>5</v>
      </c>
      <c r="P15" s="114">
        <f t="shared" si="3"/>
        <v>1259191.9058243064</v>
      </c>
      <c r="Q15" s="114">
        <f t="shared" si="1"/>
        <v>2308.5184940112285</v>
      </c>
      <c r="R15" s="114">
        <f t="shared" si="7"/>
        <v>1261500.4243183176</v>
      </c>
      <c r="S15" s="115">
        <f t="shared" si="4"/>
        <v>11500.42431831775</v>
      </c>
      <c r="T15" s="104"/>
    </row>
    <row r="16" spans="1:20" ht="16.5" thickBot="1" x14ac:dyDescent="0.3">
      <c r="A16" s="104"/>
      <c r="B16" s="116" t="s">
        <v>103</v>
      </c>
      <c r="C16" s="117">
        <v>1250000</v>
      </c>
      <c r="D16" s="118" t="s">
        <v>104</v>
      </c>
      <c r="E16" s="119">
        <v>0.83330000000000004</v>
      </c>
      <c r="F16" s="120">
        <v>2.1999999999999999E-2</v>
      </c>
      <c r="G16" s="121">
        <f t="shared" si="5"/>
        <v>22915.75</v>
      </c>
      <c r="H16" s="104"/>
      <c r="I16" s="113">
        <v>6</v>
      </c>
      <c r="J16" s="114">
        <f t="shared" si="8"/>
        <v>4036801.3578186175</v>
      </c>
      <c r="K16" s="114">
        <f t="shared" si="0"/>
        <v>7400.8024893341317</v>
      </c>
      <c r="L16" s="114">
        <f t="shared" si="6"/>
        <v>4044202.1603079517</v>
      </c>
      <c r="M16" s="115">
        <f t="shared" si="2"/>
        <v>44202.160307950937</v>
      </c>
      <c r="N16" s="300"/>
      <c r="O16" s="113">
        <v>6</v>
      </c>
      <c r="P16" s="114">
        <f t="shared" si="3"/>
        <v>1261500.4243183176</v>
      </c>
      <c r="Q16" s="114">
        <f t="shared" si="1"/>
        <v>2312.7507779169155</v>
      </c>
      <c r="R16" s="114">
        <f t="shared" si="7"/>
        <v>1263813.1750962345</v>
      </c>
      <c r="S16" s="115">
        <f t="shared" si="4"/>
        <v>13813.175096234665</v>
      </c>
      <c r="T16" s="104"/>
    </row>
    <row r="17" spans="1:20" ht="16.5" thickBot="1" x14ac:dyDescent="0.3">
      <c r="A17" s="104"/>
      <c r="B17" s="116" t="s">
        <v>105</v>
      </c>
      <c r="C17" s="117">
        <v>3500000</v>
      </c>
      <c r="D17" s="118" t="s">
        <v>106</v>
      </c>
      <c r="E17" s="119">
        <v>1.25</v>
      </c>
      <c r="F17" s="120">
        <v>2.1999999999999999E-2</v>
      </c>
      <c r="G17" s="121">
        <f t="shared" si="5"/>
        <v>96250</v>
      </c>
      <c r="H17" s="104"/>
      <c r="I17" s="113">
        <v>7</v>
      </c>
      <c r="J17" s="114">
        <f t="shared" si="8"/>
        <v>4044202.1603079517</v>
      </c>
      <c r="K17" s="114">
        <f t="shared" si="0"/>
        <v>7414.3706272312447</v>
      </c>
      <c r="L17" s="114">
        <f t="shared" si="6"/>
        <v>4051616.5309351832</v>
      </c>
      <c r="M17" s="115">
        <f t="shared" si="2"/>
        <v>51616.530935182178</v>
      </c>
      <c r="N17" s="300"/>
      <c r="O17" s="113">
        <v>7</v>
      </c>
      <c r="P17" s="114">
        <f t="shared" si="3"/>
        <v>1263813.1750962345</v>
      </c>
      <c r="Q17" s="114">
        <f t="shared" si="1"/>
        <v>2316.9908210097633</v>
      </c>
      <c r="R17" s="114">
        <f t="shared" si="7"/>
        <v>1266130.1659172443</v>
      </c>
      <c r="S17" s="115">
        <f t="shared" si="4"/>
        <v>16130.165917244429</v>
      </c>
      <c r="T17" s="104"/>
    </row>
    <row r="18" spans="1:20" ht="16.5" thickBot="1" x14ac:dyDescent="0.3">
      <c r="A18" s="104"/>
      <c r="B18" s="116" t="s">
        <v>107</v>
      </c>
      <c r="C18" s="117">
        <v>3500000</v>
      </c>
      <c r="D18" s="118" t="s">
        <v>108</v>
      </c>
      <c r="E18" s="119">
        <v>1.5</v>
      </c>
      <c r="F18" s="120">
        <v>2.1999999999999999E-2</v>
      </c>
      <c r="G18" s="121">
        <f t="shared" si="5"/>
        <v>115500</v>
      </c>
      <c r="H18" s="104"/>
      <c r="I18" s="113">
        <v>8</v>
      </c>
      <c r="J18" s="114">
        <f t="shared" si="8"/>
        <v>4051616.5309351832</v>
      </c>
      <c r="K18" s="114">
        <f t="shared" si="0"/>
        <v>7427.9636400478357</v>
      </c>
      <c r="L18" s="114">
        <f t="shared" si="6"/>
        <v>4059044.4945752309</v>
      </c>
      <c r="M18" s="115">
        <f t="shared" si="2"/>
        <v>59044.494575230012</v>
      </c>
      <c r="N18" s="300"/>
      <c r="O18" s="113">
        <v>8</v>
      </c>
      <c r="P18" s="114">
        <f t="shared" si="3"/>
        <v>1266130.1659172443</v>
      </c>
      <c r="Q18" s="114">
        <f t="shared" si="1"/>
        <v>2321.2386375149476</v>
      </c>
      <c r="R18" s="114">
        <f t="shared" si="7"/>
        <v>1268451.4045547592</v>
      </c>
      <c r="S18" s="115">
        <f t="shared" si="4"/>
        <v>18451.404554759378</v>
      </c>
      <c r="T18" s="104"/>
    </row>
    <row r="19" spans="1:20" ht="16.5" thickBot="1" x14ac:dyDescent="0.3">
      <c r="A19" s="104"/>
      <c r="B19" s="116" t="s">
        <v>109</v>
      </c>
      <c r="C19" s="117">
        <v>5500000</v>
      </c>
      <c r="D19" s="118" t="s">
        <v>110</v>
      </c>
      <c r="E19" s="119">
        <v>1.6666000000000001</v>
      </c>
      <c r="F19" s="120">
        <v>2.1999999999999999E-2</v>
      </c>
      <c r="G19" s="121">
        <f t="shared" si="5"/>
        <v>201658.59999999998</v>
      </c>
      <c r="H19" s="104"/>
      <c r="I19" s="113">
        <v>9</v>
      </c>
      <c r="J19" s="114">
        <f t="shared" si="8"/>
        <v>4059044.4945752309</v>
      </c>
      <c r="K19" s="114">
        <f t="shared" si="0"/>
        <v>7441.5815733879235</v>
      </c>
      <c r="L19" s="114">
        <f t="shared" si="6"/>
        <v>4066486.0761486189</v>
      </c>
      <c r="M19" s="115">
        <f t="shared" si="2"/>
        <v>66486.07614861794</v>
      </c>
      <c r="N19" s="300"/>
      <c r="O19" s="113">
        <v>9</v>
      </c>
      <c r="P19" s="114">
        <f t="shared" si="3"/>
        <v>1268451.4045547592</v>
      </c>
      <c r="Q19" s="114">
        <f t="shared" si="1"/>
        <v>2325.4942416837252</v>
      </c>
      <c r="R19" s="114">
        <f t="shared" si="7"/>
        <v>1270776.8987964429</v>
      </c>
      <c r="S19" s="115">
        <f t="shared" si="4"/>
        <v>20776.898796443103</v>
      </c>
      <c r="T19" s="104"/>
    </row>
    <row r="20" spans="1:20" ht="24" thickBot="1" x14ac:dyDescent="0.4">
      <c r="A20" s="104"/>
      <c r="B20" s="301" t="s">
        <v>111</v>
      </c>
      <c r="C20" s="302"/>
      <c r="D20" s="302"/>
      <c r="E20" s="302"/>
      <c r="F20" s="302"/>
      <c r="G20" s="122">
        <f>SUM(G12:G19)</f>
        <v>670074.35</v>
      </c>
      <c r="H20" s="104"/>
      <c r="I20" s="113">
        <v>10</v>
      </c>
      <c r="J20" s="114">
        <f t="shared" si="8"/>
        <v>4066486.0761486189</v>
      </c>
      <c r="K20" s="114">
        <f t="shared" si="0"/>
        <v>7455.224472939135</v>
      </c>
      <c r="L20" s="114">
        <f t="shared" si="6"/>
        <v>4073941.300621558</v>
      </c>
      <c r="M20" s="115">
        <f t="shared" si="2"/>
        <v>73941.300621557079</v>
      </c>
      <c r="N20" s="300"/>
      <c r="O20" s="113">
        <v>10</v>
      </c>
      <c r="P20" s="114">
        <f t="shared" si="3"/>
        <v>1270776.8987964429</v>
      </c>
      <c r="Q20" s="114">
        <f t="shared" si="1"/>
        <v>2329.7576477934786</v>
      </c>
      <c r="R20" s="114">
        <f t="shared" si="7"/>
        <v>1273106.6564442364</v>
      </c>
      <c r="S20" s="115">
        <f t="shared" si="4"/>
        <v>23106.656444236582</v>
      </c>
      <c r="T20" s="104"/>
    </row>
    <row r="21" spans="1:20" ht="17.25" thickTop="1" thickBot="1" x14ac:dyDescent="0.3">
      <c r="A21" s="104"/>
      <c r="B21" s="104"/>
      <c r="C21" s="104"/>
      <c r="D21" s="104"/>
      <c r="E21" s="104"/>
      <c r="F21" s="104"/>
      <c r="G21" s="104"/>
      <c r="H21" s="104"/>
      <c r="I21" s="113">
        <v>11</v>
      </c>
      <c r="J21" s="114">
        <f t="shared" si="8"/>
        <v>4073941.300621558</v>
      </c>
      <c r="K21" s="114">
        <f t="shared" si="0"/>
        <v>7468.8923844728561</v>
      </c>
      <c r="L21" s="114">
        <f t="shared" si="6"/>
        <v>4081410.1930060307</v>
      </c>
      <c r="M21" s="115">
        <f t="shared" si="2"/>
        <v>81410.193006029935</v>
      </c>
      <c r="N21" s="300"/>
      <c r="O21" s="288"/>
      <c r="P21" s="289"/>
      <c r="Q21" s="123">
        <f>SUM(Q11:Q20)</f>
        <v>23106.656444236582</v>
      </c>
      <c r="R21" s="123">
        <f>R20</f>
        <v>1273106.6564442364</v>
      </c>
      <c r="S21" s="124">
        <f>S20</f>
        <v>23106.656444236582</v>
      </c>
      <c r="T21" s="104"/>
    </row>
    <row r="22" spans="1:20" ht="17.25" thickTop="1" thickBot="1" x14ac:dyDescent="0.3">
      <c r="A22" s="104"/>
      <c r="B22" s="104"/>
      <c r="C22" s="104"/>
      <c r="D22" s="104"/>
      <c r="E22" s="104"/>
      <c r="F22" s="104"/>
      <c r="G22" s="104"/>
      <c r="H22" s="104"/>
      <c r="I22" s="113">
        <v>12</v>
      </c>
      <c r="J22" s="114">
        <f t="shared" si="8"/>
        <v>4081410.1930060307</v>
      </c>
      <c r="K22" s="114">
        <f t="shared" si="0"/>
        <v>7482.5853538443898</v>
      </c>
      <c r="L22" s="114">
        <f t="shared" si="6"/>
        <v>4088892.7783598751</v>
      </c>
      <c r="M22" s="115">
        <f t="shared" si="2"/>
        <v>88892.778359874326</v>
      </c>
      <c r="N22" s="300"/>
      <c r="O22" s="318" t="s">
        <v>112</v>
      </c>
      <c r="P22" s="318"/>
      <c r="Q22" s="319"/>
      <c r="R22" s="320">
        <f>Q21</f>
        <v>23106.656444236582</v>
      </c>
      <c r="S22" s="321"/>
      <c r="T22" s="104"/>
    </row>
    <row r="23" spans="1:20" ht="20.25" thickTop="1" thickBot="1" x14ac:dyDescent="0.35">
      <c r="A23" s="104"/>
      <c r="B23" s="104"/>
      <c r="C23" s="104"/>
      <c r="D23" s="104"/>
      <c r="E23" s="104"/>
      <c r="F23" s="104"/>
      <c r="G23" s="104"/>
      <c r="H23" s="104"/>
      <c r="I23" s="288"/>
      <c r="J23" s="289"/>
      <c r="K23" s="123">
        <f>SUM(K11:K22)</f>
        <v>88892.778359874326</v>
      </c>
      <c r="L23" s="123">
        <f>L22</f>
        <v>4088892.7783598751</v>
      </c>
      <c r="M23" s="124">
        <f>M22</f>
        <v>88892.778359874326</v>
      </c>
      <c r="N23" s="300"/>
      <c r="O23" s="297" t="str">
        <f>B17</f>
        <v>Tinjaca Nelson</v>
      </c>
      <c r="P23" s="297"/>
      <c r="Q23" s="297"/>
      <c r="R23" s="297"/>
      <c r="S23" s="298"/>
      <c r="T23" s="104"/>
    </row>
    <row r="24" spans="1:20" ht="48.75" thickTop="1" thickBot="1" x14ac:dyDescent="0.3">
      <c r="A24" s="104"/>
      <c r="B24" s="104"/>
      <c r="C24" s="104"/>
      <c r="D24" s="104"/>
      <c r="E24" s="104"/>
      <c r="F24" s="104"/>
      <c r="G24" s="104"/>
      <c r="H24" s="104"/>
      <c r="I24" s="318" t="s">
        <v>112</v>
      </c>
      <c r="J24" s="318"/>
      <c r="K24" s="319"/>
      <c r="L24" s="320">
        <f>K23</f>
        <v>88892.778359874326</v>
      </c>
      <c r="M24" s="321"/>
      <c r="N24" s="300"/>
      <c r="O24" s="106" t="s">
        <v>86</v>
      </c>
      <c r="P24" s="107" t="s">
        <v>87</v>
      </c>
      <c r="Q24" s="106" t="s">
        <v>88</v>
      </c>
      <c r="R24" s="106" t="s">
        <v>89</v>
      </c>
      <c r="S24" s="108" t="s">
        <v>90</v>
      </c>
      <c r="T24" s="104"/>
    </row>
    <row r="25" spans="1:20" ht="20.25" thickTop="1" thickBot="1" x14ac:dyDescent="0.35">
      <c r="A25" s="104"/>
      <c r="B25" s="104"/>
      <c r="C25" s="104"/>
      <c r="D25" s="104"/>
      <c r="E25" s="104"/>
      <c r="F25" s="104"/>
      <c r="G25" s="104"/>
      <c r="H25" s="104"/>
      <c r="I25" s="297" t="str">
        <f>B13</f>
        <v>Buitrago  Claudia</v>
      </c>
      <c r="J25" s="297"/>
      <c r="K25" s="297"/>
      <c r="L25" s="297"/>
      <c r="M25" s="298"/>
      <c r="N25" s="300"/>
      <c r="O25" s="113">
        <v>1</v>
      </c>
      <c r="P25" s="114">
        <f>C17</f>
        <v>3500000</v>
      </c>
      <c r="Q25" s="114">
        <f t="shared" ref="Q25:Q39" si="9">P25*I$8</f>
        <v>6416.666666666667</v>
      </c>
      <c r="R25" s="114">
        <f>P25+Q25</f>
        <v>3506416.6666666665</v>
      </c>
      <c r="S25" s="115">
        <f>Q25</f>
        <v>6416.666666666667</v>
      </c>
      <c r="T25" s="104"/>
    </row>
    <row r="26" spans="1:20" ht="48" thickBot="1" x14ac:dyDescent="0.3">
      <c r="A26" s="104"/>
      <c r="B26" s="104"/>
      <c r="C26" s="104"/>
      <c r="D26" s="104"/>
      <c r="E26" s="104"/>
      <c r="F26" s="104"/>
      <c r="G26" s="104"/>
      <c r="H26" s="104"/>
      <c r="I26" s="106" t="s">
        <v>86</v>
      </c>
      <c r="J26" s="107" t="s">
        <v>87</v>
      </c>
      <c r="K26" s="106" t="s">
        <v>88</v>
      </c>
      <c r="L26" s="106" t="s">
        <v>89</v>
      </c>
      <c r="M26" s="108" t="s">
        <v>90</v>
      </c>
      <c r="N26" s="300"/>
      <c r="O26" s="113">
        <v>2</v>
      </c>
      <c r="P26" s="114">
        <f t="shared" ref="P26:P39" si="10">P25+Q25</f>
        <v>3506416.6666666665</v>
      </c>
      <c r="Q26" s="114">
        <f t="shared" si="9"/>
        <v>6428.4305555555547</v>
      </c>
      <c r="R26" s="114">
        <f>P26+Q26</f>
        <v>3512845.097222222</v>
      </c>
      <c r="S26" s="115">
        <f t="shared" ref="S26:S33" si="11">S25+Q26</f>
        <v>12845.097222222223</v>
      </c>
      <c r="T26" s="104"/>
    </row>
    <row r="27" spans="1:20" ht="16.5" thickBot="1" x14ac:dyDescent="0.3">
      <c r="A27" s="104"/>
      <c r="B27" s="104"/>
      <c r="C27" s="104"/>
      <c r="D27" s="104"/>
      <c r="E27" s="104"/>
      <c r="F27" s="104"/>
      <c r="G27" s="104"/>
      <c r="H27" s="104"/>
      <c r="I27" s="113">
        <v>1</v>
      </c>
      <c r="J27" s="114">
        <f>C13</f>
        <v>4000000</v>
      </c>
      <c r="K27" s="114">
        <f t="shared" ref="K27:K32" si="12">J27*I$8</f>
        <v>7333.333333333333</v>
      </c>
      <c r="L27" s="114">
        <f t="shared" ref="L27:L32" si="13">J27+K27</f>
        <v>4007333.3333333335</v>
      </c>
      <c r="M27" s="115">
        <f>K27</f>
        <v>7333.333333333333</v>
      </c>
      <c r="N27" s="300"/>
      <c r="O27" s="113">
        <v>3</v>
      </c>
      <c r="P27" s="114">
        <f t="shared" si="10"/>
        <v>3512845.097222222</v>
      </c>
      <c r="Q27" s="114">
        <f t="shared" si="9"/>
        <v>6440.2160115740735</v>
      </c>
      <c r="R27" s="114">
        <f t="shared" ref="R27:R35" si="14">P27+Q27</f>
        <v>3519285.313233796</v>
      </c>
      <c r="S27" s="115">
        <f t="shared" si="11"/>
        <v>19285.313233796296</v>
      </c>
      <c r="T27" s="104"/>
    </row>
    <row r="28" spans="1:20" ht="16.5" thickBot="1" x14ac:dyDescent="0.3">
      <c r="A28" s="104"/>
      <c r="B28" s="104"/>
      <c r="C28" s="104"/>
      <c r="D28" s="104"/>
      <c r="E28" s="104"/>
      <c r="F28" s="104"/>
      <c r="G28" s="104"/>
      <c r="H28" s="104"/>
      <c r="I28" s="113">
        <v>2</v>
      </c>
      <c r="J28" s="114">
        <f>J27+K27</f>
        <v>4007333.3333333335</v>
      </c>
      <c r="K28" s="114">
        <f t="shared" si="12"/>
        <v>7346.7777777777783</v>
      </c>
      <c r="L28" s="114">
        <f t="shared" si="13"/>
        <v>4014680.1111111115</v>
      </c>
      <c r="M28" s="115">
        <f>M27+K28</f>
        <v>14680.111111111111</v>
      </c>
      <c r="N28" s="300"/>
      <c r="O28" s="113">
        <v>4</v>
      </c>
      <c r="P28" s="114">
        <f t="shared" si="10"/>
        <v>3519285.313233796</v>
      </c>
      <c r="Q28" s="114">
        <f t="shared" si="9"/>
        <v>6452.0230742619597</v>
      </c>
      <c r="R28" s="114">
        <f t="shared" si="14"/>
        <v>3525737.3363080579</v>
      </c>
      <c r="S28" s="115">
        <f t="shared" si="11"/>
        <v>25737.336308058257</v>
      </c>
      <c r="T28" s="104"/>
    </row>
    <row r="29" spans="1:20" ht="16.5" thickBot="1" x14ac:dyDescent="0.3">
      <c r="A29" s="104"/>
      <c r="B29" s="104"/>
      <c r="C29" s="104"/>
      <c r="D29" s="104"/>
      <c r="E29" s="104"/>
      <c r="F29" s="104"/>
      <c r="G29" s="104"/>
      <c r="H29" s="104"/>
      <c r="I29" s="113">
        <v>3</v>
      </c>
      <c r="J29" s="114">
        <f>J28+K28</f>
        <v>4014680.1111111115</v>
      </c>
      <c r="K29" s="114">
        <f t="shared" si="12"/>
        <v>7360.2468703703707</v>
      </c>
      <c r="L29" s="114">
        <f t="shared" si="13"/>
        <v>4022040.3579814821</v>
      </c>
      <c r="M29" s="115">
        <f>M28+K29</f>
        <v>22040.35798148148</v>
      </c>
      <c r="N29" s="300"/>
      <c r="O29" s="113">
        <v>5</v>
      </c>
      <c r="P29" s="114">
        <f t="shared" si="10"/>
        <v>3525737.3363080579</v>
      </c>
      <c r="Q29" s="114">
        <f t="shared" si="9"/>
        <v>6463.8517832314392</v>
      </c>
      <c r="R29" s="114">
        <f t="shared" si="14"/>
        <v>3532201.1880912893</v>
      </c>
      <c r="S29" s="115">
        <f t="shared" si="11"/>
        <v>32201.188091289696</v>
      </c>
      <c r="T29" s="104"/>
    </row>
    <row r="30" spans="1:20" ht="16.5" thickBot="1" x14ac:dyDescent="0.3">
      <c r="A30" s="104"/>
      <c r="B30" s="104"/>
      <c r="C30" s="104"/>
      <c r="D30" s="104"/>
      <c r="E30" s="104"/>
      <c r="F30" s="104"/>
      <c r="G30" s="104"/>
      <c r="H30" s="104"/>
      <c r="I30" s="113">
        <v>4</v>
      </c>
      <c r="J30" s="114">
        <f>J29+K29</f>
        <v>4022040.3579814821</v>
      </c>
      <c r="K30" s="114">
        <f t="shared" si="12"/>
        <v>7373.7406562993838</v>
      </c>
      <c r="L30" s="114">
        <f t="shared" si="13"/>
        <v>4029414.0986377816</v>
      </c>
      <c r="M30" s="115">
        <f>M29+K30</f>
        <v>29414.098637780866</v>
      </c>
      <c r="N30" s="300"/>
      <c r="O30" s="113">
        <v>6</v>
      </c>
      <c r="P30" s="114">
        <f t="shared" si="10"/>
        <v>3532201.1880912893</v>
      </c>
      <c r="Q30" s="114">
        <f t="shared" si="9"/>
        <v>6475.7021781673639</v>
      </c>
      <c r="R30" s="114">
        <f t="shared" si="14"/>
        <v>3538676.8902694564</v>
      </c>
      <c r="S30" s="115">
        <f t="shared" si="11"/>
        <v>38676.890269457057</v>
      </c>
      <c r="T30" s="104"/>
    </row>
    <row r="31" spans="1:20" ht="16.5" thickBot="1" x14ac:dyDescent="0.3">
      <c r="A31" s="104"/>
      <c r="B31" s="104"/>
      <c r="C31" s="104"/>
      <c r="D31" s="104"/>
      <c r="E31" s="104"/>
      <c r="F31" s="104"/>
      <c r="G31" s="104"/>
      <c r="H31" s="104"/>
      <c r="I31" s="113">
        <v>5</v>
      </c>
      <c r="J31" s="114">
        <f>J30+K30</f>
        <v>4029414.0986377816</v>
      </c>
      <c r="K31" s="114">
        <f t="shared" si="12"/>
        <v>7387.259180835933</v>
      </c>
      <c r="L31" s="114">
        <f t="shared" si="13"/>
        <v>4036801.3578186175</v>
      </c>
      <c r="M31" s="115">
        <f>M30+K31</f>
        <v>36801.357818616802</v>
      </c>
      <c r="N31" s="300"/>
      <c r="O31" s="113">
        <v>7</v>
      </c>
      <c r="P31" s="114">
        <f t="shared" si="10"/>
        <v>3538676.8902694564</v>
      </c>
      <c r="Q31" s="114">
        <f t="shared" si="9"/>
        <v>6487.5742988273369</v>
      </c>
      <c r="R31" s="114">
        <f t="shared" si="14"/>
        <v>3545164.4645682839</v>
      </c>
      <c r="S31" s="115">
        <f t="shared" si="11"/>
        <v>45164.464568284391</v>
      </c>
      <c r="T31" s="104"/>
    </row>
    <row r="32" spans="1:20" ht="16.5" thickBot="1" x14ac:dyDescent="0.3">
      <c r="A32" s="104"/>
      <c r="B32" s="104"/>
      <c r="C32" s="104"/>
      <c r="D32" s="104"/>
      <c r="E32" s="104"/>
      <c r="F32" s="104"/>
      <c r="G32" s="104"/>
      <c r="H32" s="104"/>
      <c r="I32" s="113">
        <v>6</v>
      </c>
      <c r="J32" s="114">
        <f>J31+K31</f>
        <v>4036801.3578186175</v>
      </c>
      <c r="K32" s="114">
        <f t="shared" si="12"/>
        <v>7400.8024893341317</v>
      </c>
      <c r="L32" s="114">
        <f t="shared" si="13"/>
        <v>4044202.1603079517</v>
      </c>
      <c r="M32" s="115">
        <f>M31+K32</f>
        <v>44202.160307950937</v>
      </c>
      <c r="N32" s="300"/>
      <c r="O32" s="113">
        <v>8</v>
      </c>
      <c r="P32" s="114">
        <f t="shared" si="10"/>
        <v>3545164.4645682839</v>
      </c>
      <c r="Q32" s="114">
        <f t="shared" si="9"/>
        <v>6499.4681850418538</v>
      </c>
      <c r="R32" s="114">
        <f t="shared" si="14"/>
        <v>3551663.9327533259</v>
      </c>
      <c r="S32" s="115">
        <f t="shared" si="11"/>
        <v>51663.932753326248</v>
      </c>
      <c r="T32" s="104"/>
    </row>
    <row r="33" spans="1:20" ht="17.25" customHeight="1" thickBot="1" x14ac:dyDescent="0.3">
      <c r="A33" s="104"/>
      <c r="B33" s="104"/>
      <c r="C33" s="104"/>
      <c r="D33" s="104"/>
      <c r="E33" s="104"/>
      <c r="F33" s="104"/>
      <c r="G33" s="104"/>
      <c r="H33" s="104"/>
      <c r="I33" s="288"/>
      <c r="J33" s="289"/>
      <c r="K33" s="123">
        <f>SUM(K27:K32)</f>
        <v>44202.160307950937</v>
      </c>
      <c r="L33" s="123">
        <f>L32</f>
        <v>4044202.1603079517</v>
      </c>
      <c r="M33" s="124">
        <f>M32</f>
        <v>44202.160307950937</v>
      </c>
      <c r="N33" s="300"/>
      <c r="O33" s="113">
        <v>9</v>
      </c>
      <c r="P33" s="114">
        <f t="shared" si="10"/>
        <v>3551663.9327533259</v>
      </c>
      <c r="Q33" s="114">
        <f t="shared" si="9"/>
        <v>6511.3838767144307</v>
      </c>
      <c r="R33" s="114">
        <f t="shared" si="14"/>
        <v>3558175.3166300403</v>
      </c>
      <c r="S33" s="115">
        <f t="shared" si="11"/>
        <v>58175.316630040681</v>
      </c>
      <c r="T33" s="104"/>
    </row>
    <row r="34" spans="1:20" ht="17.25" thickTop="1" thickBot="1" x14ac:dyDescent="0.3">
      <c r="A34" s="104"/>
      <c r="B34" s="104"/>
      <c r="C34" s="104"/>
      <c r="D34" s="104"/>
      <c r="E34" s="104"/>
      <c r="F34" s="104"/>
      <c r="G34" s="104"/>
      <c r="H34" s="104"/>
      <c r="I34" s="318" t="s">
        <v>112</v>
      </c>
      <c r="J34" s="318"/>
      <c r="K34" s="319"/>
      <c r="L34" s="320">
        <f>K33</f>
        <v>44202.160307950937</v>
      </c>
      <c r="M34" s="321"/>
      <c r="N34" s="300"/>
      <c r="O34" s="113">
        <v>10</v>
      </c>
      <c r="P34" s="114">
        <f t="shared" si="10"/>
        <v>3558175.3166300403</v>
      </c>
      <c r="Q34" s="114">
        <f t="shared" si="9"/>
        <v>6523.3214138217409</v>
      </c>
      <c r="R34" s="114">
        <f t="shared" si="14"/>
        <v>3564698.6380438618</v>
      </c>
      <c r="S34" s="115">
        <f t="shared" ref="S34:S39" si="15">S33+Q34</f>
        <v>64698.638043862418</v>
      </c>
      <c r="T34" s="104"/>
    </row>
    <row r="35" spans="1:20" ht="20.25" thickTop="1" thickBot="1" x14ac:dyDescent="0.35">
      <c r="A35" s="104"/>
      <c r="B35" s="104"/>
      <c r="C35" s="104"/>
      <c r="D35" s="104"/>
      <c r="E35" s="104"/>
      <c r="F35" s="104"/>
      <c r="G35" s="104"/>
      <c r="H35" s="104"/>
      <c r="I35" s="297" t="s">
        <v>85</v>
      </c>
      <c r="J35" s="297"/>
      <c r="K35" s="297"/>
      <c r="L35" s="297"/>
      <c r="M35" s="298"/>
      <c r="N35" s="300"/>
      <c r="O35" s="113">
        <v>11</v>
      </c>
      <c r="P35" s="114">
        <f t="shared" si="10"/>
        <v>3564698.6380438618</v>
      </c>
      <c r="Q35" s="114">
        <f t="shared" si="9"/>
        <v>6535.2808364137463</v>
      </c>
      <c r="R35" s="114">
        <f t="shared" si="14"/>
        <v>3571233.9188802755</v>
      </c>
      <c r="S35" s="115">
        <f t="shared" si="15"/>
        <v>71233.918880276164</v>
      </c>
      <c r="T35" s="104"/>
    </row>
    <row r="36" spans="1:20" ht="33" customHeight="1" thickBot="1" x14ac:dyDescent="0.3">
      <c r="A36" s="104"/>
      <c r="B36" s="104"/>
      <c r="C36" s="104"/>
      <c r="D36" s="104"/>
      <c r="E36" s="104"/>
      <c r="F36" s="104"/>
      <c r="G36" s="104"/>
      <c r="H36" s="104"/>
      <c r="I36" s="106" t="s">
        <v>86</v>
      </c>
      <c r="J36" s="107" t="s">
        <v>87</v>
      </c>
      <c r="K36" s="106" t="s">
        <v>88</v>
      </c>
      <c r="L36" s="106" t="s">
        <v>89</v>
      </c>
      <c r="M36" s="108" t="s">
        <v>90</v>
      </c>
      <c r="N36" s="300"/>
      <c r="O36" s="113">
        <v>12</v>
      </c>
      <c r="P36" s="114">
        <f t="shared" si="10"/>
        <v>3571233.9188802755</v>
      </c>
      <c r="Q36" s="114">
        <f t="shared" si="9"/>
        <v>6547.2621846138381</v>
      </c>
      <c r="R36" s="114">
        <f>P36+Q36</f>
        <v>3577781.1810648893</v>
      </c>
      <c r="S36" s="115">
        <f t="shared" si="15"/>
        <v>77781.181064889999</v>
      </c>
      <c r="T36" s="104"/>
    </row>
    <row r="37" spans="1:20" ht="16.5" thickBot="1" x14ac:dyDescent="0.3">
      <c r="A37" s="104"/>
      <c r="B37" s="104"/>
      <c r="C37" s="104"/>
      <c r="D37" s="104"/>
      <c r="E37" s="104"/>
      <c r="F37" s="104"/>
      <c r="G37" s="104"/>
      <c r="H37" s="104"/>
      <c r="I37" s="113">
        <v>1</v>
      </c>
      <c r="J37" s="114">
        <f>C14</f>
        <v>2000000</v>
      </c>
      <c r="K37" s="114">
        <f t="shared" ref="K37:K60" si="16">J37*I$8</f>
        <v>3666.6666666666665</v>
      </c>
      <c r="L37" s="114">
        <f>J37+K37</f>
        <v>2003666.6666666667</v>
      </c>
      <c r="M37" s="115">
        <f>K37</f>
        <v>3666.6666666666665</v>
      </c>
      <c r="N37" s="300"/>
      <c r="O37" s="113">
        <v>13</v>
      </c>
      <c r="P37" s="114">
        <f t="shared" si="10"/>
        <v>3577781.1810648893</v>
      </c>
      <c r="Q37" s="114">
        <f t="shared" si="9"/>
        <v>6559.2654986189636</v>
      </c>
      <c r="R37" s="114">
        <f>P37+Q37</f>
        <v>3584340.4465635084</v>
      </c>
      <c r="S37" s="115">
        <f t="shared" si="15"/>
        <v>84340.446563508958</v>
      </c>
      <c r="T37" s="104"/>
    </row>
    <row r="38" spans="1:20" ht="16.5" thickBot="1" x14ac:dyDescent="0.3">
      <c r="A38" s="104"/>
      <c r="B38" s="104"/>
      <c r="C38" s="104"/>
      <c r="D38" s="104"/>
      <c r="E38" s="104"/>
      <c r="F38" s="104"/>
      <c r="G38" s="104"/>
      <c r="H38" s="104"/>
      <c r="I38" s="113">
        <v>2</v>
      </c>
      <c r="J38" s="114">
        <f t="shared" ref="J38:J47" si="17">J37+K37</f>
        <v>2003666.6666666667</v>
      </c>
      <c r="K38" s="114">
        <f t="shared" si="16"/>
        <v>3673.3888888888891</v>
      </c>
      <c r="L38" s="114">
        <f>J38+K38</f>
        <v>2007340.0555555557</v>
      </c>
      <c r="M38" s="115">
        <f>M37+K38</f>
        <v>7340.0555555555557</v>
      </c>
      <c r="N38" s="300"/>
      <c r="O38" s="113">
        <v>14</v>
      </c>
      <c r="P38" s="114">
        <f t="shared" si="10"/>
        <v>3584340.4465635084</v>
      </c>
      <c r="Q38" s="114">
        <f t="shared" si="9"/>
        <v>6571.2908186997656</v>
      </c>
      <c r="R38" s="114">
        <f>P38+Q38</f>
        <v>3590911.737382208</v>
      </c>
      <c r="S38" s="115">
        <f t="shared" si="15"/>
        <v>90911.737382208725</v>
      </c>
      <c r="T38" s="104"/>
    </row>
    <row r="39" spans="1:20" ht="16.5" thickBot="1" x14ac:dyDescent="0.3">
      <c r="A39" s="104"/>
      <c r="B39" s="104"/>
      <c r="C39" s="104"/>
      <c r="D39" s="104"/>
      <c r="E39" s="104"/>
      <c r="F39" s="104"/>
      <c r="G39" s="104"/>
      <c r="H39" s="104"/>
      <c r="I39" s="113">
        <v>3</v>
      </c>
      <c r="J39" s="114">
        <f t="shared" si="17"/>
        <v>2007340.0555555557</v>
      </c>
      <c r="K39" s="114">
        <f t="shared" si="16"/>
        <v>3680.1234351851854</v>
      </c>
      <c r="L39" s="114">
        <f t="shared" ref="L39:L47" si="18">J39+K39</f>
        <v>2011020.178990741</v>
      </c>
      <c r="M39" s="115">
        <f t="shared" ref="M39:M60" si="19">M38+K39</f>
        <v>11020.17899074074</v>
      </c>
      <c r="N39" s="300"/>
      <c r="O39" s="113">
        <v>15</v>
      </c>
      <c r="P39" s="114">
        <f t="shared" si="10"/>
        <v>3590911.737382208</v>
      </c>
      <c r="Q39" s="114">
        <f t="shared" si="9"/>
        <v>6583.3381852007142</v>
      </c>
      <c r="R39" s="114">
        <f>P39+Q39</f>
        <v>3597495.0755674089</v>
      </c>
      <c r="S39" s="115">
        <f t="shared" si="15"/>
        <v>97495.07556740944</v>
      </c>
      <c r="T39" s="104"/>
    </row>
    <row r="40" spans="1:20" ht="16.5" thickBot="1" x14ac:dyDescent="0.3">
      <c r="A40" s="104"/>
      <c r="B40" s="104"/>
      <c r="C40" s="104"/>
      <c r="D40" s="104"/>
      <c r="E40" s="104"/>
      <c r="F40" s="104"/>
      <c r="G40" s="104"/>
      <c r="H40" s="104"/>
      <c r="I40" s="113">
        <v>4</v>
      </c>
      <c r="J40" s="114">
        <f t="shared" si="17"/>
        <v>2011020.178990741</v>
      </c>
      <c r="K40" s="114">
        <f t="shared" si="16"/>
        <v>3686.8703281496919</v>
      </c>
      <c r="L40" s="114">
        <f t="shared" si="18"/>
        <v>2014707.0493188908</v>
      </c>
      <c r="M40" s="115">
        <f t="shared" si="19"/>
        <v>14707.049318890433</v>
      </c>
      <c r="N40" s="300"/>
      <c r="O40" s="288"/>
      <c r="P40" s="289"/>
      <c r="Q40" s="123">
        <f>SUM(Q25:Q39)</f>
        <v>97495.07556740944</v>
      </c>
      <c r="R40" s="123">
        <f>R39</f>
        <v>3597495.0755674089</v>
      </c>
      <c r="S40" s="124">
        <f>S39</f>
        <v>97495.07556740944</v>
      </c>
      <c r="T40" s="104"/>
    </row>
    <row r="41" spans="1:20" ht="17.25" thickTop="1" thickBot="1" x14ac:dyDescent="0.3">
      <c r="A41" s="104"/>
      <c r="B41" s="104"/>
      <c r="C41" s="104"/>
      <c r="D41" s="104"/>
      <c r="E41" s="104"/>
      <c r="F41" s="104"/>
      <c r="G41" s="104"/>
      <c r="H41" s="104"/>
      <c r="I41" s="113">
        <v>5</v>
      </c>
      <c r="J41" s="114">
        <f t="shared" si="17"/>
        <v>2014707.0493188908</v>
      </c>
      <c r="K41" s="114">
        <f t="shared" si="16"/>
        <v>3693.6295904179665</v>
      </c>
      <c r="L41" s="114">
        <f t="shared" si="18"/>
        <v>2018400.6789093087</v>
      </c>
      <c r="M41" s="115">
        <f t="shared" si="19"/>
        <v>18400.678909308401</v>
      </c>
      <c r="N41" s="300"/>
      <c r="O41" s="318" t="s">
        <v>112</v>
      </c>
      <c r="P41" s="318"/>
      <c r="Q41" s="319"/>
      <c r="R41" s="320">
        <f>Q40</f>
        <v>97495.07556740944</v>
      </c>
      <c r="S41" s="321"/>
      <c r="T41" s="104"/>
    </row>
    <row r="42" spans="1:20" ht="20.25" thickTop="1" thickBot="1" x14ac:dyDescent="0.35">
      <c r="A42" s="104"/>
      <c r="B42" s="104"/>
      <c r="C42" s="104"/>
      <c r="D42" s="104"/>
      <c r="E42" s="104"/>
      <c r="F42" s="104"/>
      <c r="G42" s="104"/>
      <c r="H42" s="104"/>
      <c r="I42" s="113">
        <v>6</v>
      </c>
      <c r="J42" s="114">
        <f t="shared" si="17"/>
        <v>2018400.6789093087</v>
      </c>
      <c r="K42" s="114">
        <f t="shared" si="16"/>
        <v>3700.4012446670658</v>
      </c>
      <c r="L42" s="114">
        <f t="shared" si="18"/>
        <v>2022101.0801539759</v>
      </c>
      <c r="M42" s="115">
        <f t="shared" si="19"/>
        <v>22101.080153975468</v>
      </c>
      <c r="N42" s="300"/>
      <c r="O42" s="297" t="str">
        <f>B18</f>
        <v>Zarate Yulieth</v>
      </c>
      <c r="P42" s="297"/>
      <c r="Q42" s="297"/>
      <c r="R42" s="297"/>
      <c r="S42" s="298"/>
      <c r="T42" s="104"/>
    </row>
    <row r="43" spans="1:20" ht="36.75" customHeight="1" thickBot="1" x14ac:dyDescent="0.3">
      <c r="A43" s="104"/>
      <c r="B43" s="104"/>
      <c r="C43" s="104"/>
      <c r="D43" s="104"/>
      <c r="E43" s="104"/>
      <c r="F43" s="104"/>
      <c r="G43" s="104"/>
      <c r="H43" s="104"/>
      <c r="I43" s="113">
        <v>7</v>
      </c>
      <c r="J43" s="114">
        <f t="shared" si="17"/>
        <v>2022101.0801539759</v>
      </c>
      <c r="K43" s="114">
        <f t="shared" si="16"/>
        <v>3707.1853136156224</v>
      </c>
      <c r="L43" s="114">
        <f t="shared" si="18"/>
        <v>2025808.2654675916</v>
      </c>
      <c r="M43" s="115">
        <f t="shared" si="19"/>
        <v>25808.265467591089</v>
      </c>
      <c r="N43" s="300"/>
      <c r="O43" s="106" t="s">
        <v>86</v>
      </c>
      <c r="P43" s="107" t="s">
        <v>87</v>
      </c>
      <c r="Q43" s="106" t="s">
        <v>88</v>
      </c>
      <c r="R43" s="106" t="s">
        <v>89</v>
      </c>
      <c r="S43" s="108" t="s">
        <v>90</v>
      </c>
      <c r="T43" s="104"/>
    </row>
    <row r="44" spans="1:20" ht="16.5" thickBot="1" x14ac:dyDescent="0.3">
      <c r="A44" s="104"/>
      <c r="B44" s="104"/>
      <c r="C44" s="104"/>
      <c r="D44" s="104"/>
      <c r="E44" s="104"/>
      <c r="F44" s="104"/>
      <c r="G44" s="104"/>
      <c r="H44" s="104"/>
      <c r="I44" s="113">
        <v>8</v>
      </c>
      <c r="J44" s="114">
        <f t="shared" si="17"/>
        <v>2025808.2654675916</v>
      </c>
      <c r="K44" s="114">
        <f t="shared" si="16"/>
        <v>3713.9818200239179</v>
      </c>
      <c r="L44" s="114">
        <f t="shared" si="18"/>
        <v>2029522.2472876154</v>
      </c>
      <c r="M44" s="115">
        <f t="shared" si="19"/>
        <v>29522.247287615006</v>
      </c>
      <c r="N44" s="300"/>
      <c r="O44" s="113">
        <v>1</v>
      </c>
      <c r="P44" s="114">
        <f>C18</f>
        <v>3500000</v>
      </c>
      <c r="Q44" s="114">
        <f t="shared" ref="Q44:Q61" si="20">P44*I$8</f>
        <v>6416.666666666667</v>
      </c>
      <c r="R44" s="114">
        <f>P44+Q44</f>
        <v>3506416.6666666665</v>
      </c>
      <c r="S44" s="115">
        <f>Q44</f>
        <v>6416.666666666667</v>
      </c>
      <c r="T44" s="104"/>
    </row>
    <row r="45" spans="1:20" ht="16.5" thickBot="1" x14ac:dyDescent="0.3">
      <c r="A45" s="104"/>
      <c r="B45" s="104"/>
      <c r="C45" s="104"/>
      <c r="D45" s="104"/>
      <c r="E45" s="104"/>
      <c r="F45" s="104"/>
      <c r="G45" s="104"/>
      <c r="H45" s="104"/>
      <c r="I45" s="113">
        <v>9</v>
      </c>
      <c r="J45" s="114">
        <f t="shared" si="17"/>
        <v>2029522.2472876154</v>
      </c>
      <c r="K45" s="114">
        <f t="shared" si="16"/>
        <v>3720.7907866939618</v>
      </c>
      <c r="L45" s="114">
        <f t="shared" si="18"/>
        <v>2033243.0380743095</v>
      </c>
      <c r="M45" s="115">
        <f t="shared" si="19"/>
        <v>33243.03807430897</v>
      </c>
      <c r="N45" s="300"/>
      <c r="O45" s="113">
        <v>2</v>
      </c>
      <c r="P45" s="114">
        <f t="shared" ref="P45:P54" si="21">P44+Q44</f>
        <v>3506416.6666666665</v>
      </c>
      <c r="Q45" s="114">
        <f t="shared" si="20"/>
        <v>6428.4305555555547</v>
      </c>
      <c r="R45" s="114">
        <f>P45+Q45</f>
        <v>3512845.097222222</v>
      </c>
      <c r="S45" s="115">
        <f t="shared" ref="S45:S52" si="22">S44+Q45</f>
        <v>12845.097222222223</v>
      </c>
      <c r="T45" s="104"/>
    </row>
    <row r="46" spans="1:20" ht="16.5" thickBot="1" x14ac:dyDescent="0.3">
      <c r="A46" s="104"/>
      <c r="B46" s="104"/>
      <c r="C46" s="104"/>
      <c r="D46" s="104"/>
      <c r="E46" s="104"/>
      <c r="F46" s="104"/>
      <c r="G46" s="104"/>
      <c r="H46" s="104"/>
      <c r="I46" s="113">
        <v>10</v>
      </c>
      <c r="J46" s="114">
        <f t="shared" si="17"/>
        <v>2033243.0380743095</v>
      </c>
      <c r="K46" s="114">
        <f t="shared" si="16"/>
        <v>3727.6122364695675</v>
      </c>
      <c r="L46" s="114">
        <f t="shared" si="18"/>
        <v>2036970.650310779</v>
      </c>
      <c r="M46" s="115">
        <f t="shared" si="19"/>
        <v>36970.650310778539</v>
      </c>
      <c r="N46" s="300"/>
      <c r="O46" s="113">
        <v>3</v>
      </c>
      <c r="P46" s="114">
        <f t="shared" si="21"/>
        <v>3512845.097222222</v>
      </c>
      <c r="Q46" s="114">
        <f t="shared" si="20"/>
        <v>6440.2160115740735</v>
      </c>
      <c r="R46" s="114">
        <f t="shared" ref="R46:R54" si="23">P46+Q46</f>
        <v>3519285.313233796</v>
      </c>
      <c r="S46" s="115">
        <f t="shared" si="22"/>
        <v>19285.313233796296</v>
      </c>
      <c r="T46" s="104"/>
    </row>
    <row r="47" spans="1:20" ht="16.5" thickBot="1" x14ac:dyDescent="0.3">
      <c r="A47" s="104"/>
      <c r="B47" s="104"/>
      <c r="C47" s="104"/>
      <c r="D47" s="104"/>
      <c r="E47" s="104"/>
      <c r="F47" s="104"/>
      <c r="G47" s="104"/>
      <c r="H47" s="104"/>
      <c r="I47" s="113">
        <v>11</v>
      </c>
      <c r="J47" s="114">
        <f t="shared" si="17"/>
        <v>2036970.650310779</v>
      </c>
      <c r="K47" s="114">
        <f t="shared" si="16"/>
        <v>3734.446192236428</v>
      </c>
      <c r="L47" s="114">
        <f t="shared" si="18"/>
        <v>2040705.0965030154</v>
      </c>
      <c r="M47" s="115">
        <f t="shared" si="19"/>
        <v>40705.096503014967</v>
      </c>
      <c r="N47" s="300"/>
      <c r="O47" s="113">
        <v>4</v>
      </c>
      <c r="P47" s="114">
        <f t="shared" si="21"/>
        <v>3519285.313233796</v>
      </c>
      <c r="Q47" s="114">
        <f t="shared" si="20"/>
        <v>6452.0230742619597</v>
      </c>
      <c r="R47" s="114">
        <f t="shared" si="23"/>
        <v>3525737.3363080579</v>
      </c>
      <c r="S47" s="115">
        <f t="shared" si="22"/>
        <v>25737.336308058257</v>
      </c>
      <c r="T47" s="104"/>
    </row>
    <row r="48" spans="1:20" ht="16.5" thickBot="1" x14ac:dyDescent="0.3">
      <c r="A48" s="104"/>
      <c r="B48" s="104"/>
      <c r="C48" s="104"/>
      <c r="D48" s="104"/>
      <c r="E48" s="104"/>
      <c r="F48" s="104"/>
      <c r="G48" s="104"/>
      <c r="H48" s="104"/>
      <c r="I48" s="113">
        <v>12</v>
      </c>
      <c r="J48" s="114">
        <f t="shared" ref="J48:J60" si="24">J47+K47</f>
        <v>2040705.0965030154</v>
      </c>
      <c r="K48" s="114">
        <f t="shared" si="16"/>
        <v>3741.2926769221949</v>
      </c>
      <c r="L48" s="114">
        <f>J48+K48</f>
        <v>2044446.3891799375</v>
      </c>
      <c r="M48" s="115">
        <f t="shared" si="19"/>
        <v>44446.389179937163</v>
      </c>
      <c r="N48" s="300"/>
      <c r="O48" s="113">
        <v>5</v>
      </c>
      <c r="P48" s="114">
        <f t="shared" si="21"/>
        <v>3525737.3363080579</v>
      </c>
      <c r="Q48" s="114">
        <f t="shared" si="20"/>
        <v>6463.8517832314392</v>
      </c>
      <c r="R48" s="114">
        <f t="shared" si="23"/>
        <v>3532201.1880912893</v>
      </c>
      <c r="S48" s="115">
        <f t="shared" si="22"/>
        <v>32201.188091289696</v>
      </c>
      <c r="T48" s="104"/>
    </row>
    <row r="49" spans="1:20" ht="16.5" thickBot="1" x14ac:dyDescent="0.3">
      <c r="A49" s="104"/>
      <c r="B49" s="104"/>
      <c r="C49" s="104"/>
      <c r="D49" s="104"/>
      <c r="E49" s="104"/>
      <c r="F49" s="104"/>
      <c r="G49" s="104"/>
      <c r="H49" s="104"/>
      <c r="I49" s="113">
        <v>13</v>
      </c>
      <c r="J49" s="114">
        <f t="shared" si="24"/>
        <v>2044446.3891799375</v>
      </c>
      <c r="K49" s="114">
        <f t="shared" si="16"/>
        <v>3748.151713496552</v>
      </c>
      <c r="L49" s="114">
        <f>J49+K49</f>
        <v>2048194.5408934341</v>
      </c>
      <c r="M49" s="115">
        <f t="shared" si="19"/>
        <v>48194.540893433717</v>
      </c>
      <c r="N49" s="300"/>
      <c r="O49" s="113">
        <v>6</v>
      </c>
      <c r="P49" s="114">
        <f t="shared" si="21"/>
        <v>3532201.1880912893</v>
      </c>
      <c r="Q49" s="114">
        <f t="shared" si="20"/>
        <v>6475.7021781673639</v>
      </c>
      <c r="R49" s="114">
        <f t="shared" si="23"/>
        <v>3538676.8902694564</v>
      </c>
      <c r="S49" s="115">
        <f t="shared" si="22"/>
        <v>38676.890269457057</v>
      </c>
      <c r="T49" s="104"/>
    </row>
    <row r="50" spans="1:20" ht="16.5" thickBot="1" x14ac:dyDescent="0.3">
      <c r="A50" s="104"/>
      <c r="B50" s="104"/>
      <c r="C50" s="104"/>
      <c r="D50" s="104"/>
      <c r="E50" s="104"/>
      <c r="F50" s="104"/>
      <c r="G50" s="104"/>
      <c r="H50" s="104"/>
      <c r="I50" s="113">
        <v>14</v>
      </c>
      <c r="J50" s="114">
        <f t="shared" si="24"/>
        <v>2048194.5408934341</v>
      </c>
      <c r="K50" s="114">
        <f t="shared" si="16"/>
        <v>3755.0233249712956</v>
      </c>
      <c r="L50" s="114">
        <f t="shared" ref="L50:L60" si="25">J50+K50</f>
        <v>2051949.5642184054</v>
      </c>
      <c r="M50" s="115">
        <f t="shared" si="19"/>
        <v>51949.564218405016</v>
      </c>
      <c r="N50" s="300"/>
      <c r="O50" s="113">
        <v>7</v>
      </c>
      <c r="P50" s="114">
        <f t="shared" si="21"/>
        <v>3538676.8902694564</v>
      </c>
      <c r="Q50" s="114">
        <f t="shared" si="20"/>
        <v>6487.5742988273369</v>
      </c>
      <c r="R50" s="114">
        <f t="shared" si="23"/>
        <v>3545164.4645682839</v>
      </c>
      <c r="S50" s="115">
        <f t="shared" si="22"/>
        <v>45164.464568284391</v>
      </c>
      <c r="T50" s="104"/>
    </row>
    <row r="51" spans="1:20" ht="16.5" thickBot="1" x14ac:dyDescent="0.3">
      <c r="A51" s="104"/>
      <c r="B51" s="104"/>
      <c r="C51" s="104"/>
      <c r="D51" s="104"/>
      <c r="E51" s="104"/>
      <c r="F51" s="104"/>
      <c r="G51" s="104"/>
      <c r="H51" s="104"/>
      <c r="I51" s="113">
        <v>15</v>
      </c>
      <c r="J51" s="114">
        <f t="shared" si="24"/>
        <v>2051949.5642184054</v>
      </c>
      <c r="K51" s="114">
        <f t="shared" si="16"/>
        <v>3761.90753440041</v>
      </c>
      <c r="L51" s="114">
        <f t="shared" si="25"/>
        <v>2055711.4717528059</v>
      </c>
      <c r="M51" s="115">
        <f t="shared" si="19"/>
        <v>55711.471752805424</v>
      </c>
      <c r="N51" s="300"/>
      <c r="O51" s="113">
        <v>8</v>
      </c>
      <c r="P51" s="114">
        <f t="shared" si="21"/>
        <v>3545164.4645682839</v>
      </c>
      <c r="Q51" s="114">
        <f t="shared" si="20"/>
        <v>6499.4681850418538</v>
      </c>
      <c r="R51" s="114">
        <f t="shared" si="23"/>
        <v>3551663.9327533259</v>
      </c>
      <c r="S51" s="115">
        <f t="shared" si="22"/>
        <v>51663.932753326248</v>
      </c>
      <c r="T51" s="104"/>
    </row>
    <row r="52" spans="1:20" ht="16.5" thickBot="1" x14ac:dyDescent="0.3">
      <c r="A52" s="104"/>
      <c r="B52" s="104"/>
      <c r="C52" s="104"/>
      <c r="D52" s="104"/>
      <c r="E52" s="104"/>
      <c r="F52" s="104"/>
      <c r="G52" s="104"/>
      <c r="H52" s="104"/>
      <c r="I52" s="113">
        <v>16</v>
      </c>
      <c r="J52" s="114">
        <f t="shared" si="24"/>
        <v>2055711.4717528059</v>
      </c>
      <c r="K52" s="114">
        <f t="shared" si="16"/>
        <v>3768.804364880144</v>
      </c>
      <c r="L52" s="114">
        <f t="shared" si="25"/>
        <v>2059480.2761176859</v>
      </c>
      <c r="M52" s="115">
        <f t="shared" si="19"/>
        <v>59480.276117685571</v>
      </c>
      <c r="N52" s="300"/>
      <c r="O52" s="113">
        <v>9</v>
      </c>
      <c r="P52" s="114">
        <f t="shared" si="21"/>
        <v>3551663.9327533259</v>
      </c>
      <c r="Q52" s="114">
        <f t="shared" si="20"/>
        <v>6511.3838767144307</v>
      </c>
      <c r="R52" s="114">
        <f t="shared" si="23"/>
        <v>3558175.3166300403</v>
      </c>
      <c r="S52" s="115">
        <f t="shared" si="22"/>
        <v>58175.316630040681</v>
      </c>
      <c r="T52" s="104"/>
    </row>
    <row r="53" spans="1:20" ht="16.5" thickBot="1" x14ac:dyDescent="0.3">
      <c r="A53" s="104"/>
      <c r="B53" s="104"/>
      <c r="C53" s="104"/>
      <c r="D53" s="104"/>
      <c r="E53" s="104"/>
      <c r="F53" s="104"/>
      <c r="G53" s="104"/>
      <c r="H53" s="104"/>
      <c r="I53" s="113">
        <v>17</v>
      </c>
      <c r="J53" s="114">
        <f t="shared" si="24"/>
        <v>2059480.2761176859</v>
      </c>
      <c r="K53" s="114">
        <f t="shared" si="16"/>
        <v>3775.7138395490911</v>
      </c>
      <c r="L53" s="114">
        <f t="shared" si="25"/>
        <v>2063255.9899572351</v>
      </c>
      <c r="M53" s="115">
        <f t="shared" si="19"/>
        <v>63255.989957234662</v>
      </c>
      <c r="N53" s="300"/>
      <c r="O53" s="113">
        <v>10</v>
      </c>
      <c r="P53" s="114">
        <f t="shared" si="21"/>
        <v>3558175.3166300403</v>
      </c>
      <c r="Q53" s="114">
        <f t="shared" si="20"/>
        <v>6523.3214138217409</v>
      </c>
      <c r="R53" s="114">
        <f t="shared" si="23"/>
        <v>3564698.6380438618</v>
      </c>
      <c r="S53" s="115">
        <f t="shared" ref="S53:S60" si="26">S52+Q53</f>
        <v>64698.638043862418</v>
      </c>
      <c r="T53" s="104"/>
    </row>
    <row r="54" spans="1:20" ht="16.5" thickBot="1" x14ac:dyDescent="0.3">
      <c r="A54" s="104"/>
      <c r="B54" s="104"/>
      <c r="C54" s="104"/>
      <c r="D54" s="104"/>
      <c r="E54" s="104"/>
      <c r="F54" s="104"/>
      <c r="G54" s="104"/>
      <c r="H54" s="104"/>
      <c r="I54" s="113">
        <v>18</v>
      </c>
      <c r="J54" s="114">
        <f t="shared" si="24"/>
        <v>2063255.9899572351</v>
      </c>
      <c r="K54" s="114">
        <f t="shared" si="16"/>
        <v>3782.6359815882643</v>
      </c>
      <c r="L54" s="114">
        <f t="shared" si="25"/>
        <v>2067038.6259388232</v>
      </c>
      <c r="M54" s="115">
        <f t="shared" si="19"/>
        <v>67038.625938822923</v>
      </c>
      <c r="N54" s="300"/>
      <c r="O54" s="113">
        <v>11</v>
      </c>
      <c r="P54" s="114">
        <f t="shared" si="21"/>
        <v>3564698.6380438618</v>
      </c>
      <c r="Q54" s="114">
        <f t="shared" si="20"/>
        <v>6535.2808364137463</v>
      </c>
      <c r="R54" s="114">
        <f t="shared" si="23"/>
        <v>3571233.9188802755</v>
      </c>
      <c r="S54" s="115">
        <f>S53+Q54</f>
        <v>71233.918880276164</v>
      </c>
      <c r="T54" s="104"/>
    </row>
    <row r="55" spans="1:20" ht="16.5" thickBot="1" x14ac:dyDescent="0.3">
      <c r="A55" s="104"/>
      <c r="B55" s="104"/>
      <c r="C55" s="104"/>
      <c r="D55" s="104"/>
      <c r="E55" s="104"/>
      <c r="F55" s="104"/>
      <c r="G55" s="104"/>
      <c r="H55" s="104"/>
      <c r="I55" s="113">
        <v>19</v>
      </c>
      <c r="J55" s="114">
        <f t="shared" si="24"/>
        <v>2067038.6259388232</v>
      </c>
      <c r="K55" s="114">
        <f t="shared" si="16"/>
        <v>3789.5708142211756</v>
      </c>
      <c r="L55" s="114">
        <f t="shared" si="25"/>
        <v>2070828.1967530444</v>
      </c>
      <c r="M55" s="115">
        <f t="shared" si="19"/>
        <v>70828.196753044103</v>
      </c>
      <c r="N55" s="300"/>
      <c r="O55" s="113">
        <v>12</v>
      </c>
      <c r="P55" s="114">
        <f t="shared" ref="P55:P61" si="27">P54+Q54</f>
        <v>3571233.9188802755</v>
      </c>
      <c r="Q55" s="114">
        <f t="shared" si="20"/>
        <v>6547.2621846138381</v>
      </c>
      <c r="R55" s="114">
        <f>P55+Q55</f>
        <v>3577781.1810648893</v>
      </c>
      <c r="S55" s="115">
        <f t="shared" si="26"/>
        <v>77781.181064889999</v>
      </c>
      <c r="T55" s="104"/>
    </row>
    <row r="56" spans="1:20" ht="16.5" thickBot="1" x14ac:dyDescent="0.3">
      <c r="A56" s="104"/>
      <c r="B56" s="104"/>
      <c r="C56" s="104"/>
      <c r="D56" s="104"/>
      <c r="E56" s="104"/>
      <c r="F56" s="104"/>
      <c r="G56" s="104"/>
      <c r="H56" s="104"/>
      <c r="I56" s="113">
        <v>20</v>
      </c>
      <c r="J56" s="114">
        <f t="shared" si="24"/>
        <v>2070828.1967530444</v>
      </c>
      <c r="K56" s="114">
        <f t="shared" si="16"/>
        <v>3796.5183607139147</v>
      </c>
      <c r="L56" s="114">
        <f t="shared" si="25"/>
        <v>2074624.7151137583</v>
      </c>
      <c r="M56" s="115">
        <f t="shared" si="19"/>
        <v>74624.715113758022</v>
      </c>
      <c r="N56" s="300"/>
      <c r="O56" s="113">
        <v>13</v>
      </c>
      <c r="P56" s="114">
        <f t="shared" si="27"/>
        <v>3577781.1810648893</v>
      </c>
      <c r="Q56" s="114">
        <f t="shared" si="20"/>
        <v>6559.2654986189636</v>
      </c>
      <c r="R56" s="114">
        <f t="shared" ref="R56:R61" si="28">P56+Q56</f>
        <v>3584340.4465635084</v>
      </c>
      <c r="S56" s="115">
        <f t="shared" si="26"/>
        <v>84340.446563508958</v>
      </c>
      <c r="T56" s="104"/>
    </row>
    <row r="57" spans="1:20" ht="16.5" thickBot="1" x14ac:dyDescent="0.3">
      <c r="A57" s="104"/>
      <c r="B57" s="104"/>
      <c r="C57" s="104"/>
      <c r="D57" s="104"/>
      <c r="E57" s="104"/>
      <c r="F57" s="104"/>
      <c r="G57" s="104"/>
      <c r="H57" s="104"/>
      <c r="I57" s="113">
        <v>21</v>
      </c>
      <c r="J57" s="114">
        <f t="shared" si="24"/>
        <v>2074624.7151137583</v>
      </c>
      <c r="K57" s="114">
        <f t="shared" si="16"/>
        <v>3803.4786443752237</v>
      </c>
      <c r="L57" s="114">
        <f t="shared" si="25"/>
        <v>2078428.1937581336</v>
      </c>
      <c r="M57" s="115">
        <f t="shared" si="19"/>
        <v>78428.193758133246</v>
      </c>
      <c r="N57" s="300"/>
      <c r="O57" s="113">
        <v>14</v>
      </c>
      <c r="P57" s="114">
        <f t="shared" si="27"/>
        <v>3584340.4465635084</v>
      </c>
      <c r="Q57" s="114">
        <f t="shared" si="20"/>
        <v>6571.2908186997656</v>
      </c>
      <c r="R57" s="114">
        <f t="shared" si="28"/>
        <v>3590911.737382208</v>
      </c>
      <c r="S57" s="115">
        <f t="shared" si="26"/>
        <v>90911.737382208725</v>
      </c>
      <c r="T57" s="104"/>
    </row>
    <row r="58" spans="1:20" ht="16.5" thickBot="1" x14ac:dyDescent="0.3">
      <c r="A58" s="104"/>
      <c r="B58" s="104"/>
      <c r="C58" s="104"/>
      <c r="D58" s="104"/>
      <c r="E58" s="104"/>
      <c r="F58" s="104"/>
      <c r="G58" s="104"/>
      <c r="H58" s="104"/>
      <c r="I58" s="113">
        <v>22</v>
      </c>
      <c r="J58" s="114">
        <f t="shared" si="24"/>
        <v>2078428.1937581336</v>
      </c>
      <c r="K58" s="114">
        <f t="shared" si="16"/>
        <v>3810.4516885565781</v>
      </c>
      <c r="L58" s="114">
        <f t="shared" si="25"/>
        <v>2082238.64544669</v>
      </c>
      <c r="M58" s="115">
        <f t="shared" si="19"/>
        <v>82238.645446689829</v>
      </c>
      <c r="N58" s="300"/>
      <c r="O58" s="113">
        <v>15</v>
      </c>
      <c r="P58" s="114">
        <f t="shared" si="27"/>
        <v>3590911.737382208</v>
      </c>
      <c r="Q58" s="114">
        <f t="shared" si="20"/>
        <v>6583.3381852007142</v>
      </c>
      <c r="R58" s="114">
        <f t="shared" si="28"/>
        <v>3597495.0755674089</v>
      </c>
      <c r="S58" s="115">
        <f t="shared" si="26"/>
        <v>97495.07556740944</v>
      </c>
      <c r="T58" s="104"/>
    </row>
    <row r="59" spans="1:20" ht="16.5" thickBot="1" x14ac:dyDescent="0.3">
      <c r="A59" s="104"/>
      <c r="B59" s="104"/>
      <c r="C59" s="104"/>
      <c r="D59" s="104"/>
      <c r="E59" s="104"/>
      <c r="F59" s="104"/>
      <c r="G59" s="104"/>
      <c r="H59" s="104"/>
      <c r="I59" s="113">
        <v>23</v>
      </c>
      <c r="J59" s="114">
        <f t="shared" si="24"/>
        <v>2082238.64544669</v>
      </c>
      <c r="K59" s="114">
        <f t="shared" si="16"/>
        <v>3817.437516652265</v>
      </c>
      <c r="L59" s="114">
        <f t="shared" si="25"/>
        <v>2086056.0829633423</v>
      </c>
      <c r="M59" s="115">
        <f t="shared" si="19"/>
        <v>86056.082963342094</v>
      </c>
      <c r="N59" s="300"/>
      <c r="O59" s="113">
        <v>16</v>
      </c>
      <c r="P59" s="114">
        <f t="shared" si="27"/>
        <v>3597495.0755674089</v>
      </c>
      <c r="Q59" s="114">
        <f t="shared" si="20"/>
        <v>6595.4076385402495</v>
      </c>
      <c r="R59" s="114">
        <f t="shared" si="28"/>
        <v>3604090.483205949</v>
      </c>
      <c r="S59" s="115">
        <f t="shared" si="26"/>
        <v>104090.48320594968</v>
      </c>
      <c r="T59" s="104"/>
    </row>
    <row r="60" spans="1:20" ht="16.5" thickBot="1" x14ac:dyDescent="0.3">
      <c r="A60" s="104"/>
      <c r="B60" s="104"/>
      <c r="C60" s="104"/>
      <c r="D60" s="104"/>
      <c r="E60" s="104"/>
      <c r="F60" s="104"/>
      <c r="G60" s="104"/>
      <c r="H60" s="104"/>
      <c r="I60" s="113">
        <v>24</v>
      </c>
      <c r="J60" s="114">
        <f t="shared" si="24"/>
        <v>2086056.0829633423</v>
      </c>
      <c r="K60" s="114">
        <f t="shared" si="16"/>
        <v>3824.4361520994607</v>
      </c>
      <c r="L60" s="114">
        <f t="shared" si="25"/>
        <v>2089880.5191154417</v>
      </c>
      <c r="M60" s="115">
        <f t="shared" si="19"/>
        <v>89880.519115441552</v>
      </c>
      <c r="N60" s="300"/>
      <c r="O60" s="113">
        <v>17</v>
      </c>
      <c r="P60" s="114">
        <f t="shared" si="27"/>
        <v>3604090.483205949</v>
      </c>
      <c r="Q60" s="114">
        <f t="shared" si="20"/>
        <v>6607.4992192109066</v>
      </c>
      <c r="R60" s="114">
        <f t="shared" si="28"/>
        <v>3610697.9824251598</v>
      </c>
      <c r="S60" s="115">
        <f t="shared" si="26"/>
        <v>110697.98242516059</v>
      </c>
      <c r="T60" s="104"/>
    </row>
    <row r="61" spans="1:20" ht="16.5" thickBot="1" x14ac:dyDescent="0.3">
      <c r="A61" s="104"/>
      <c r="B61" s="104"/>
      <c r="C61" s="104"/>
      <c r="D61" s="104"/>
      <c r="E61" s="104"/>
      <c r="F61" s="104"/>
      <c r="G61" s="104"/>
      <c r="H61" s="104"/>
      <c r="I61" s="288"/>
      <c r="J61" s="289"/>
      <c r="K61" s="123">
        <f>SUM(K37:K60)</f>
        <v>89880.519115441552</v>
      </c>
      <c r="L61" s="123">
        <f>L60</f>
        <v>2089880.5191154417</v>
      </c>
      <c r="M61" s="124">
        <f>M60</f>
        <v>89880.519115441552</v>
      </c>
      <c r="N61" s="300"/>
      <c r="O61" s="113">
        <v>18</v>
      </c>
      <c r="P61" s="114">
        <f t="shared" si="27"/>
        <v>3610697.9824251598</v>
      </c>
      <c r="Q61" s="114">
        <f t="shared" si="20"/>
        <v>6619.6129677794597</v>
      </c>
      <c r="R61" s="114">
        <f t="shared" si="28"/>
        <v>3617317.5953929392</v>
      </c>
      <c r="S61" s="115">
        <f>S60+Q61</f>
        <v>117317.59539294004</v>
      </c>
      <c r="T61" s="104"/>
    </row>
    <row r="62" spans="1:20" ht="17.25" thickTop="1" thickBot="1" x14ac:dyDescent="0.3">
      <c r="A62" s="104"/>
      <c r="B62" s="104"/>
      <c r="C62" s="104"/>
      <c r="D62" s="104"/>
      <c r="E62" s="104"/>
      <c r="F62" s="104"/>
      <c r="G62" s="104"/>
      <c r="H62" s="104"/>
      <c r="I62" s="318" t="s">
        <v>112</v>
      </c>
      <c r="J62" s="318"/>
      <c r="K62" s="319"/>
      <c r="L62" s="320">
        <f>K61</f>
        <v>89880.519115441552</v>
      </c>
      <c r="M62" s="321"/>
      <c r="N62" s="300"/>
      <c r="O62" s="288"/>
      <c r="P62" s="289"/>
      <c r="Q62" s="123">
        <f>SUM(Q44:Q61)</f>
        <v>117317.59539294004</v>
      </c>
      <c r="R62" s="123">
        <f>R61</f>
        <v>3617317.5953929392</v>
      </c>
      <c r="S62" s="124">
        <f>S61</f>
        <v>117317.59539294004</v>
      </c>
      <c r="T62" s="104"/>
    </row>
    <row r="63" spans="1:20" ht="20.25" thickTop="1" thickBot="1" x14ac:dyDescent="0.35">
      <c r="A63" s="104"/>
      <c r="B63" s="104"/>
      <c r="C63" s="104"/>
      <c r="D63" s="104"/>
      <c r="E63" s="104"/>
      <c r="F63" s="104"/>
      <c r="G63" s="104"/>
      <c r="H63" s="104"/>
      <c r="I63" s="297" t="str">
        <f>B15</f>
        <v>Gomez Esperanza</v>
      </c>
      <c r="J63" s="297"/>
      <c r="K63" s="297"/>
      <c r="L63" s="297"/>
      <c r="M63" s="298"/>
      <c r="N63" s="300"/>
      <c r="O63" s="318" t="s">
        <v>112</v>
      </c>
      <c r="P63" s="318"/>
      <c r="Q63" s="319"/>
      <c r="R63" s="320">
        <f>Q62</f>
        <v>117317.59539294004</v>
      </c>
      <c r="S63" s="321"/>
      <c r="T63" s="104"/>
    </row>
    <row r="64" spans="1:20" ht="49.5" thickTop="1" thickBot="1" x14ac:dyDescent="0.35">
      <c r="A64" s="104"/>
      <c r="B64" s="104"/>
      <c r="C64" s="104"/>
      <c r="D64" s="104"/>
      <c r="E64" s="104"/>
      <c r="F64" s="104"/>
      <c r="G64" s="104"/>
      <c r="H64" s="104"/>
      <c r="I64" s="106" t="s">
        <v>86</v>
      </c>
      <c r="J64" s="107" t="s">
        <v>87</v>
      </c>
      <c r="K64" s="106" t="s">
        <v>88</v>
      </c>
      <c r="L64" s="106" t="s">
        <v>89</v>
      </c>
      <c r="M64" s="108" t="s">
        <v>90</v>
      </c>
      <c r="N64" s="300"/>
      <c r="O64" s="297" t="str">
        <f>B19</f>
        <v>Zuluaga Tomas</v>
      </c>
      <c r="P64" s="297"/>
      <c r="Q64" s="297"/>
      <c r="R64" s="297"/>
      <c r="S64" s="298"/>
      <c r="T64" s="104"/>
    </row>
    <row r="65" spans="1:20" ht="48" thickBot="1" x14ac:dyDescent="0.3">
      <c r="A65" s="104"/>
      <c r="B65" s="104"/>
      <c r="C65" s="104"/>
      <c r="D65" s="104"/>
      <c r="E65" s="104"/>
      <c r="F65" s="104"/>
      <c r="G65" s="104"/>
      <c r="H65" s="104"/>
      <c r="I65" s="113">
        <v>1</v>
      </c>
      <c r="J65" s="114">
        <f>C15</f>
        <v>2500000</v>
      </c>
      <c r="K65" s="114">
        <f>J65*I$8</f>
        <v>4583.333333333333</v>
      </c>
      <c r="L65" s="114">
        <f>J65+K65</f>
        <v>2504583.3333333335</v>
      </c>
      <c r="M65" s="115">
        <f>K65</f>
        <v>4583.333333333333</v>
      </c>
      <c r="N65" s="300"/>
      <c r="O65" s="106" t="s">
        <v>86</v>
      </c>
      <c r="P65" s="107" t="s">
        <v>87</v>
      </c>
      <c r="Q65" s="106" t="s">
        <v>88</v>
      </c>
      <c r="R65" s="106" t="s">
        <v>89</v>
      </c>
      <c r="S65" s="108" t="s">
        <v>90</v>
      </c>
      <c r="T65" s="104"/>
    </row>
    <row r="66" spans="1:20" ht="16.5" thickBot="1" x14ac:dyDescent="0.3">
      <c r="A66" s="104"/>
      <c r="B66" s="104"/>
      <c r="C66" s="104"/>
      <c r="D66" s="104"/>
      <c r="E66" s="104"/>
      <c r="F66" s="104"/>
      <c r="G66" s="104"/>
      <c r="H66" s="104"/>
      <c r="I66" s="113">
        <v>2</v>
      </c>
      <c r="J66" s="114">
        <f>J65+K65</f>
        <v>2504583.3333333335</v>
      </c>
      <c r="K66" s="114">
        <f>J66*I$8</f>
        <v>4591.7361111111113</v>
      </c>
      <c r="L66" s="114">
        <f>J66+K66</f>
        <v>2509175.0694444445</v>
      </c>
      <c r="M66" s="115">
        <f>M65+K66</f>
        <v>9175.0694444444453</v>
      </c>
      <c r="N66" s="300"/>
      <c r="O66" s="113">
        <v>1</v>
      </c>
      <c r="P66" s="114">
        <f>C19</f>
        <v>5500000</v>
      </c>
      <c r="Q66" s="114">
        <f t="shared" ref="Q66:Q85" si="29">P66*I$8</f>
        <v>10083.333333333334</v>
      </c>
      <c r="R66" s="114">
        <f>P66+Q66</f>
        <v>5510083.333333333</v>
      </c>
      <c r="S66" s="115">
        <f>Q66</f>
        <v>10083.333333333334</v>
      </c>
      <c r="T66" s="104"/>
    </row>
    <row r="67" spans="1:20" ht="16.5" thickBot="1" x14ac:dyDescent="0.3">
      <c r="A67" s="104"/>
      <c r="B67" s="104"/>
      <c r="C67" s="104"/>
      <c r="D67" s="104"/>
      <c r="E67" s="104"/>
      <c r="F67" s="104"/>
      <c r="G67" s="104"/>
      <c r="H67" s="104"/>
      <c r="I67" s="113">
        <v>3</v>
      </c>
      <c r="J67" s="114">
        <f>J66+K66</f>
        <v>2509175.0694444445</v>
      </c>
      <c r="K67" s="114">
        <f>J67*I$8</f>
        <v>4600.1542939814817</v>
      </c>
      <c r="L67" s="114">
        <f>J67+K67</f>
        <v>2513775.2237384259</v>
      </c>
      <c r="M67" s="115">
        <f>M66+K67</f>
        <v>13775.223738425928</v>
      </c>
      <c r="N67" s="300"/>
      <c r="O67" s="113">
        <v>2</v>
      </c>
      <c r="P67" s="114">
        <f t="shared" ref="P67:P76" si="30">P66+Q66</f>
        <v>5510083.333333333</v>
      </c>
      <c r="Q67" s="114">
        <f t="shared" si="29"/>
        <v>10101.819444444443</v>
      </c>
      <c r="R67" s="114">
        <f>P67+Q67</f>
        <v>5520185.1527777771</v>
      </c>
      <c r="S67" s="115">
        <f t="shared" ref="S67:S76" si="31">S66+Q67</f>
        <v>20185.152777777777</v>
      </c>
      <c r="T67" s="104"/>
    </row>
    <row r="68" spans="1:20" ht="16.5" thickBot="1" x14ac:dyDescent="0.3">
      <c r="A68" s="104"/>
      <c r="B68" s="104"/>
      <c r="C68" s="104"/>
      <c r="D68" s="104"/>
      <c r="E68" s="104"/>
      <c r="F68" s="104"/>
      <c r="G68" s="104"/>
      <c r="H68" s="104"/>
      <c r="I68" s="288"/>
      <c r="J68" s="289"/>
      <c r="K68" s="123">
        <f>SUM(K65:K67)</f>
        <v>13775.223738425928</v>
      </c>
      <c r="L68" s="123">
        <f>L67</f>
        <v>2513775.2237384259</v>
      </c>
      <c r="M68" s="124">
        <f>M67</f>
        <v>13775.223738425928</v>
      </c>
      <c r="N68" s="300"/>
      <c r="O68" s="113">
        <v>3</v>
      </c>
      <c r="P68" s="114">
        <f t="shared" si="30"/>
        <v>5520185.1527777771</v>
      </c>
      <c r="Q68" s="114">
        <f t="shared" si="29"/>
        <v>10120.339446759257</v>
      </c>
      <c r="R68" s="114">
        <f t="shared" ref="R68:R76" si="32">P68+Q68</f>
        <v>5530305.4922245359</v>
      </c>
      <c r="S68" s="115">
        <f t="shared" si="31"/>
        <v>30305.492224537033</v>
      </c>
      <c r="T68" s="104"/>
    </row>
    <row r="69" spans="1:20" ht="17.25" thickTop="1" thickBot="1" x14ac:dyDescent="0.3">
      <c r="A69" s="104"/>
      <c r="B69" s="104"/>
      <c r="C69" s="104"/>
      <c r="D69" s="104"/>
      <c r="E69" s="104"/>
      <c r="F69" s="104"/>
      <c r="G69" s="104"/>
      <c r="H69" s="104"/>
      <c r="I69" s="318" t="s">
        <v>112</v>
      </c>
      <c r="J69" s="318"/>
      <c r="K69" s="319"/>
      <c r="L69" s="320">
        <f>K68</f>
        <v>13775.223738425928</v>
      </c>
      <c r="M69" s="321"/>
      <c r="N69" s="300"/>
      <c r="O69" s="113">
        <v>4</v>
      </c>
      <c r="P69" s="114">
        <f t="shared" si="30"/>
        <v>5530305.4922245359</v>
      </c>
      <c r="Q69" s="114">
        <f t="shared" si="29"/>
        <v>10138.89340241165</v>
      </c>
      <c r="R69" s="114">
        <f t="shared" si="32"/>
        <v>5540444.3856269475</v>
      </c>
      <c r="S69" s="115">
        <f t="shared" si="31"/>
        <v>40444.385626948686</v>
      </c>
      <c r="T69" s="104"/>
    </row>
    <row r="70" spans="1:20" ht="17.25" thickTop="1" thickBot="1" x14ac:dyDescent="0.3">
      <c r="A70" s="104"/>
      <c r="B70" s="104"/>
      <c r="C70" s="104"/>
      <c r="D70" s="104"/>
      <c r="E70" s="104"/>
      <c r="F70" s="104"/>
      <c r="G70" s="104"/>
      <c r="H70" s="104"/>
      <c r="I70" s="104"/>
      <c r="J70" s="104"/>
      <c r="K70" s="104"/>
      <c r="L70" s="104"/>
      <c r="M70" s="104"/>
      <c r="N70" s="104"/>
      <c r="O70" s="113">
        <v>5</v>
      </c>
      <c r="P70" s="114">
        <f t="shared" si="30"/>
        <v>5540444.3856269475</v>
      </c>
      <c r="Q70" s="114">
        <f t="shared" si="29"/>
        <v>10157.481373649403</v>
      </c>
      <c r="R70" s="114">
        <f t="shared" si="32"/>
        <v>5550601.8670005966</v>
      </c>
      <c r="S70" s="115">
        <f t="shared" si="31"/>
        <v>50601.867000598089</v>
      </c>
      <c r="T70" s="104"/>
    </row>
    <row r="71" spans="1:20" ht="16.5" thickBot="1" x14ac:dyDescent="0.3">
      <c r="A71" s="104"/>
      <c r="B71" s="104"/>
      <c r="C71" s="104"/>
      <c r="D71" s="104"/>
      <c r="E71" s="104"/>
      <c r="F71" s="104"/>
      <c r="G71" s="104"/>
      <c r="H71" s="104"/>
      <c r="I71" s="104"/>
      <c r="J71" s="104"/>
      <c r="K71" s="104"/>
      <c r="L71" s="104"/>
      <c r="M71" s="104"/>
      <c r="N71" s="104"/>
      <c r="O71" s="113">
        <v>6</v>
      </c>
      <c r="P71" s="114">
        <f t="shared" si="30"/>
        <v>5550601.8670005966</v>
      </c>
      <c r="Q71" s="114">
        <f t="shared" si="29"/>
        <v>10176.103422834427</v>
      </c>
      <c r="R71" s="114">
        <f t="shared" si="32"/>
        <v>5560777.9704234311</v>
      </c>
      <c r="S71" s="115">
        <f t="shared" si="31"/>
        <v>60777.970423432518</v>
      </c>
      <c r="T71" s="104"/>
    </row>
    <row r="72" spans="1:20" ht="16.5" thickBot="1" x14ac:dyDescent="0.3">
      <c r="A72" s="104"/>
      <c r="B72" s="104"/>
      <c r="C72" s="104"/>
      <c r="D72" s="104"/>
      <c r="E72" s="104"/>
      <c r="F72" s="104"/>
      <c r="G72" s="104"/>
      <c r="H72" s="104"/>
      <c r="I72" s="104"/>
      <c r="J72" s="104"/>
      <c r="K72" s="104"/>
      <c r="L72" s="104"/>
      <c r="M72" s="104"/>
      <c r="N72" s="104"/>
      <c r="O72" s="113">
        <v>7</v>
      </c>
      <c r="P72" s="114">
        <f t="shared" si="30"/>
        <v>5560777.9704234311</v>
      </c>
      <c r="Q72" s="114">
        <f t="shared" si="29"/>
        <v>10194.759612442956</v>
      </c>
      <c r="R72" s="114">
        <f t="shared" si="32"/>
        <v>5570972.7300358741</v>
      </c>
      <c r="S72" s="115">
        <f t="shared" si="31"/>
        <v>70972.730035875473</v>
      </c>
      <c r="T72" s="104"/>
    </row>
    <row r="73" spans="1:20" ht="16.5" thickBot="1" x14ac:dyDescent="0.3">
      <c r="A73" s="104"/>
      <c r="B73" s="104"/>
      <c r="C73" s="104"/>
      <c r="D73" s="104"/>
      <c r="E73" s="104"/>
      <c r="F73" s="104"/>
      <c r="G73" s="104"/>
      <c r="H73" s="104"/>
      <c r="I73" s="104"/>
      <c r="J73" s="104"/>
      <c r="K73" s="104"/>
      <c r="L73" s="104"/>
      <c r="M73" s="104"/>
      <c r="N73" s="104"/>
      <c r="O73" s="113">
        <v>8</v>
      </c>
      <c r="P73" s="114">
        <f t="shared" si="30"/>
        <v>5570972.7300358741</v>
      </c>
      <c r="Q73" s="114">
        <f t="shared" si="29"/>
        <v>10213.45000506577</v>
      </c>
      <c r="R73" s="114">
        <f t="shared" si="32"/>
        <v>5581186.1800409397</v>
      </c>
      <c r="S73" s="115">
        <f t="shared" si="31"/>
        <v>81186.180040941239</v>
      </c>
      <c r="T73" s="104"/>
    </row>
    <row r="74" spans="1:20" ht="16.5" thickBot="1" x14ac:dyDescent="0.3">
      <c r="A74" s="104"/>
      <c r="B74" s="104"/>
      <c r="C74" s="104"/>
      <c r="D74" s="104"/>
      <c r="E74" s="104"/>
      <c r="F74" s="104"/>
      <c r="G74" s="104"/>
      <c r="H74" s="104"/>
      <c r="I74" s="104"/>
      <c r="J74" s="104"/>
      <c r="K74" s="104"/>
      <c r="L74" s="104"/>
      <c r="M74" s="104"/>
      <c r="N74" s="104"/>
      <c r="O74" s="113">
        <v>9</v>
      </c>
      <c r="P74" s="114">
        <f t="shared" si="30"/>
        <v>5581186.1800409397</v>
      </c>
      <c r="Q74" s="114">
        <f t="shared" si="29"/>
        <v>10232.17466340839</v>
      </c>
      <c r="R74" s="114">
        <f t="shared" si="32"/>
        <v>5591418.3547043484</v>
      </c>
      <c r="S74" s="115">
        <f t="shared" si="31"/>
        <v>91418.354704349622</v>
      </c>
      <c r="T74" s="104"/>
    </row>
    <row r="75" spans="1:20" ht="16.5" thickBot="1" x14ac:dyDescent="0.3">
      <c r="A75" s="104"/>
      <c r="B75" s="104"/>
      <c r="C75" s="104"/>
      <c r="D75" s="104"/>
      <c r="E75" s="104"/>
      <c r="F75" s="104"/>
      <c r="G75" s="104"/>
      <c r="H75" s="104"/>
      <c r="I75" s="104"/>
      <c r="J75" s="104"/>
      <c r="K75" s="104"/>
      <c r="L75" s="104"/>
      <c r="M75" s="104"/>
      <c r="N75" s="104"/>
      <c r="O75" s="113">
        <v>10</v>
      </c>
      <c r="P75" s="114">
        <f t="shared" si="30"/>
        <v>5591418.3547043484</v>
      </c>
      <c r="Q75" s="114">
        <f t="shared" si="29"/>
        <v>10250.933650291305</v>
      </c>
      <c r="R75" s="114">
        <f t="shared" si="32"/>
        <v>5601669.2883546399</v>
      </c>
      <c r="S75" s="115">
        <f t="shared" si="31"/>
        <v>101669.28835464093</v>
      </c>
      <c r="T75" s="104"/>
    </row>
    <row r="76" spans="1:20" ht="16.5" thickBot="1" x14ac:dyDescent="0.3">
      <c r="A76" s="104"/>
      <c r="B76" s="104"/>
      <c r="C76" s="104"/>
      <c r="D76" s="104"/>
      <c r="E76" s="104"/>
      <c r="F76" s="104"/>
      <c r="G76" s="104"/>
      <c r="H76" s="104"/>
      <c r="I76" s="104"/>
      <c r="J76" s="104"/>
      <c r="K76" s="104"/>
      <c r="L76" s="104"/>
      <c r="M76" s="104"/>
      <c r="N76" s="104"/>
      <c r="O76" s="113">
        <v>11</v>
      </c>
      <c r="P76" s="114">
        <f t="shared" si="30"/>
        <v>5601669.2883546399</v>
      </c>
      <c r="Q76" s="114">
        <f t="shared" si="29"/>
        <v>10269.727028650173</v>
      </c>
      <c r="R76" s="114">
        <f t="shared" si="32"/>
        <v>5611939.0153832901</v>
      </c>
      <c r="S76" s="115">
        <f t="shared" si="31"/>
        <v>111939.0153832911</v>
      </c>
      <c r="T76" s="104"/>
    </row>
    <row r="77" spans="1:20" ht="16.5" thickBot="1" x14ac:dyDescent="0.3">
      <c r="A77" s="104"/>
      <c r="B77" s="104"/>
      <c r="C77" s="104"/>
      <c r="D77" s="104"/>
      <c r="E77" s="104"/>
      <c r="F77" s="104"/>
      <c r="G77" s="104"/>
      <c r="H77" s="104"/>
      <c r="I77" s="104"/>
      <c r="J77" s="104"/>
      <c r="K77" s="104"/>
      <c r="L77" s="104"/>
      <c r="M77" s="104"/>
      <c r="N77" s="104"/>
      <c r="O77" s="113">
        <v>12</v>
      </c>
      <c r="P77" s="114">
        <f t="shared" ref="P77:P85" si="33">P76+Q76</f>
        <v>5611939.0153832901</v>
      </c>
      <c r="Q77" s="114">
        <f t="shared" si="29"/>
        <v>10288.554861536031</v>
      </c>
      <c r="R77" s="114">
        <f>P77+Q77</f>
        <v>5622227.5702448264</v>
      </c>
      <c r="S77" s="115">
        <f t="shared" ref="S77:S85" si="34">S76+Q77</f>
        <v>122227.57024482713</v>
      </c>
      <c r="T77" s="104"/>
    </row>
    <row r="78" spans="1:20" ht="16.5" thickBot="1" x14ac:dyDescent="0.3">
      <c r="A78" s="104"/>
      <c r="B78" s="104"/>
      <c r="C78" s="104"/>
      <c r="D78" s="104"/>
      <c r="E78" s="104"/>
      <c r="F78" s="104"/>
      <c r="G78" s="104"/>
      <c r="H78" s="104"/>
      <c r="I78" s="104"/>
      <c r="J78" s="104"/>
      <c r="K78" s="104"/>
      <c r="L78" s="104"/>
      <c r="M78" s="104"/>
      <c r="N78" s="104"/>
      <c r="O78" s="113">
        <v>13</v>
      </c>
      <c r="P78" s="114">
        <f t="shared" si="33"/>
        <v>5622227.5702448264</v>
      </c>
      <c r="Q78" s="114">
        <f t="shared" si="29"/>
        <v>10307.417212115515</v>
      </c>
      <c r="R78" s="114">
        <f t="shared" ref="R78:R85" si="35">P78+Q78</f>
        <v>5632534.987456942</v>
      </c>
      <c r="S78" s="115">
        <f t="shared" si="34"/>
        <v>132534.98745694265</v>
      </c>
      <c r="T78" s="104"/>
    </row>
    <row r="79" spans="1:20" ht="16.5" thickBot="1" x14ac:dyDescent="0.3">
      <c r="A79" s="104"/>
      <c r="B79" s="104"/>
      <c r="C79" s="104"/>
      <c r="D79" s="104"/>
      <c r="E79" s="104"/>
      <c r="F79" s="104"/>
      <c r="G79" s="104"/>
      <c r="H79" s="104"/>
      <c r="I79" s="104"/>
      <c r="J79" s="104"/>
      <c r="K79" s="104"/>
      <c r="L79" s="104"/>
      <c r="M79" s="104"/>
      <c r="N79" s="104"/>
      <c r="O79" s="113">
        <v>14</v>
      </c>
      <c r="P79" s="114">
        <f t="shared" si="33"/>
        <v>5632534.987456942</v>
      </c>
      <c r="Q79" s="114">
        <f t="shared" si="29"/>
        <v>10326.314143671059</v>
      </c>
      <c r="R79" s="114">
        <f t="shared" si="35"/>
        <v>5642861.3016006127</v>
      </c>
      <c r="S79" s="115">
        <f t="shared" si="34"/>
        <v>142861.30160061372</v>
      </c>
      <c r="T79" s="104"/>
    </row>
    <row r="80" spans="1:20" ht="16.5" thickBot="1" x14ac:dyDescent="0.3">
      <c r="A80" s="104"/>
      <c r="B80" s="104"/>
      <c r="C80" s="104"/>
      <c r="D80" s="104"/>
      <c r="E80" s="104"/>
      <c r="F80" s="104"/>
      <c r="G80" s="104"/>
      <c r="H80" s="104"/>
      <c r="I80" s="104"/>
      <c r="J80" s="104"/>
      <c r="K80" s="104"/>
      <c r="L80" s="104"/>
      <c r="M80" s="104"/>
      <c r="N80" s="104"/>
      <c r="O80" s="113">
        <v>15</v>
      </c>
      <c r="P80" s="114">
        <f t="shared" si="33"/>
        <v>5642861.3016006127</v>
      </c>
      <c r="Q80" s="114">
        <f t="shared" si="29"/>
        <v>10345.245719601124</v>
      </c>
      <c r="R80" s="114">
        <f t="shared" si="35"/>
        <v>5653206.5473202141</v>
      </c>
      <c r="S80" s="115">
        <f t="shared" si="34"/>
        <v>153206.54732021486</v>
      </c>
      <c r="T80" s="104"/>
    </row>
    <row r="81" spans="1:20" ht="16.5" thickBot="1" x14ac:dyDescent="0.3">
      <c r="A81" s="104"/>
      <c r="B81" s="104"/>
      <c r="C81" s="104"/>
      <c r="D81" s="104"/>
      <c r="E81" s="104"/>
      <c r="F81" s="104"/>
      <c r="G81" s="104"/>
      <c r="H81" s="104"/>
      <c r="I81" s="104"/>
      <c r="J81" s="104"/>
      <c r="K81" s="104"/>
      <c r="L81" s="104"/>
      <c r="M81" s="104"/>
      <c r="N81" s="104"/>
      <c r="O81" s="113">
        <v>16</v>
      </c>
      <c r="P81" s="114">
        <f t="shared" si="33"/>
        <v>5653206.5473202141</v>
      </c>
      <c r="Q81" s="114">
        <f t="shared" si="29"/>
        <v>10364.212003420393</v>
      </c>
      <c r="R81" s="114">
        <f t="shared" si="35"/>
        <v>5663570.7593236342</v>
      </c>
      <c r="S81" s="115">
        <f t="shared" si="34"/>
        <v>163570.75932363525</v>
      </c>
      <c r="T81" s="104"/>
    </row>
    <row r="82" spans="1:20" ht="16.5" thickBot="1" x14ac:dyDescent="0.3">
      <c r="A82" s="104"/>
      <c r="B82" s="104"/>
      <c r="C82" s="104"/>
      <c r="D82" s="104"/>
      <c r="E82" s="104"/>
      <c r="F82" s="104"/>
      <c r="G82" s="104"/>
      <c r="H82" s="104"/>
      <c r="I82" s="104"/>
      <c r="J82" s="104"/>
      <c r="K82" s="104"/>
      <c r="L82" s="104"/>
      <c r="M82" s="104"/>
      <c r="N82" s="104"/>
      <c r="O82" s="113">
        <v>17</v>
      </c>
      <c r="P82" s="114">
        <f t="shared" si="33"/>
        <v>5663570.7593236342</v>
      </c>
      <c r="Q82" s="114">
        <f t="shared" si="29"/>
        <v>10383.213058759995</v>
      </c>
      <c r="R82" s="114">
        <f t="shared" si="35"/>
        <v>5673953.9723823946</v>
      </c>
      <c r="S82" s="115">
        <f t="shared" si="34"/>
        <v>173953.97238239524</v>
      </c>
      <c r="T82" s="104"/>
    </row>
    <row r="83" spans="1:20" ht="16.5" thickBot="1" x14ac:dyDescent="0.3">
      <c r="A83" s="104"/>
      <c r="B83" s="104"/>
      <c r="C83" s="104"/>
      <c r="D83" s="104"/>
      <c r="E83" s="104"/>
      <c r="F83" s="104"/>
      <c r="G83" s="104"/>
      <c r="H83" s="104"/>
      <c r="I83" s="104"/>
      <c r="J83" s="104"/>
      <c r="K83" s="104"/>
      <c r="L83" s="104"/>
      <c r="M83" s="104"/>
      <c r="N83" s="104"/>
      <c r="O83" s="113">
        <v>18</v>
      </c>
      <c r="P83" s="114">
        <f t="shared" si="33"/>
        <v>5673953.9723823946</v>
      </c>
      <c r="Q83" s="114">
        <f t="shared" si="29"/>
        <v>10402.248949367724</v>
      </c>
      <c r="R83" s="114">
        <f t="shared" si="35"/>
        <v>5684356.2213317621</v>
      </c>
      <c r="S83" s="115">
        <f t="shared" si="34"/>
        <v>184356.22133176296</v>
      </c>
      <c r="T83" s="104"/>
    </row>
    <row r="84" spans="1:20" ht="16.5" thickBot="1" x14ac:dyDescent="0.3">
      <c r="A84" s="104"/>
      <c r="B84" s="104"/>
      <c r="C84" s="104"/>
      <c r="D84" s="104"/>
      <c r="E84" s="104"/>
      <c r="F84" s="104"/>
      <c r="G84" s="104"/>
      <c r="H84" s="104"/>
      <c r="I84" s="104"/>
      <c r="J84" s="104"/>
      <c r="K84" s="104"/>
      <c r="L84" s="104"/>
      <c r="M84" s="104"/>
      <c r="N84" s="104"/>
      <c r="O84" s="113">
        <v>19</v>
      </c>
      <c r="P84" s="114">
        <f t="shared" si="33"/>
        <v>5684356.2213317621</v>
      </c>
      <c r="Q84" s="114">
        <f t="shared" si="29"/>
        <v>10421.31973910823</v>
      </c>
      <c r="R84" s="114">
        <f t="shared" si="35"/>
        <v>5694777.5410708701</v>
      </c>
      <c r="S84" s="115">
        <f t="shared" si="34"/>
        <v>194777.5410708712</v>
      </c>
      <c r="T84" s="104"/>
    </row>
    <row r="85" spans="1:20" ht="16.5" thickBot="1" x14ac:dyDescent="0.3">
      <c r="A85" s="104"/>
      <c r="B85" s="104"/>
      <c r="C85" s="104"/>
      <c r="D85" s="104"/>
      <c r="E85" s="104"/>
      <c r="F85" s="104"/>
      <c r="G85" s="104"/>
      <c r="H85" s="104"/>
      <c r="I85" s="104"/>
      <c r="J85" s="104"/>
      <c r="K85" s="104"/>
      <c r="L85" s="104"/>
      <c r="M85" s="104"/>
      <c r="N85" s="104"/>
      <c r="O85" s="113">
        <v>20</v>
      </c>
      <c r="P85" s="114">
        <f t="shared" si="33"/>
        <v>5694777.5410708701</v>
      </c>
      <c r="Q85" s="114">
        <f t="shared" si="29"/>
        <v>10440.425491963262</v>
      </c>
      <c r="R85" s="114">
        <f t="shared" si="35"/>
        <v>5705217.9665628336</v>
      </c>
      <c r="S85" s="115">
        <f t="shared" si="34"/>
        <v>205217.96656283445</v>
      </c>
      <c r="T85" s="104"/>
    </row>
    <row r="86" spans="1:20" ht="16.5" thickBot="1" x14ac:dyDescent="0.3">
      <c r="A86" s="104"/>
      <c r="B86" s="104"/>
      <c r="C86" s="104"/>
      <c r="D86" s="104"/>
      <c r="E86" s="104"/>
      <c r="F86" s="104"/>
      <c r="G86" s="104"/>
      <c r="H86" s="104"/>
      <c r="I86" s="104"/>
      <c r="J86" s="104"/>
      <c r="K86" s="104"/>
      <c r="L86" s="104"/>
      <c r="M86" s="104"/>
      <c r="N86" s="104"/>
      <c r="O86" s="288"/>
      <c r="P86" s="289"/>
      <c r="Q86" s="123">
        <f>SUM(Q66:Q85)</f>
        <v>205217.96656283445</v>
      </c>
      <c r="R86" s="123">
        <f>R85</f>
        <v>5705217.9665628336</v>
      </c>
      <c r="S86" s="124">
        <f>S85</f>
        <v>205217.96656283445</v>
      </c>
      <c r="T86" s="104"/>
    </row>
    <row r="87" spans="1:20" ht="17.25" thickTop="1" thickBot="1" x14ac:dyDescent="0.3">
      <c r="A87" s="104"/>
      <c r="B87" s="104"/>
      <c r="C87" s="104"/>
      <c r="D87" s="104"/>
      <c r="E87" s="104"/>
      <c r="F87" s="104"/>
      <c r="G87" s="104"/>
      <c r="H87" s="104"/>
      <c r="I87" s="104"/>
      <c r="J87" s="104"/>
      <c r="K87" s="104"/>
      <c r="L87" s="104"/>
      <c r="M87" s="104"/>
      <c r="N87" s="104"/>
      <c r="O87" s="318" t="s">
        <v>112</v>
      </c>
      <c r="P87" s="318"/>
      <c r="Q87" s="319"/>
      <c r="R87" s="320">
        <f>Q86</f>
        <v>205217.96656283445</v>
      </c>
      <c r="S87" s="321"/>
      <c r="T87" s="104"/>
    </row>
    <row r="88" spans="1:20" ht="16.5" thickTop="1" thickBot="1" x14ac:dyDescent="0.25">
      <c r="A88" s="104"/>
      <c r="B88" s="104"/>
      <c r="C88" s="104"/>
      <c r="D88" s="104"/>
      <c r="E88" s="104"/>
      <c r="F88" s="104"/>
      <c r="G88" s="104"/>
      <c r="H88" s="104"/>
      <c r="I88" s="104"/>
      <c r="J88" s="104"/>
      <c r="K88" s="104"/>
      <c r="L88" s="104"/>
      <c r="M88" s="104"/>
      <c r="N88" s="104"/>
      <c r="O88" s="104"/>
      <c r="P88" s="104"/>
      <c r="Q88" s="104"/>
      <c r="R88" s="104"/>
      <c r="S88" s="104"/>
      <c r="T88" s="104"/>
    </row>
    <row r="89" spans="1:20" ht="15" customHeight="1" thickTop="1" x14ac:dyDescent="0.2">
      <c r="A89" s="104"/>
      <c r="B89" s="104"/>
      <c r="C89" s="104"/>
      <c r="D89" s="104"/>
      <c r="E89" s="104"/>
      <c r="F89" s="104"/>
      <c r="G89" s="104"/>
      <c r="H89" s="322" t="s">
        <v>113</v>
      </c>
      <c r="I89" s="322"/>
      <c r="J89" s="322"/>
      <c r="K89" s="322"/>
      <c r="L89" s="322"/>
      <c r="M89" s="322"/>
      <c r="N89" s="322"/>
      <c r="O89" s="322"/>
      <c r="P89" s="322"/>
      <c r="Q89" s="322"/>
      <c r="R89" s="324">
        <f>R87+L69+R63+L62+R41+L34+L24+R22</f>
        <v>679887.97548911325</v>
      </c>
      <c r="S89" s="325"/>
      <c r="T89" s="104"/>
    </row>
    <row r="90" spans="1:20" ht="15" customHeight="1" thickBot="1" x14ac:dyDescent="0.25">
      <c r="A90" s="104"/>
      <c r="B90" s="104"/>
      <c r="C90" s="104"/>
      <c r="D90" s="104"/>
      <c r="E90" s="104"/>
      <c r="F90" s="104"/>
      <c r="G90" s="104"/>
      <c r="H90" s="323"/>
      <c r="I90" s="323"/>
      <c r="J90" s="323"/>
      <c r="K90" s="323"/>
      <c r="L90" s="323"/>
      <c r="M90" s="323"/>
      <c r="N90" s="323"/>
      <c r="O90" s="323"/>
      <c r="P90" s="323"/>
      <c r="Q90" s="323"/>
      <c r="R90" s="326"/>
      <c r="S90" s="326"/>
      <c r="T90" s="104"/>
    </row>
    <row r="91" spans="1:20" ht="15.75" thickTop="1" x14ac:dyDescent="0.2">
      <c r="A91" s="104"/>
      <c r="B91" s="104"/>
      <c r="C91" s="104"/>
      <c r="D91" s="104"/>
      <c r="E91" s="104"/>
      <c r="F91" s="104"/>
      <c r="G91" s="104"/>
      <c r="H91" s="104"/>
      <c r="I91" s="104"/>
      <c r="J91" s="104"/>
      <c r="K91" s="104"/>
      <c r="L91" s="104"/>
      <c r="M91" s="104"/>
      <c r="N91" s="104"/>
      <c r="O91" s="104"/>
      <c r="P91" s="104"/>
      <c r="Q91" s="104"/>
      <c r="R91" s="104"/>
      <c r="S91" s="104"/>
      <c r="T91" s="104"/>
    </row>
    <row r="92" spans="1:20" x14ac:dyDescent="0.2">
      <c r="A92" s="104"/>
      <c r="B92" s="104"/>
      <c r="C92" s="104"/>
      <c r="D92" s="104"/>
      <c r="E92" s="104"/>
      <c r="F92" s="104"/>
      <c r="G92" s="104"/>
      <c r="H92" s="104"/>
      <c r="I92" s="104"/>
      <c r="J92" s="104"/>
      <c r="K92" s="104"/>
      <c r="L92" s="104"/>
      <c r="M92" s="104"/>
      <c r="N92" s="104"/>
      <c r="O92" s="104"/>
      <c r="P92" s="104"/>
      <c r="Q92" s="104"/>
      <c r="R92" s="104"/>
      <c r="S92" s="104"/>
      <c r="T92" s="104"/>
    </row>
  </sheetData>
  <mergeCells count="42">
    <mergeCell ref="H89:Q90"/>
    <mergeCell ref="R89:S90"/>
    <mergeCell ref="R63:S63"/>
    <mergeCell ref="O64:S64"/>
    <mergeCell ref="I68:J68"/>
    <mergeCell ref="O86:P86"/>
    <mergeCell ref="O87:Q87"/>
    <mergeCell ref="R87:S87"/>
    <mergeCell ref="R41:S41"/>
    <mergeCell ref="O42:S42"/>
    <mergeCell ref="I61:J61"/>
    <mergeCell ref="I62:K62"/>
    <mergeCell ref="L62:M62"/>
    <mergeCell ref="O62:P62"/>
    <mergeCell ref="L34:M34"/>
    <mergeCell ref="I35:M35"/>
    <mergeCell ref="I69:K69"/>
    <mergeCell ref="L69:M69"/>
    <mergeCell ref="O41:Q41"/>
    <mergeCell ref="I63:M63"/>
    <mergeCell ref="O63:Q63"/>
    <mergeCell ref="D2:O3"/>
    <mergeCell ref="I5:S5"/>
    <mergeCell ref="I6:S6"/>
    <mergeCell ref="I7:S7"/>
    <mergeCell ref="I8:S8"/>
    <mergeCell ref="B9:G10"/>
    <mergeCell ref="I9:M9"/>
    <mergeCell ref="N9:N69"/>
    <mergeCell ref="O9:S9"/>
    <mergeCell ref="B20:F20"/>
    <mergeCell ref="O40:P40"/>
    <mergeCell ref="O21:P21"/>
    <mergeCell ref="O22:Q22"/>
    <mergeCell ref="R22:S22"/>
    <mergeCell ref="I23:J23"/>
    <mergeCell ref="O23:S23"/>
    <mergeCell ref="I24:K24"/>
    <mergeCell ref="L24:M24"/>
    <mergeCell ref="I25:M25"/>
    <mergeCell ref="I33:J33"/>
    <mergeCell ref="I34:K34"/>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5"/>
  <sheetViews>
    <sheetView topLeftCell="A13" zoomScale="55" zoomScaleNormal="55" workbookViewId="0">
      <selection activeCell="P42" sqref="P42"/>
    </sheetView>
  </sheetViews>
  <sheetFormatPr baseColWidth="10" defaultRowHeight="15" x14ac:dyDescent="0.25"/>
  <cols>
    <col min="1" max="1" width="13.5703125" customWidth="1"/>
    <col min="2" max="2" width="15.7109375" customWidth="1"/>
    <col min="3" max="3" width="14" customWidth="1"/>
    <col min="5" max="5" width="12.140625" customWidth="1"/>
    <col min="6" max="6" width="11.42578125" style="144"/>
    <col min="7" max="7" width="13" customWidth="1"/>
  </cols>
  <sheetData>
    <row r="1" spans="1:15" ht="15.75" thickTop="1" x14ac:dyDescent="0.25">
      <c r="A1" s="347" t="s">
        <v>137</v>
      </c>
      <c r="B1" s="348"/>
      <c r="C1" s="348"/>
      <c r="D1" s="348"/>
      <c r="E1" s="348"/>
      <c r="F1" s="348"/>
      <c r="G1" s="348"/>
      <c r="H1" s="348"/>
      <c r="I1" s="348"/>
      <c r="J1" s="348"/>
      <c r="K1" s="348"/>
      <c r="L1" s="348"/>
      <c r="M1" s="348"/>
      <c r="N1" s="348"/>
      <c r="O1" s="349"/>
    </row>
    <row r="2" spans="1:15" ht="15.75" thickBot="1" x14ac:dyDescent="0.3">
      <c r="A2" s="350"/>
      <c r="B2" s="351"/>
      <c r="C2" s="351"/>
      <c r="D2" s="351"/>
      <c r="E2" s="351"/>
      <c r="F2" s="351"/>
      <c r="G2" s="351"/>
      <c r="H2" s="351"/>
      <c r="I2" s="351"/>
      <c r="J2" s="351"/>
      <c r="K2" s="351"/>
      <c r="L2" s="351"/>
      <c r="M2" s="351"/>
      <c r="N2" s="351"/>
      <c r="O2" s="352"/>
    </row>
    <row r="3" spans="1:15" ht="15.75" thickTop="1" x14ac:dyDescent="0.25">
      <c r="A3" s="160"/>
      <c r="B3" s="160"/>
      <c r="C3" s="160"/>
      <c r="D3" s="160"/>
      <c r="E3" s="160"/>
      <c r="F3" s="160"/>
      <c r="G3" s="160"/>
      <c r="H3" s="160"/>
      <c r="I3" s="160"/>
      <c r="J3" s="160"/>
      <c r="K3" s="160"/>
      <c r="L3" s="160"/>
      <c r="M3" s="160"/>
      <c r="N3" s="160"/>
      <c r="O3" s="160"/>
    </row>
    <row r="4" spans="1:15" x14ac:dyDescent="0.25">
      <c r="A4" s="160"/>
      <c r="B4" s="160"/>
      <c r="C4" s="160"/>
      <c r="D4" s="160"/>
      <c r="E4" s="160"/>
      <c r="F4" s="160"/>
      <c r="G4" s="160"/>
      <c r="H4" s="160"/>
      <c r="I4" s="160"/>
      <c r="J4" s="160"/>
      <c r="K4" s="160"/>
      <c r="L4" s="160"/>
      <c r="M4" s="160"/>
      <c r="N4" s="160"/>
      <c r="O4" s="160"/>
    </row>
    <row r="5" spans="1:15" ht="107.25" customHeight="1" x14ac:dyDescent="0.25">
      <c r="A5" s="184"/>
      <c r="B5" s="184"/>
      <c r="C5" s="184"/>
      <c r="D5" s="184"/>
      <c r="E5" s="184"/>
      <c r="G5" s="252"/>
      <c r="H5" s="252"/>
      <c r="I5" s="252"/>
      <c r="J5" s="252"/>
      <c r="K5" s="252"/>
      <c r="L5" s="252"/>
      <c r="M5" s="252"/>
      <c r="N5" s="252"/>
      <c r="O5" s="253"/>
    </row>
    <row r="6" spans="1:15" ht="217.5" customHeight="1" thickBot="1" x14ac:dyDescent="0.3">
      <c r="A6" s="333"/>
      <c r="B6" s="333"/>
      <c r="C6" s="333"/>
      <c r="D6" s="333"/>
      <c r="E6" s="333"/>
      <c r="G6" s="333"/>
      <c r="H6" s="333"/>
      <c r="I6" s="333"/>
      <c r="J6" s="333"/>
      <c r="K6" s="333"/>
      <c r="L6" s="333"/>
      <c r="M6" s="333"/>
      <c r="N6" s="333"/>
      <c r="O6" s="334"/>
    </row>
    <row r="7" spans="1:15" ht="20.25" thickTop="1" thickBot="1" x14ac:dyDescent="0.35">
      <c r="A7" s="159" t="s">
        <v>136</v>
      </c>
      <c r="B7" s="335">
        <v>455000</v>
      </c>
      <c r="C7" s="336"/>
      <c r="D7" s="336"/>
      <c r="E7" s="337"/>
      <c r="G7" s="158" t="s">
        <v>135</v>
      </c>
      <c r="H7" s="156">
        <v>100000</v>
      </c>
      <c r="I7" s="155" t="s">
        <v>133</v>
      </c>
      <c r="J7" s="154">
        <v>12</v>
      </c>
      <c r="L7" s="157" t="s">
        <v>134</v>
      </c>
      <c r="M7" s="156">
        <v>200000</v>
      </c>
      <c r="N7" s="155" t="s">
        <v>133</v>
      </c>
      <c r="O7" s="154">
        <v>6</v>
      </c>
    </row>
    <row r="8" spans="1:15" ht="20.25" thickTop="1" thickBot="1" x14ac:dyDescent="0.35">
      <c r="A8" s="153"/>
      <c r="B8" s="151" t="s">
        <v>132</v>
      </c>
      <c r="C8" s="152">
        <v>2.3E-2</v>
      </c>
      <c r="D8" s="151" t="s">
        <v>117</v>
      </c>
      <c r="E8" s="150">
        <v>84</v>
      </c>
      <c r="G8" s="149" t="s">
        <v>130</v>
      </c>
      <c r="H8" s="148">
        <f>H7/2</f>
        <v>50000</v>
      </c>
      <c r="I8" s="147" t="s">
        <v>131</v>
      </c>
      <c r="J8" s="146">
        <f>J7*12+1</f>
        <v>145</v>
      </c>
      <c r="L8" s="149" t="s">
        <v>130</v>
      </c>
      <c r="M8" s="148">
        <v>200000</v>
      </c>
      <c r="N8" s="147" t="s">
        <v>117</v>
      </c>
      <c r="O8" s="146">
        <f>O7*12-1</f>
        <v>71</v>
      </c>
    </row>
    <row r="9" spans="1:15" ht="15.75" thickBot="1" x14ac:dyDescent="0.3">
      <c r="A9" s="338"/>
      <c r="B9" s="338"/>
      <c r="C9" s="338"/>
      <c r="D9" s="338"/>
      <c r="E9" s="338"/>
      <c r="G9" s="340" t="s">
        <v>129</v>
      </c>
      <c r="H9" s="341"/>
      <c r="I9" s="342">
        <v>0.122</v>
      </c>
      <c r="J9" s="343"/>
      <c r="L9" s="340" t="s">
        <v>129</v>
      </c>
      <c r="M9" s="341"/>
      <c r="N9" s="342">
        <v>0.122</v>
      </c>
      <c r="O9" s="343"/>
    </row>
    <row r="10" spans="1:15" ht="21.75" customHeight="1" thickTop="1" thickBot="1" x14ac:dyDescent="0.4">
      <c r="A10" s="344" t="s">
        <v>128</v>
      </c>
      <c r="B10" s="345"/>
      <c r="C10" s="345"/>
      <c r="D10" s="345"/>
      <c r="E10" s="346"/>
      <c r="G10" s="145"/>
      <c r="H10" s="145"/>
      <c r="I10" s="145"/>
      <c r="J10" s="145"/>
      <c r="L10" s="145"/>
      <c r="M10" s="145"/>
      <c r="N10" s="145"/>
      <c r="O10" s="145"/>
    </row>
    <row r="11" spans="1:15" ht="15.75" thickTop="1" x14ac:dyDescent="0.25">
      <c r="A11" s="329"/>
      <c r="B11" s="330"/>
      <c r="C11" s="330"/>
      <c r="D11" s="330"/>
      <c r="E11" s="331"/>
      <c r="I11" s="184" t="s">
        <v>127</v>
      </c>
      <c r="J11" s="184"/>
      <c r="N11" s="184" t="s">
        <v>127</v>
      </c>
      <c r="O11" s="184"/>
    </row>
    <row r="12" spans="1:15" x14ac:dyDescent="0.25">
      <c r="A12" s="251"/>
      <c r="B12" s="252"/>
      <c r="C12" s="252"/>
      <c r="D12" s="252"/>
      <c r="E12" s="253"/>
      <c r="I12" s="184"/>
      <c r="J12" s="184"/>
      <c r="N12" s="184"/>
      <c r="O12" s="184"/>
    </row>
    <row r="13" spans="1:15" x14ac:dyDescent="0.25">
      <c r="A13" s="251"/>
      <c r="B13" s="252"/>
      <c r="C13" s="252"/>
      <c r="D13" s="252"/>
      <c r="E13" s="253"/>
      <c r="I13" s="339">
        <f>(H8*((1+(I9/12))^J8-1)/(I9/12))</f>
        <v>16401677.340769826</v>
      </c>
      <c r="J13" s="339"/>
      <c r="N13" s="339">
        <f>(M8*((1+(N9/12))^O8-1)/(N9/12))</f>
        <v>20669810.652761504</v>
      </c>
      <c r="O13" s="339"/>
    </row>
    <row r="14" spans="1:15" x14ac:dyDescent="0.25">
      <c r="A14" s="251"/>
      <c r="B14" s="252"/>
      <c r="C14" s="252"/>
      <c r="D14" s="252"/>
      <c r="E14" s="253"/>
      <c r="I14" s="339"/>
      <c r="J14" s="339"/>
      <c r="N14" s="339"/>
      <c r="O14" s="339"/>
    </row>
    <row r="15" spans="1:15" x14ac:dyDescent="0.25">
      <c r="A15" s="251"/>
      <c r="B15" s="252"/>
      <c r="C15" s="252"/>
      <c r="D15" s="252"/>
      <c r="E15" s="253"/>
      <c r="L15" s="15"/>
      <c r="M15" s="15"/>
      <c r="N15" s="15"/>
      <c r="O15" s="15"/>
    </row>
    <row r="16" spans="1:15" ht="15.75" thickBot="1" x14ac:dyDescent="0.3">
      <c r="A16" s="332"/>
      <c r="B16" s="333"/>
      <c r="C16" s="333"/>
      <c r="D16" s="333"/>
      <c r="E16" s="334"/>
      <c r="L16" s="354" t="s">
        <v>62</v>
      </c>
      <c r="M16" s="354"/>
      <c r="N16" s="354"/>
      <c r="O16" s="354"/>
    </row>
    <row r="17" spans="1:15" ht="27.75" thickTop="1" thickBot="1" x14ac:dyDescent="0.45">
      <c r="A17" s="327" t="s">
        <v>7</v>
      </c>
      <c r="B17" s="327"/>
      <c r="C17" s="327"/>
      <c r="D17" s="328">
        <f>(B7*(1-(1+C8/12)^-E8))/(C8/12)</f>
        <v>35270825.89177189</v>
      </c>
      <c r="E17" s="328"/>
      <c r="L17" s="354"/>
      <c r="M17" s="354"/>
      <c r="N17" s="354"/>
      <c r="O17" s="354"/>
    </row>
    <row r="18" spans="1:15" ht="26.25" x14ac:dyDescent="0.4">
      <c r="L18" s="355">
        <f>I13+N13+G25</f>
        <v>70706659.889555722</v>
      </c>
      <c r="M18" s="355"/>
      <c r="N18" s="355"/>
      <c r="O18" s="355"/>
    </row>
    <row r="23" spans="1:15" x14ac:dyDescent="0.25">
      <c r="G23" s="338"/>
      <c r="H23" s="338"/>
      <c r="I23" s="338"/>
      <c r="J23" s="338"/>
    </row>
    <row r="24" spans="1:15" x14ac:dyDescent="0.25">
      <c r="G24" s="184" t="s">
        <v>127</v>
      </c>
      <c r="H24" s="184"/>
    </row>
    <row r="25" spans="1:15" ht="15.75" x14ac:dyDescent="0.25">
      <c r="G25" s="353">
        <f>I13*(1+(I9/12))^O8</f>
        <v>33635171.896024384</v>
      </c>
      <c r="H25" s="353"/>
    </row>
  </sheetData>
  <mergeCells count="22">
    <mergeCell ref="G9:H9"/>
    <mergeCell ref="A1:O2"/>
    <mergeCell ref="G23:J23"/>
    <mergeCell ref="G24:H24"/>
    <mergeCell ref="G25:H25"/>
    <mergeCell ref="L16:O17"/>
    <mergeCell ref="L18:O18"/>
    <mergeCell ref="G5:O6"/>
    <mergeCell ref="A5:E6"/>
    <mergeCell ref="I9:J9"/>
    <mergeCell ref="I11:J12"/>
    <mergeCell ref="I13:J14"/>
    <mergeCell ref="L9:M9"/>
    <mergeCell ref="N9:O9"/>
    <mergeCell ref="N11:O12"/>
    <mergeCell ref="N13:O14"/>
    <mergeCell ref="A17:C17"/>
    <mergeCell ref="D17:E17"/>
    <mergeCell ref="A11:E16"/>
    <mergeCell ref="B7:E7"/>
    <mergeCell ref="A9:E9"/>
    <mergeCell ref="A10:E10"/>
  </mergeCells>
  <pageMargins left="0.7" right="0.7" top="0.75" bottom="0.75" header="0.3" footer="0.3"/>
  <pageSetup paperSize="9" orientation="portrait" horizontalDpi="0" verticalDpi="0"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4"/>
  <sheetViews>
    <sheetView tabSelected="1" workbookViewId="0">
      <selection activeCell="K12" sqref="K12"/>
    </sheetView>
  </sheetViews>
  <sheetFormatPr baseColWidth="10" defaultRowHeight="15" x14ac:dyDescent="0.25"/>
  <cols>
    <col min="1" max="1" width="37" style="102" customWidth="1"/>
    <col min="2" max="2" width="12.85546875" style="102" customWidth="1"/>
    <col min="4" max="4" width="14" customWidth="1"/>
    <col min="5" max="5" width="9.85546875" customWidth="1"/>
    <col min="6" max="6" width="23" customWidth="1"/>
    <col min="7" max="7" width="20.28515625" customWidth="1"/>
    <col min="8" max="8" width="11.7109375" customWidth="1"/>
  </cols>
  <sheetData>
    <row r="1" spans="1:8" ht="15.75" thickTop="1" x14ac:dyDescent="0.25">
      <c r="A1" s="347" t="s">
        <v>146</v>
      </c>
      <c r="B1" s="348"/>
      <c r="C1" s="348"/>
      <c r="D1" s="348"/>
      <c r="E1" s="348"/>
      <c r="F1" s="348"/>
      <c r="G1" s="348"/>
      <c r="H1" s="349"/>
    </row>
    <row r="2" spans="1:8" ht="15.75" thickBot="1" x14ac:dyDescent="0.3">
      <c r="A2" s="350"/>
      <c r="B2" s="351"/>
      <c r="C2" s="351"/>
      <c r="D2" s="351"/>
      <c r="E2" s="351"/>
      <c r="F2" s="351"/>
      <c r="G2" s="351"/>
      <c r="H2" s="352"/>
    </row>
    <row r="3" spans="1:8" ht="16.5" thickTop="1" thickBot="1" x14ac:dyDescent="0.3"/>
    <row r="4" spans="1:8" ht="20.25" thickTop="1" thickBot="1" x14ac:dyDescent="0.35">
      <c r="A4" s="171" t="s">
        <v>145</v>
      </c>
      <c r="B4" s="170">
        <v>7500000</v>
      </c>
      <c r="D4" s="169" t="s">
        <v>92</v>
      </c>
      <c r="E4" s="168" t="s">
        <v>144</v>
      </c>
      <c r="F4" s="168" t="s">
        <v>143</v>
      </c>
      <c r="G4" s="168" t="s">
        <v>142</v>
      </c>
      <c r="H4" s="167" t="s">
        <v>141</v>
      </c>
    </row>
    <row r="5" spans="1:8" ht="15.75" thickBot="1" x14ac:dyDescent="0.3">
      <c r="A5" s="103" t="s">
        <v>140</v>
      </c>
      <c r="B5" s="166">
        <v>4</v>
      </c>
      <c r="D5" s="164">
        <v>0</v>
      </c>
      <c r="E5" s="44"/>
      <c r="F5" s="44"/>
      <c r="G5" s="44"/>
      <c r="H5" s="115">
        <f>B4</f>
        <v>7500000</v>
      </c>
    </row>
    <row r="6" spans="1:8" ht="15.75" thickBot="1" x14ac:dyDescent="0.3">
      <c r="A6" s="103" t="s">
        <v>139</v>
      </c>
      <c r="B6" s="166">
        <f>B5*12</f>
        <v>48</v>
      </c>
      <c r="D6" s="164">
        <v>1</v>
      </c>
      <c r="E6" s="114">
        <f>A15</f>
        <v>197503.76573945809</v>
      </c>
      <c r="F6" s="114">
        <f t="shared" ref="F6:F53" si="0">H5*(B$7/12)</f>
        <v>75000</v>
      </c>
      <c r="G6" s="114">
        <f t="shared" ref="G6:G53" si="1">E6-F6</f>
        <v>122503.76573945809</v>
      </c>
      <c r="H6" s="115">
        <f t="shared" ref="H6:H53" si="2">H5-G6</f>
        <v>7377496.2342605423</v>
      </c>
    </row>
    <row r="7" spans="1:8" ht="15.75" thickBot="1" x14ac:dyDescent="0.3">
      <c r="A7" s="103" t="s">
        <v>138</v>
      </c>
      <c r="B7" s="165">
        <v>0.12</v>
      </c>
      <c r="D7" s="164">
        <v>2</v>
      </c>
      <c r="E7" s="114">
        <f t="shared" ref="E7:E53" si="3">E6</f>
        <v>197503.76573945809</v>
      </c>
      <c r="F7" s="114">
        <f t="shared" si="0"/>
        <v>73774.962342605431</v>
      </c>
      <c r="G7" s="114">
        <f t="shared" si="1"/>
        <v>123728.80339685266</v>
      </c>
      <c r="H7" s="115">
        <f t="shared" si="2"/>
        <v>7253767.4308636896</v>
      </c>
    </row>
    <row r="8" spans="1:8" ht="15.75" thickBot="1" x14ac:dyDescent="0.3">
      <c r="A8" s="360"/>
      <c r="B8" s="361"/>
      <c r="D8" s="164">
        <v>3</v>
      </c>
      <c r="E8" s="114">
        <f t="shared" si="3"/>
        <v>197503.76573945809</v>
      </c>
      <c r="F8" s="114">
        <f t="shared" si="0"/>
        <v>72537.674308636895</v>
      </c>
      <c r="G8" s="114">
        <f t="shared" si="1"/>
        <v>124966.09143082119</v>
      </c>
      <c r="H8" s="115">
        <f t="shared" si="2"/>
        <v>7128801.3394328682</v>
      </c>
    </row>
    <row r="9" spans="1:8" ht="15.75" thickBot="1" x14ac:dyDescent="0.3">
      <c r="A9" s="251"/>
      <c r="B9" s="253"/>
      <c r="D9" s="164">
        <v>4</v>
      </c>
      <c r="E9" s="114">
        <f t="shared" si="3"/>
        <v>197503.76573945809</v>
      </c>
      <c r="F9" s="114">
        <f t="shared" si="0"/>
        <v>71288.013394328678</v>
      </c>
      <c r="G9" s="114">
        <f t="shared" si="1"/>
        <v>126215.75234512941</v>
      </c>
      <c r="H9" s="115">
        <f t="shared" si="2"/>
        <v>7002585.5870877383</v>
      </c>
    </row>
    <row r="10" spans="1:8" ht="15.75" thickBot="1" x14ac:dyDescent="0.3">
      <c r="A10" s="251"/>
      <c r="B10" s="253"/>
      <c r="D10" s="164">
        <v>5</v>
      </c>
      <c r="E10" s="114">
        <f t="shared" si="3"/>
        <v>197503.76573945809</v>
      </c>
      <c r="F10" s="114">
        <f t="shared" si="0"/>
        <v>70025.855870877378</v>
      </c>
      <c r="G10" s="114">
        <f t="shared" si="1"/>
        <v>127477.90986858071</v>
      </c>
      <c r="H10" s="115">
        <f t="shared" si="2"/>
        <v>6875107.677219158</v>
      </c>
    </row>
    <row r="11" spans="1:8" ht="15.75" thickBot="1" x14ac:dyDescent="0.3">
      <c r="A11" s="251"/>
      <c r="B11" s="253"/>
      <c r="D11" s="164">
        <v>6</v>
      </c>
      <c r="E11" s="114">
        <f t="shared" si="3"/>
        <v>197503.76573945809</v>
      </c>
      <c r="F11" s="114">
        <f t="shared" si="0"/>
        <v>68751.076772191576</v>
      </c>
      <c r="G11" s="114">
        <f t="shared" si="1"/>
        <v>128752.68896726651</v>
      </c>
      <c r="H11" s="115">
        <f t="shared" si="2"/>
        <v>6746354.9882518919</v>
      </c>
    </row>
    <row r="12" spans="1:8" ht="15.75" thickBot="1" x14ac:dyDescent="0.3">
      <c r="A12" s="251"/>
      <c r="B12" s="253"/>
      <c r="D12" s="164">
        <v>7</v>
      </c>
      <c r="E12" s="114">
        <f t="shared" si="3"/>
        <v>197503.76573945809</v>
      </c>
      <c r="F12" s="114">
        <f t="shared" si="0"/>
        <v>67463.549882518913</v>
      </c>
      <c r="G12" s="114">
        <f t="shared" si="1"/>
        <v>130040.21585693918</v>
      </c>
      <c r="H12" s="115">
        <f t="shared" si="2"/>
        <v>6616314.7723949524</v>
      </c>
    </row>
    <row r="13" spans="1:8" ht="15.75" thickBot="1" x14ac:dyDescent="0.3">
      <c r="A13" s="362"/>
      <c r="B13" s="363"/>
      <c r="D13" s="164">
        <v>8</v>
      </c>
      <c r="E13" s="114">
        <f t="shared" si="3"/>
        <v>197503.76573945809</v>
      </c>
      <c r="F13" s="114">
        <f t="shared" si="0"/>
        <v>66163.147723949529</v>
      </c>
      <c r="G13" s="114">
        <f t="shared" si="1"/>
        <v>131340.61801550857</v>
      </c>
      <c r="H13" s="115">
        <f t="shared" si="2"/>
        <v>6484974.1543794442</v>
      </c>
    </row>
    <row r="14" spans="1:8" ht="18" customHeight="1" thickBot="1" x14ac:dyDescent="0.4">
      <c r="A14" s="356" t="s">
        <v>136</v>
      </c>
      <c r="B14" s="357"/>
      <c r="D14" s="164">
        <v>9</v>
      </c>
      <c r="E14" s="114">
        <f t="shared" si="3"/>
        <v>197503.76573945809</v>
      </c>
      <c r="F14" s="114">
        <f t="shared" si="0"/>
        <v>64849.741543794444</v>
      </c>
      <c r="G14" s="114">
        <f t="shared" si="1"/>
        <v>132654.02419566363</v>
      </c>
      <c r="H14" s="115">
        <f t="shared" si="2"/>
        <v>6352320.1301837806</v>
      </c>
    </row>
    <row r="15" spans="1:8" ht="19.5" thickBot="1" x14ac:dyDescent="0.35">
      <c r="A15" s="358">
        <f>B4*(B7/12)/(1-(1+(B7/12))^-B6)</f>
        <v>197503.76573945809</v>
      </c>
      <c r="B15" s="359"/>
      <c r="D15" s="164">
        <v>10</v>
      </c>
      <c r="E15" s="114">
        <f t="shared" si="3"/>
        <v>197503.76573945809</v>
      </c>
      <c r="F15" s="114">
        <f t="shared" si="0"/>
        <v>63523.201301837806</v>
      </c>
      <c r="G15" s="114">
        <f t="shared" si="1"/>
        <v>133980.56443762028</v>
      </c>
      <c r="H15" s="115">
        <f t="shared" si="2"/>
        <v>6218339.5657461602</v>
      </c>
    </row>
    <row r="16" spans="1:8" ht="16.5" thickTop="1" thickBot="1" x14ac:dyDescent="0.3">
      <c r="D16" s="164">
        <v>11</v>
      </c>
      <c r="E16" s="114">
        <f t="shared" si="3"/>
        <v>197503.76573945809</v>
      </c>
      <c r="F16" s="114">
        <f t="shared" si="0"/>
        <v>62183.395657461602</v>
      </c>
      <c r="G16" s="114">
        <f t="shared" si="1"/>
        <v>135320.37008199649</v>
      </c>
      <c r="H16" s="115">
        <f t="shared" si="2"/>
        <v>6083019.1956641637</v>
      </c>
    </row>
    <row r="17" spans="4:8" ht="15.75" thickBot="1" x14ac:dyDescent="0.3">
      <c r="D17" s="163">
        <v>12</v>
      </c>
      <c r="E17" s="162">
        <f t="shared" si="3"/>
        <v>197503.76573945809</v>
      </c>
      <c r="F17" s="162">
        <f t="shared" si="0"/>
        <v>60830.19195664164</v>
      </c>
      <c r="G17" s="162">
        <f t="shared" si="1"/>
        <v>136673.57378281644</v>
      </c>
      <c r="H17" s="161">
        <f t="shared" si="2"/>
        <v>5946345.6218813471</v>
      </c>
    </row>
    <row r="18" spans="4:8" ht="16.5" thickTop="1" thickBot="1" x14ac:dyDescent="0.3">
      <c r="D18" s="164">
        <v>13</v>
      </c>
      <c r="E18" s="114">
        <f t="shared" si="3"/>
        <v>197503.76573945809</v>
      </c>
      <c r="F18" s="114">
        <f t="shared" si="0"/>
        <v>59463.456218813473</v>
      </c>
      <c r="G18" s="114">
        <f t="shared" si="1"/>
        <v>138040.3095206446</v>
      </c>
      <c r="H18" s="115">
        <f t="shared" si="2"/>
        <v>5808305.3123607021</v>
      </c>
    </row>
    <row r="19" spans="4:8" ht="15.75" thickBot="1" x14ac:dyDescent="0.3">
      <c r="D19" s="163">
        <v>14</v>
      </c>
      <c r="E19" s="162">
        <f t="shared" si="3"/>
        <v>197503.76573945809</v>
      </c>
      <c r="F19" s="162">
        <f t="shared" si="0"/>
        <v>58083.053123607024</v>
      </c>
      <c r="G19" s="162">
        <f t="shared" si="1"/>
        <v>139420.71261585108</v>
      </c>
      <c r="H19" s="161">
        <f t="shared" si="2"/>
        <v>5668884.5997448508</v>
      </c>
    </row>
    <row r="20" spans="4:8" ht="16.5" thickTop="1" thickBot="1" x14ac:dyDescent="0.3">
      <c r="D20" s="164">
        <v>15</v>
      </c>
      <c r="E20" s="114">
        <f t="shared" si="3"/>
        <v>197503.76573945809</v>
      </c>
      <c r="F20" s="114">
        <f t="shared" si="0"/>
        <v>56688.845997448509</v>
      </c>
      <c r="G20" s="114">
        <f t="shared" si="1"/>
        <v>140814.91974200957</v>
      </c>
      <c r="H20" s="115">
        <f t="shared" si="2"/>
        <v>5528069.6800028412</v>
      </c>
    </row>
    <row r="21" spans="4:8" ht="15.75" thickBot="1" x14ac:dyDescent="0.3">
      <c r="D21" s="163">
        <v>16</v>
      </c>
      <c r="E21" s="162">
        <f t="shared" si="3"/>
        <v>197503.76573945809</v>
      </c>
      <c r="F21" s="162">
        <f t="shared" si="0"/>
        <v>55280.696800028411</v>
      </c>
      <c r="G21" s="162">
        <f t="shared" si="1"/>
        <v>142223.06893942968</v>
      </c>
      <c r="H21" s="161">
        <f t="shared" si="2"/>
        <v>5385846.6110634115</v>
      </c>
    </row>
    <row r="22" spans="4:8" ht="16.5" thickTop="1" thickBot="1" x14ac:dyDescent="0.3">
      <c r="D22" s="164">
        <v>17</v>
      </c>
      <c r="E22" s="114">
        <f t="shared" si="3"/>
        <v>197503.76573945809</v>
      </c>
      <c r="F22" s="114">
        <f t="shared" si="0"/>
        <v>53858.466110634115</v>
      </c>
      <c r="G22" s="114">
        <f t="shared" si="1"/>
        <v>143645.29962882397</v>
      </c>
      <c r="H22" s="115">
        <f t="shared" si="2"/>
        <v>5242201.3114345875</v>
      </c>
    </row>
    <row r="23" spans="4:8" ht="15.75" thickBot="1" x14ac:dyDescent="0.3">
      <c r="D23" s="163">
        <v>18</v>
      </c>
      <c r="E23" s="162">
        <f t="shared" si="3"/>
        <v>197503.76573945809</v>
      </c>
      <c r="F23" s="162">
        <f t="shared" si="0"/>
        <v>52422.013114345878</v>
      </c>
      <c r="G23" s="162">
        <f t="shared" si="1"/>
        <v>145081.75262511222</v>
      </c>
      <c r="H23" s="161">
        <f t="shared" si="2"/>
        <v>5097119.558809475</v>
      </c>
    </row>
    <row r="24" spans="4:8" ht="16.5" thickTop="1" thickBot="1" x14ac:dyDescent="0.3">
      <c r="D24" s="164">
        <v>19</v>
      </c>
      <c r="E24" s="114">
        <f t="shared" si="3"/>
        <v>197503.76573945809</v>
      </c>
      <c r="F24" s="114">
        <f t="shared" si="0"/>
        <v>50971.19558809475</v>
      </c>
      <c r="G24" s="114">
        <f t="shared" si="1"/>
        <v>146532.57015136332</v>
      </c>
      <c r="H24" s="115">
        <f t="shared" si="2"/>
        <v>4950586.9886581115</v>
      </c>
    </row>
    <row r="25" spans="4:8" ht="15.75" thickBot="1" x14ac:dyDescent="0.3">
      <c r="D25" s="163">
        <v>20</v>
      </c>
      <c r="E25" s="162">
        <f t="shared" si="3"/>
        <v>197503.76573945809</v>
      </c>
      <c r="F25" s="162">
        <f t="shared" si="0"/>
        <v>49505.869886581117</v>
      </c>
      <c r="G25" s="162">
        <f t="shared" si="1"/>
        <v>147997.89585287697</v>
      </c>
      <c r="H25" s="161">
        <f t="shared" si="2"/>
        <v>4802589.0928052347</v>
      </c>
    </row>
    <row r="26" spans="4:8" ht="16.5" thickTop="1" thickBot="1" x14ac:dyDescent="0.3">
      <c r="D26" s="164">
        <v>21</v>
      </c>
      <c r="E26" s="114">
        <f t="shared" si="3"/>
        <v>197503.76573945809</v>
      </c>
      <c r="F26" s="114">
        <f t="shared" si="0"/>
        <v>48025.890928052351</v>
      </c>
      <c r="G26" s="114">
        <f t="shared" si="1"/>
        <v>149477.87481140572</v>
      </c>
      <c r="H26" s="115">
        <f t="shared" si="2"/>
        <v>4653111.2179938294</v>
      </c>
    </row>
    <row r="27" spans="4:8" ht="15.75" thickBot="1" x14ac:dyDescent="0.3">
      <c r="D27" s="163">
        <v>22</v>
      </c>
      <c r="E27" s="162">
        <f t="shared" si="3"/>
        <v>197503.76573945809</v>
      </c>
      <c r="F27" s="162">
        <f t="shared" si="0"/>
        <v>46531.112179938296</v>
      </c>
      <c r="G27" s="162">
        <f t="shared" si="1"/>
        <v>150972.65355951979</v>
      </c>
      <c r="H27" s="161">
        <f t="shared" si="2"/>
        <v>4502138.5644343095</v>
      </c>
    </row>
    <row r="28" spans="4:8" ht="16.5" thickTop="1" thickBot="1" x14ac:dyDescent="0.3">
      <c r="D28" s="164">
        <v>23</v>
      </c>
      <c r="E28" s="114">
        <f t="shared" si="3"/>
        <v>197503.76573945809</v>
      </c>
      <c r="F28" s="114">
        <f t="shared" si="0"/>
        <v>45021.385644343092</v>
      </c>
      <c r="G28" s="114">
        <f t="shared" si="1"/>
        <v>152482.38009511499</v>
      </c>
      <c r="H28" s="115">
        <f t="shared" si="2"/>
        <v>4349656.1843391946</v>
      </c>
    </row>
    <row r="29" spans="4:8" ht="15.75" thickBot="1" x14ac:dyDescent="0.3">
      <c r="D29" s="163">
        <v>24</v>
      </c>
      <c r="E29" s="162">
        <f t="shared" si="3"/>
        <v>197503.76573945809</v>
      </c>
      <c r="F29" s="162">
        <f t="shared" si="0"/>
        <v>43496.561843391944</v>
      </c>
      <c r="G29" s="162">
        <f t="shared" si="1"/>
        <v>154007.20389606614</v>
      </c>
      <c r="H29" s="161">
        <f t="shared" si="2"/>
        <v>4195648.9804431284</v>
      </c>
    </row>
    <row r="30" spans="4:8" ht="16.5" thickTop="1" thickBot="1" x14ac:dyDescent="0.3">
      <c r="D30" s="164">
        <v>25</v>
      </c>
      <c r="E30" s="114">
        <f t="shared" si="3"/>
        <v>197503.76573945809</v>
      </c>
      <c r="F30" s="114">
        <f t="shared" si="0"/>
        <v>41956.489804431287</v>
      </c>
      <c r="G30" s="114">
        <f t="shared" si="1"/>
        <v>155547.27593502682</v>
      </c>
      <c r="H30" s="115">
        <f t="shared" si="2"/>
        <v>4040101.7045081016</v>
      </c>
    </row>
    <row r="31" spans="4:8" ht="15.75" thickBot="1" x14ac:dyDescent="0.3">
      <c r="D31" s="163">
        <v>26</v>
      </c>
      <c r="E31" s="162">
        <f t="shared" si="3"/>
        <v>197503.76573945809</v>
      </c>
      <c r="F31" s="162">
        <f t="shared" si="0"/>
        <v>40401.017045081018</v>
      </c>
      <c r="G31" s="162">
        <f t="shared" si="1"/>
        <v>157102.74869437708</v>
      </c>
      <c r="H31" s="161">
        <f t="shared" si="2"/>
        <v>3882998.9558137245</v>
      </c>
    </row>
    <row r="32" spans="4:8" ht="16.5" thickTop="1" thickBot="1" x14ac:dyDescent="0.3">
      <c r="D32" s="164">
        <v>27</v>
      </c>
      <c r="E32" s="114">
        <f t="shared" si="3"/>
        <v>197503.76573945809</v>
      </c>
      <c r="F32" s="114">
        <f t="shared" si="0"/>
        <v>38829.989558137248</v>
      </c>
      <c r="G32" s="114">
        <f t="shared" si="1"/>
        <v>158673.77618132083</v>
      </c>
      <c r="H32" s="115">
        <f t="shared" si="2"/>
        <v>3724325.1796324039</v>
      </c>
    </row>
    <row r="33" spans="4:8" ht="15.75" thickBot="1" x14ac:dyDescent="0.3">
      <c r="D33" s="163">
        <v>28</v>
      </c>
      <c r="E33" s="162">
        <f t="shared" si="3"/>
        <v>197503.76573945809</v>
      </c>
      <c r="F33" s="162">
        <f t="shared" si="0"/>
        <v>37243.251796324039</v>
      </c>
      <c r="G33" s="162">
        <f t="shared" si="1"/>
        <v>160260.51394313405</v>
      </c>
      <c r="H33" s="161">
        <f t="shared" si="2"/>
        <v>3564064.66568927</v>
      </c>
    </row>
    <row r="34" spans="4:8" ht="16.5" thickTop="1" thickBot="1" x14ac:dyDescent="0.3">
      <c r="D34" s="164">
        <v>29</v>
      </c>
      <c r="E34" s="114">
        <f t="shared" si="3"/>
        <v>197503.76573945809</v>
      </c>
      <c r="F34" s="114">
        <f t="shared" si="0"/>
        <v>35640.646656892699</v>
      </c>
      <c r="G34" s="114">
        <f t="shared" si="1"/>
        <v>161863.11908256539</v>
      </c>
      <c r="H34" s="115">
        <f t="shared" si="2"/>
        <v>3402201.5466067046</v>
      </c>
    </row>
    <row r="35" spans="4:8" ht="15.75" thickBot="1" x14ac:dyDescent="0.3">
      <c r="D35" s="163">
        <v>30</v>
      </c>
      <c r="E35" s="162">
        <f t="shared" si="3"/>
        <v>197503.76573945809</v>
      </c>
      <c r="F35" s="162">
        <f t="shared" si="0"/>
        <v>34022.015466067045</v>
      </c>
      <c r="G35" s="162">
        <f t="shared" si="1"/>
        <v>163481.75027339105</v>
      </c>
      <c r="H35" s="161">
        <f t="shared" si="2"/>
        <v>3238719.7963333135</v>
      </c>
    </row>
    <row r="36" spans="4:8" ht="16.5" thickTop="1" thickBot="1" x14ac:dyDescent="0.3">
      <c r="D36" s="164">
        <v>31</v>
      </c>
      <c r="E36" s="114">
        <f t="shared" si="3"/>
        <v>197503.76573945809</v>
      </c>
      <c r="F36" s="114">
        <f t="shared" si="0"/>
        <v>32387.197963333136</v>
      </c>
      <c r="G36" s="114">
        <f t="shared" si="1"/>
        <v>165116.56777612495</v>
      </c>
      <c r="H36" s="115">
        <f t="shared" si="2"/>
        <v>3073603.2285571885</v>
      </c>
    </row>
    <row r="37" spans="4:8" ht="15.75" thickBot="1" x14ac:dyDescent="0.3">
      <c r="D37" s="163">
        <v>32</v>
      </c>
      <c r="E37" s="162">
        <f t="shared" si="3"/>
        <v>197503.76573945809</v>
      </c>
      <c r="F37" s="162">
        <f t="shared" si="0"/>
        <v>30736.032285571884</v>
      </c>
      <c r="G37" s="162">
        <f t="shared" si="1"/>
        <v>166767.73345388621</v>
      </c>
      <c r="H37" s="161">
        <f t="shared" si="2"/>
        <v>2906835.4951033024</v>
      </c>
    </row>
    <row r="38" spans="4:8" ht="16.5" thickTop="1" thickBot="1" x14ac:dyDescent="0.3">
      <c r="D38" s="164">
        <v>33</v>
      </c>
      <c r="E38" s="114">
        <f t="shared" si="3"/>
        <v>197503.76573945809</v>
      </c>
      <c r="F38" s="114">
        <f t="shared" si="0"/>
        <v>29068.354951033023</v>
      </c>
      <c r="G38" s="114">
        <f t="shared" si="1"/>
        <v>168435.41078842507</v>
      </c>
      <c r="H38" s="115">
        <f t="shared" si="2"/>
        <v>2738400.0843148772</v>
      </c>
    </row>
    <row r="39" spans="4:8" ht="15.75" thickBot="1" x14ac:dyDescent="0.3">
      <c r="D39" s="163">
        <v>34</v>
      </c>
      <c r="E39" s="162">
        <f t="shared" si="3"/>
        <v>197503.76573945809</v>
      </c>
      <c r="F39" s="162">
        <f t="shared" si="0"/>
        <v>27384.000843148773</v>
      </c>
      <c r="G39" s="162">
        <f t="shared" si="1"/>
        <v>170119.76489630932</v>
      </c>
      <c r="H39" s="161">
        <f t="shared" si="2"/>
        <v>2568280.3194185677</v>
      </c>
    </row>
    <row r="40" spans="4:8" ht="16.5" thickTop="1" thickBot="1" x14ac:dyDescent="0.3">
      <c r="D40" s="164">
        <v>35</v>
      </c>
      <c r="E40" s="114">
        <f t="shared" si="3"/>
        <v>197503.76573945809</v>
      </c>
      <c r="F40" s="114">
        <f t="shared" si="0"/>
        <v>25682.803194185679</v>
      </c>
      <c r="G40" s="114">
        <f t="shared" si="1"/>
        <v>171820.9625452724</v>
      </c>
      <c r="H40" s="115">
        <f t="shared" si="2"/>
        <v>2396459.3568732953</v>
      </c>
    </row>
    <row r="41" spans="4:8" ht="15.75" thickBot="1" x14ac:dyDescent="0.3">
      <c r="D41" s="163">
        <v>36</v>
      </c>
      <c r="E41" s="162">
        <f t="shared" si="3"/>
        <v>197503.76573945809</v>
      </c>
      <c r="F41" s="162">
        <f t="shared" si="0"/>
        <v>23964.593568732955</v>
      </c>
      <c r="G41" s="162">
        <f t="shared" si="1"/>
        <v>173539.17217072513</v>
      </c>
      <c r="H41" s="161">
        <f t="shared" si="2"/>
        <v>2222920.1847025701</v>
      </c>
    </row>
    <row r="42" spans="4:8" ht="16.5" thickTop="1" thickBot="1" x14ac:dyDescent="0.3">
      <c r="D42" s="164">
        <v>37</v>
      </c>
      <c r="E42" s="114">
        <f t="shared" si="3"/>
        <v>197503.76573945809</v>
      </c>
      <c r="F42" s="114">
        <f t="shared" si="0"/>
        <v>22229.201847025703</v>
      </c>
      <c r="G42" s="114">
        <f t="shared" si="1"/>
        <v>175274.56389243237</v>
      </c>
      <c r="H42" s="115">
        <f t="shared" si="2"/>
        <v>2047645.6208101376</v>
      </c>
    </row>
    <row r="43" spans="4:8" ht="15.75" thickBot="1" x14ac:dyDescent="0.3">
      <c r="D43" s="163">
        <v>38</v>
      </c>
      <c r="E43" s="162">
        <f t="shared" si="3"/>
        <v>197503.76573945809</v>
      </c>
      <c r="F43" s="162">
        <f t="shared" si="0"/>
        <v>20476.456208101376</v>
      </c>
      <c r="G43" s="162">
        <f t="shared" si="1"/>
        <v>177027.3095313567</v>
      </c>
      <c r="H43" s="161">
        <f t="shared" si="2"/>
        <v>1870618.3112787809</v>
      </c>
    </row>
    <row r="44" spans="4:8" ht="16.5" thickTop="1" thickBot="1" x14ac:dyDescent="0.3">
      <c r="D44" s="164">
        <v>39</v>
      </c>
      <c r="E44" s="114">
        <f t="shared" si="3"/>
        <v>197503.76573945809</v>
      </c>
      <c r="F44" s="114">
        <f t="shared" si="0"/>
        <v>18706.18311278781</v>
      </c>
      <c r="G44" s="114">
        <f t="shared" si="1"/>
        <v>178797.58262667028</v>
      </c>
      <c r="H44" s="115">
        <f t="shared" si="2"/>
        <v>1691820.7286521106</v>
      </c>
    </row>
    <row r="45" spans="4:8" ht="15.75" thickBot="1" x14ac:dyDescent="0.3">
      <c r="D45" s="163">
        <v>40</v>
      </c>
      <c r="E45" s="162">
        <f t="shared" si="3"/>
        <v>197503.76573945809</v>
      </c>
      <c r="F45" s="162">
        <f t="shared" si="0"/>
        <v>16918.207286521105</v>
      </c>
      <c r="G45" s="162">
        <f t="shared" si="1"/>
        <v>180585.558452937</v>
      </c>
      <c r="H45" s="161">
        <f t="shared" si="2"/>
        <v>1511235.1701991735</v>
      </c>
    </row>
    <row r="46" spans="4:8" ht="16.5" thickTop="1" thickBot="1" x14ac:dyDescent="0.3">
      <c r="D46" s="164">
        <v>41</v>
      </c>
      <c r="E46" s="114">
        <f t="shared" si="3"/>
        <v>197503.76573945809</v>
      </c>
      <c r="F46" s="114">
        <f t="shared" si="0"/>
        <v>15112.351701991734</v>
      </c>
      <c r="G46" s="114">
        <f t="shared" si="1"/>
        <v>182391.41403746634</v>
      </c>
      <c r="H46" s="115">
        <f t="shared" si="2"/>
        <v>1328843.7561617072</v>
      </c>
    </row>
    <row r="47" spans="4:8" ht="15.75" thickBot="1" x14ac:dyDescent="0.3">
      <c r="D47" s="163">
        <v>42</v>
      </c>
      <c r="E47" s="162">
        <f t="shared" si="3"/>
        <v>197503.76573945809</v>
      </c>
      <c r="F47" s="162">
        <f t="shared" si="0"/>
        <v>13288.437561617073</v>
      </c>
      <c r="G47" s="162">
        <f t="shared" si="1"/>
        <v>184215.32817784103</v>
      </c>
      <c r="H47" s="161">
        <f t="shared" si="2"/>
        <v>1144628.4279838661</v>
      </c>
    </row>
    <row r="48" spans="4:8" ht="16.5" thickTop="1" thickBot="1" x14ac:dyDescent="0.3">
      <c r="D48" s="164">
        <v>43</v>
      </c>
      <c r="E48" s="114">
        <f t="shared" si="3"/>
        <v>197503.76573945809</v>
      </c>
      <c r="F48" s="114">
        <f t="shared" si="0"/>
        <v>11446.284279838661</v>
      </c>
      <c r="G48" s="114">
        <f t="shared" si="1"/>
        <v>186057.48145961942</v>
      </c>
      <c r="H48" s="115">
        <f t="shared" si="2"/>
        <v>958570.9465242466</v>
      </c>
    </row>
    <row r="49" spans="4:8" ht="15.75" thickBot="1" x14ac:dyDescent="0.3">
      <c r="D49" s="163">
        <v>44</v>
      </c>
      <c r="E49" s="162">
        <f t="shared" si="3"/>
        <v>197503.76573945809</v>
      </c>
      <c r="F49" s="162">
        <f t="shared" si="0"/>
        <v>9585.7094652424657</v>
      </c>
      <c r="G49" s="162">
        <f t="shared" si="1"/>
        <v>187918.05627421563</v>
      </c>
      <c r="H49" s="161">
        <f t="shared" si="2"/>
        <v>770652.89025003091</v>
      </c>
    </row>
    <row r="50" spans="4:8" ht="16.5" thickTop="1" thickBot="1" x14ac:dyDescent="0.3">
      <c r="D50" s="164">
        <v>45</v>
      </c>
      <c r="E50" s="114">
        <f t="shared" si="3"/>
        <v>197503.76573945809</v>
      </c>
      <c r="F50" s="114">
        <f t="shared" si="0"/>
        <v>7706.5289025003094</v>
      </c>
      <c r="G50" s="114">
        <f t="shared" si="1"/>
        <v>189797.23683695777</v>
      </c>
      <c r="H50" s="115">
        <f t="shared" si="2"/>
        <v>580855.65341307316</v>
      </c>
    </row>
    <row r="51" spans="4:8" ht="15.75" thickBot="1" x14ac:dyDescent="0.3">
      <c r="D51" s="163">
        <v>46</v>
      </c>
      <c r="E51" s="162">
        <f t="shared" si="3"/>
        <v>197503.76573945809</v>
      </c>
      <c r="F51" s="162">
        <f t="shared" si="0"/>
        <v>5808.556534130732</v>
      </c>
      <c r="G51" s="162">
        <f t="shared" si="1"/>
        <v>191695.20920532735</v>
      </c>
      <c r="H51" s="161">
        <f t="shared" si="2"/>
        <v>389160.44420774584</v>
      </c>
    </row>
    <row r="52" spans="4:8" ht="16.5" thickTop="1" thickBot="1" x14ac:dyDescent="0.3">
      <c r="D52" s="164">
        <v>47</v>
      </c>
      <c r="E52" s="114">
        <f t="shared" si="3"/>
        <v>197503.76573945809</v>
      </c>
      <c r="F52" s="114">
        <f t="shared" si="0"/>
        <v>3891.6044420774583</v>
      </c>
      <c r="G52" s="114">
        <f t="shared" si="1"/>
        <v>193612.16129738063</v>
      </c>
      <c r="H52" s="115">
        <f t="shared" si="2"/>
        <v>195548.2829103652</v>
      </c>
    </row>
    <row r="53" spans="4:8" ht="15.75" thickBot="1" x14ac:dyDescent="0.3">
      <c r="D53" s="163">
        <v>48</v>
      </c>
      <c r="E53" s="162">
        <f t="shared" si="3"/>
        <v>197503.76573945809</v>
      </c>
      <c r="F53" s="162">
        <f t="shared" si="0"/>
        <v>1955.482829103652</v>
      </c>
      <c r="G53" s="162">
        <f t="shared" si="1"/>
        <v>195548.28291035444</v>
      </c>
      <c r="H53" s="161">
        <f t="shared" si="2"/>
        <v>1.076841726899147E-8</v>
      </c>
    </row>
    <row r="54" spans="4:8" ht="15.75" thickTop="1" x14ac:dyDescent="0.25"/>
  </sheetData>
  <mergeCells count="4">
    <mergeCell ref="A14:B14"/>
    <mergeCell ref="A15:B15"/>
    <mergeCell ref="A8:B13"/>
    <mergeCell ref="A1:H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Actividas 1,2</vt:lpstr>
      <vt:lpstr>actividad 1,3</vt:lpstr>
      <vt:lpstr>Actividad 2,2</vt:lpstr>
      <vt:lpstr>actividad 2,3</vt:lpstr>
      <vt:lpstr>Atividad 3,2</vt:lpstr>
      <vt:lpstr>Actividad 3,3</vt:lpstr>
      <vt:lpstr>Actividad 4,2</vt:lpstr>
      <vt:lpstr>Actividad 4,3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Windows</dc:creator>
  <cp:lastModifiedBy>MAURICIO ACOSTA</cp:lastModifiedBy>
  <cp:lastPrinted>2018-05-14T21:50:02Z</cp:lastPrinted>
  <dcterms:created xsi:type="dcterms:W3CDTF">2018-05-14T20:23:42Z</dcterms:created>
  <dcterms:modified xsi:type="dcterms:W3CDTF">2018-07-15T13:53:31Z</dcterms:modified>
</cp:coreProperties>
</file>