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F:\FUNDACION UNOVERSITARIA SAN MATEO\matematicas aplicadas\"/>
    </mc:Choice>
  </mc:AlternateContent>
  <xr:revisionPtr revIDLastSave="0" documentId="13_ncr:1_{1BE83596-25B3-492A-B4FB-09C6F1067D22}" xr6:coauthVersionLast="34" xr6:coauthVersionMax="34" xr10:uidLastSave="{00000000-0000-0000-0000-000000000000}"/>
  <bookViews>
    <workbookView xWindow="0" yWindow="0" windowWidth="20490" windowHeight="6945" xr2:uid="{5A4DEDA1-94B5-4303-8C0A-23E759B53C28}"/>
  </bookViews>
  <sheets>
    <sheet name="Hoja1" sheetId="1" r:id="rId1"/>
    <sheet name="Hoja2" sheetId="2" r:id="rId2"/>
  </sheets>
  <calcPr calcId="179021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2" i="1" l="1"/>
  <c r="L76" i="1" l="1"/>
  <c r="L73" i="1"/>
  <c r="L74" i="1"/>
  <c r="L75" i="1"/>
  <c r="L68" i="1"/>
  <c r="L69" i="1"/>
  <c r="L70" i="1"/>
  <c r="L71" i="1"/>
  <c r="L72" i="1"/>
  <c r="L65" i="1"/>
  <c r="L66" i="1"/>
  <c r="L67" i="1"/>
  <c r="L60" i="1"/>
  <c r="L61" i="1"/>
  <c r="L62" i="1"/>
  <c r="L63" i="1"/>
  <c r="L64" i="1"/>
  <c r="L55" i="1"/>
  <c r="L56" i="1"/>
  <c r="L57" i="1"/>
  <c r="L58" i="1"/>
  <c r="L59" i="1"/>
  <c r="L54" i="1"/>
  <c r="L53" i="1"/>
  <c r="J69" i="1"/>
  <c r="J70" i="1" s="1"/>
  <c r="J71" i="1" s="1"/>
  <c r="J72" i="1" s="1"/>
  <c r="J73" i="1" s="1"/>
  <c r="J74" i="1" s="1"/>
  <c r="J75" i="1" s="1"/>
  <c r="J76" i="1" s="1"/>
  <c r="J66" i="1"/>
  <c r="J67" i="1" s="1"/>
  <c r="J68" i="1" s="1"/>
  <c r="J55" i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54" i="1"/>
  <c r="I72" i="1"/>
  <c r="I57" i="1"/>
  <c r="I61" i="1"/>
  <c r="I65" i="1"/>
  <c r="I53" i="1"/>
  <c r="H57" i="1"/>
  <c r="H61" i="1"/>
  <c r="H65" i="1"/>
  <c r="H69" i="1"/>
  <c r="G56" i="1"/>
  <c r="G60" i="1"/>
  <c r="G64" i="1"/>
  <c r="G53" i="1"/>
  <c r="D69" i="1"/>
  <c r="D62" i="1"/>
  <c r="C57" i="1"/>
  <c r="F49" i="1"/>
  <c r="I48" i="1"/>
  <c r="H48" i="1"/>
  <c r="G48" i="1"/>
  <c r="F48" i="1"/>
  <c r="E48" i="1"/>
  <c r="D48" i="1"/>
  <c r="C48" i="1"/>
  <c r="I50" i="1"/>
  <c r="H50" i="1"/>
  <c r="G50" i="1"/>
  <c r="F50" i="1"/>
  <c r="E50" i="1"/>
  <c r="D50" i="1"/>
  <c r="C50" i="1"/>
  <c r="B50" i="1"/>
  <c r="B48" i="1"/>
  <c r="E37" i="1"/>
  <c r="C54" i="1" s="1"/>
  <c r="E38" i="1"/>
  <c r="D66" i="1" s="1"/>
  <c r="E39" i="1"/>
  <c r="E54" i="1" s="1"/>
  <c r="E40" i="1"/>
  <c r="F55" i="1" s="1"/>
  <c r="E41" i="1"/>
  <c r="G57" i="1" s="1"/>
  <c r="E42" i="1"/>
  <c r="H54" i="1" s="1"/>
  <c r="E43" i="1"/>
  <c r="I69" i="1" s="1"/>
  <c r="E36" i="1"/>
  <c r="B54" i="1" s="1"/>
  <c r="C30" i="1"/>
  <c r="I23" i="1"/>
  <c r="H29" i="1"/>
  <c r="I29" i="1" s="1"/>
  <c r="H25" i="1"/>
  <c r="I25" i="1" s="1"/>
  <c r="H24" i="1"/>
  <c r="I24" i="1" s="1"/>
  <c r="H23" i="1"/>
  <c r="G23" i="1"/>
  <c r="C49" i="1" s="1"/>
  <c r="G24" i="1"/>
  <c r="D49" i="1" s="1"/>
  <c r="G25" i="1"/>
  <c r="E49" i="1" s="1"/>
  <c r="G26" i="1"/>
  <c r="H26" i="1" s="1"/>
  <c r="I26" i="1" s="1"/>
  <c r="G27" i="1"/>
  <c r="H27" i="1" s="1"/>
  <c r="I27" i="1" s="1"/>
  <c r="G28" i="1"/>
  <c r="H28" i="1" s="1"/>
  <c r="I28" i="1" s="1"/>
  <c r="G29" i="1"/>
  <c r="I49" i="1" s="1"/>
  <c r="G22" i="1"/>
  <c r="B49" i="1" s="1"/>
  <c r="H30" i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B61" i="1" l="1"/>
  <c r="F58" i="1"/>
  <c r="I22" i="1"/>
  <c r="I30" i="1" s="1"/>
  <c r="G49" i="1"/>
  <c r="B64" i="1"/>
  <c r="B60" i="1"/>
  <c r="B56" i="1"/>
  <c r="C56" i="1"/>
  <c r="D58" i="1"/>
  <c r="D65" i="1"/>
  <c r="H53" i="1"/>
  <c r="F61" i="1"/>
  <c r="F57" i="1"/>
  <c r="G67" i="1"/>
  <c r="G63" i="1"/>
  <c r="G59" i="1"/>
  <c r="G55" i="1"/>
  <c r="H68" i="1"/>
  <c r="H64" i="1"/>
  <c r="H60" i="1"/>
  <c r="H56" i="1"/>
  <c r="I68" i="1"/>
  <c r="I64" i="1"/>
  <c r="I60" i="1"/>
  <c r="I56" i="1"/>
  <c r="I77" i="1" s="1"/>
  <c r="I71" i="1"/>
  <c r="B53" i="1"/>
  <c r="B57" i="1"/>
  <c r="F62" i="1"/>
  <c r="F54" i="1"/>
  <c r="H49" i="1"/>
  <c r="B63" i="1"/>
  <c r="B59" i="1"/>
  <c r="B55" i="1"/>
  <c r="C53" i="1"/>
  <c r="C77" i="1" s="1"/>
  <c r="C55" i="1"/>
  <c r="D54" i="1"/>
  <c r="E53" i="1"/>
  <c r="E55" i="1"/>
  <c r="F60" i="1"/>
  <c r="F56" i="1"/>
  <c r="G66" i="1"/>
  <c r="G62" i="1"/>
  <c r="G58" i="1"/>
  <c r="G54" i="1"/>
  <c r="G77" i="1" s="1"/>
  <c r="H67" i="1"/>
  <c r="H63" i="1"/>
  <c r="H59" i="1"/>
  <c r="H55" i="1"/>
  <c r="H77" i="1" s="1"/>
  <c r="I67" i="1"/>
  <c r="I63" i="1"/>
  <c r="I59" i="1"/>
  <c r="I55" i="1"/>
  <c r="I70" i="1"/>
  <c r="B62" i="1"/>
  <c r="B58" i="1"/>
  <c r="C58" i="1"/>
  <c r="D73" i="1"/>
  <c r="F53" i="1"/>
  <c r="F59" i="1"/>
  <c r="G65" i="1"/>
  <c r="G61" i="1"/>
  <c r="H70" i="1"/>
  <c r="H66" i="1"/>
  <c r="H62" i="1"/>
  <c r="H58" i="1"/>
  <c r="I66" i="1"/>
  <c r="I62" i="1"/>
  <c r="I58" i="1"/>
  <c r="I54" i="1"/>
  <c r="D53" i="1"/>
  <c r="D61" i="1"/>
  <c r="D57" i="1"/>
  <c r="D76" i="1"/>
  <c r="D72" i="1"/>
  <c r="D68" i="1"/>
  <c r="D64" i="1"/>
  <c r="D60" i="1"/>
  <c r="D56" i="1"/>
  <c r="D75" i="1"/>
  <c r="D71" i="1"/>
  <c r="D67" i="1"/>
  <c r="D63" i="1"/>
  <c r="D59" i="1"/>
  <c r="D55" i="1"/>
  <c r="D74" i="1"/>
  <c r="D70" i="1"/>
  <c r="E77" i="1" l="1"/>
  <c r="F77" i="1"/>
  <c r="B77" i="1"/>
  <c r="D77" i="1"/>
  <c r="J53" i="1"/>
</calcChain>
</file>

<file path=xl/sharedStrings.xml><?xml version="1.0" encoding="utf-8"?>
<sst xmlns="http://schemas.openxmlformats.org/spreadsheetml/2006/main" count="56" uniqueCount="45">
  <si>
    <t>ASOCIADO</t>
  </si>
  <si>
    <t>TIEMPO</t>
  </si>
  <si>
    <t>Acevedo Diego</t>
  </si>
  <si>
    <t>Buitrago Claudia</t>
  </si>
  <si>
    <t>Casas Javier</t>
  </si>
  <si>
    <t>Gomez Esperanza</t>
  </si>
  <si>
    <t>Vega Jose Maria</t>
  </si>
  <si>
    <t>Tinjaca Nelson</t>
  </si>
  <si>
    <t>Zarate Yuliet</t>
  </si>
  <si>
    <t>Zuluaga Tomas</t>
  </si>
  <si>
    <t>6 meses</t>
  </si>
  <si>
    <t>1 año</t>
  </si>
  <si>
    <t>2 años</t>
  </si>
  <si>
    <t>3 meses</t>
  </si>
  <si>
    <t>10 meses</t>
  </si>
  <si>
    <t>15 meses</t>
  </si>
  <si>
    <t>18 meses</t>
  </si>
  <si>
    <t>20 meses</t>
  </si>
  <si>
    <t>meses</t>
  </si>
  <si>
    <t>interes compuesto anual</t>
  </si>
  <si>
    <t>monto</t>
  </si>
  <si>
    <t>ganancia</t>
  </si>
  <si>
    <t xml:space="preserve">PRESTAMO </t>
  </si>
  <si>
    <t>total del capital</t>
  </si>
  <si>
    <t>total del monto</t>
  </si>
  <si>
    <t>imteres mensual</t>
  </si>
  <si>
    <t>TIEMPO EN MESES</t>
  </si>
  <si>
    <t>MONTO APAGAR</t>
  </si>
  <si>
    <t>CUOTA MENSUAL</t>
  </si>
  <si>
    <t>ACEVEBO DIEGO</t>
  </si>
  <si>
    <t>BUITRAGO CLAUDIA</t>
  </si>
  <si>
    <t>CASAS JAVIER</t>
  </si>
  <si>
    <t>GOMEZ ESPERANZA</t>
  </si>
  <si>
    <t>VEGA JOSE MARIA</t>
  </si>
  <si>
    <t>TINJACA NELSON</t>
  </si>
  <si>
    <t>ZARATE YULIET</t>
  </si>
  <si>
    <t>ZULUAGA TOMAS</t>
  </si>
  <si>
    <t>CAPITAL</t>
  </si>
  <si>
    <t>TASA DE INTERES</t>
  </si>
  <si>
    <t>NUMERO DE MESES</t>
  </si>
  <si>
    <t>NUMERO DE CUOTAS</t>
  </si>
  <si>
    <t>TOTAL MONTO</t>
  </si>
  <si>
    <t xml:space="preserve">DESCUENTO </t>
  </si>
  <si>
    <t xml:space="preserve"> RECUPERADO</t>
  </si>
  <si>
    <t>RECOLECTADO CAPITAL MES A 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</si>
</sst>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2" formatCode="_-&quot;$&quot;\ * #,##0_-;\-&quot;$&quot;\ * #,##0_-;_-&quot;$&quot;\ * &quot;-&quot;_-;_-@_-"/>
    <numFmt numFmtId="41" formatCode="_-* #,##0_-;\-* #,##0_-;_-* &quot;-&quot;_-;_-@_-"/>
    <numFmt numFmtId="44" formatCode="_-&quot;$&quot;\ * #,##0.00_-;\-&quot;$&quot;\ * #,##0.00_-;_-&quot;$&quot;\ * &quot;-&quot;??_-;_-@_-"/>
    <numFmt numFmtId="164" formatCode="_-&quot;$&quot;\ * #,##0.00_-;\-&quot;$&quot;\ * #,##0.00_-;_-&quot;$&quot;\ * &quot;-&quot;_-;_-@_-"/>
    <numFmt numFmtId="165" formatCode="_-* #,##0.0000000_-;\-* #,##0.0000000_-;_-* &quot;-&quot;_-;_-@_-"/>
    <numFmt numFmtId="166" formatCode="0.000"/>
    <numFmt numFmtId="167" formatCode="_-&quot;$&quot;\ * #,##0.000_-;\-&quot;$&quot;\ * #,##0.000_-;_-&quot;$&quot;\ * &quot;-&quot;_-;_-@_-"/>
    <numFmt numFmtId="168" formatCode="0.0000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1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6">
    <xf numFmtId="0" fontId="0" fillId="0" borderId="0" xfId="0"/>
    <xf numFmtId="42" fontId="0" fillId="0" borderId="0" xfId="2" applyFont="1"/>
    <xf numFmtId="41" fontId="0" fillId="0" borderId="0" xfId="1" applyFont="1"/>
    <xf numFmtId="0" fontId="0" fillId="0" borderId="2" xfId="0" applyBorder="1"/>
    <xf numFmtId="42" fontId="0" fillId="0" borderId="3" xfId="2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42" fontId="0" fillId="0" borderId="1" xfId="2" applyFont="1" applyBorder="1"/>
    <xf numFmtId="0" fontId="0" fillId="0" borderId="1" xfId="0" applyBorder="1"/>
    <xf numFmtId="10" fontId="0" fillId="0" borderId="1" xfId="0" applyNumberFormat="1" applyBorder="1"/>
    <xf numFmtId="164" fontId="0" fillId="0" borderId="1" xfId="2" applyNumberFormat="1" applyFont="1" applyBorder="1"/>
    <xf numFmtId="44" fontId="0" fillId="0" borderId="6" xfId="0" applyNumberFormat="1" applyBorder="1"/>
    <xf numFmtId="0" fontId="0" fillId="0" borderId="7" xfId="0" applyBorder="1"/>
    <xf numFmtId="42" fontId="0" fillId="0" borderId="8" xfId="2" applyFont="1" applyBorder="1"/>
    <xf numFmtId="0" fontId="0" fillId="0" borderId="8" xfId="0" applyBorder="1"/>
    <xf numFmtId="0" fontId="0" fillId="0" borderId="9" xfId="0" applyBorder="1"/>
    <xf numFmtId="0" fontId="2" fillId="0" borderId="11" xfId="0" applyFont="1" applyBorder="1"/>
    <xf numFmtId="42" fontId="2" fillId="0" borderId="12" xfId="2" applyFont="1" applyBorder="1"/>
    <xf numFmtId="164" fontId="0" fillId="0" borderId="8" xfId="2" applyNumberFormat="1" applyFont="1" applyBorder="1"/>
    <xf numFmtId="164" fontId="2" fillId="0" borderId="12" xfId="0" applyNumberFormat="1" applyFont="1" applyBorder="1"/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42" fontId="0" fillId="0" borderId="3" xfId="2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44" fontId="0" fillId="0" borderId="10" xfId="0" applyNumberFormat="1" applyBorder="1"/>
    <xf numFmtId="0" fontId="0" fillId="2" borderId="5" xfId="0" applyFont="1" applyFill="1" applyBorder="1"/>
    <xf numFmtId="41" fontId="0" fillId="0" borderId="1" xfId="1" applyFont="1" applyBorder="1"/>
    <xf numFmtId="164" fontId="0" fillId="0" borderId="6" xfId="2" applyNumberFormat="1" applyFont="1" applyBorder="1"/>
    <xf numFmtId="0" fontId="0" fillId="0" borderId="5" xfId="0" applyFont="1" applyBorder="1"/>
    <xf numFmtId="0" fontId="0" fillId="0" borderId="7" xfId="0" applyFont="1" applyBorder="1"/>
    <xf numFmtId="41" fontId="0" fillId="0" borderId="8" xfId="1" applyFont="1" applyBorder="1"/>
    <xf numFmtId="164" fontId="0" fillId="0" borderId="9" xfId="2" applyNumberFormat="1" applyFont="1" applyBorder="1"/>
    <xf numFmtId="166" fontId="0" fillId="0" borderId="0" xfId="0" applyNumberFormat="1"/>
    <xf numFmtId="0" fontId="2" fillId="0" borderId="2" xfId="0" applyFont="1" applyBorder="1"/>
    <xf numFmtId="42" fontId="0" fillId="0" borderId="1" xfId="0" applyNumberFormat="1" applyBorder="1"/>
    <xf numFmtId="0" fontId="0" fillId="0" borderId="6" xfId="0" applyBorder="1"/>
    <xf numFmtId="165" fontId="0" fillId="0" borderId="1" xfId="1" applyNumberFormat="1" applyFont="1" applyBorder="1"/>
    <xf numFmtId="41" fontId="0" fillId="0" borderId="5" xfId="1" applyFont="1" applyBorder="1"/>
    <xf numFmtId="41" fontId="0" fillId="0" borderId="6" xfId="1" applyFont="1" applyBorder="1"/>
    <xf numFmtId="167" fontId="0" fillId="0" borderId="1" xfId="2" applyNumberFormat="1" applyFont="1" applyBorder="1"/>
    <xf numFmtId="167" fontId="0" fillId="0" borderId="6" xfId="2" applyNumberFormat="1" applyFont="1" applyBorder="1"/>
    <xf numFmtId="167" fontId="0" fillId="3" borderId="6" xfId="2" applyNumberFormat="1" applyFont="1" applyFill="1" applyBorder="1"/>
    <xf numFmtId="167" fontId="0" fillId="0" borderId="8" xfId="2" applyNumberFormat="1" applyFont="1" applyBorder="1"/>
    <xf numFmtId="167" fontId="0" fillId="0" borderId="9" xfId="2" applyNumberFormat="1" applyFont="1" applyBorder="1"/>
    <xf numFmtId="0" fontId="2" fillId="0" borderId="0" xfId="0" applyFont="1" applyBorder="1"/>
    <xf numFmtId="42" fontId="2" fillId="0" borderId="0" xfId="2" applyFont="1" applyBorder="1"/>
    <xf numFmtId="0" fontId="0" fillId="0" borderId="0" xfId="0" applyBorder="1"/>
    <xf numFmtId="164" fontId="2" fillId="0" borderId="0" xfId="0" applyNumberFormat="1" applyFont="1" applyBorder="1"/>
    <xf numFmtId="44" fontId="0" fillId="0" borderId="0" xfId="0" applyNumberFormat="1" applyBorder="1"/>
    <xf numFmtId="168" fontId="0" fillId="0" borderId="1" xfId="3" applyNumberFormat="1" applyFont="1" applyBorder="1"/>
    <xf numFmtId="168" fontId="0" fillId="0" borderId="8" xfId="3" applyNumberFormat="1" applyFont="1" applyBorder="1"/>
    <xf numFmtId="167" fontId="0" fillId="0" borderId="3" xfId="2" applyNumberFormat="1" applyFont="1" applyBorder="1"/>
    <xf numFmtId="167" fontId="0" fillId="3" borderId="1" xfId="2" applyNumberFormat="1" applyFont="1" applyFill="1" applyBorder="1"/>
    <xf numFmtId="0" fontId="0" fillId="0" borderId="0" xfId="0" applyAlignment="1">
      <alignment horizontal="center"/>
    </xf>
  </cellXfs>
  <cellStyles count="4">
    <cellStyle name="Millares [0]" xfId="1" builtinId="6"/>
    <cellStyle name="Moneda [0]" xfId="2" builtinId="7"/>
    <cellStyle name="Normal" xfId="0" builtinId="0"/>
    <cellStyle name="Porcentaje" xfId="3" builtinId="5"/>
  </cellStyles>
  <dxfs count="4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-&quot;$&quot;\ * #,##0.000_-;\-&quot;$&quot;\ * #,##0.000_-;_-&quot;$&quot;\ * &quot;-&quot;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-&quot;$&quot;\ * #,##0.000_-;\-&quot;$&quot;\ * #,##0.000_-;_-&quot;$&quot;\ * &quot;-&quot;_-;_-@_-"/>
      <fill>
        <patternFill patternType="solid">
          <fgColor indexed="64"/>
          <bgColor rgb="FF92D050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-&quot;$&quot;\ * #,##0.000_-;\-&quot;$&quot;\ * #,##0.000_-;_-&quot;$&quot;\ * &quot;-&quot;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-&quot;$&quot;\ * #,##0.000_-;\-&quot;$&quot;\ * #,##0.000_-;_-&quot;$&quot;\ * &quot;-&quot;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-&quot;$&quot;\ * #,##0.000_-;\-&quot;$&quot;\ * #,##0.000_-;_-&quot;$&quot;\ * &quot;-&quot;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-&quot;$&quot;\ * #,##0.000_-;\-&quot;$&quot;\ * #,##0.000_-;_-&quot;$&quot;\ * &quot;-&quot;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-&quot;$&quot;\ * #,##0.000_-;\-&quot;$&quot;\ * #,##0.000_-;_-&quot;$&quot;\ * &quot;-&quot;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-&quot;$&quot;\ * #,##0.000_-;\-&quot;$&quot;\ * #,##0.000_-;_-&quot;$&quot;\ * &quot;-&quot;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-&quot;$&quot;\ * #,##0.000_-;\-&quot;$&quot;\ * #,##0.000_-;_-&quot;$&quot;\ * &quot;-&quot;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-&quot;$&quot;\ * #,##0.000_-;\-&quot;$&quot;\ * #,##0.000_-;_-&quot;$&quot;\ * &quot;-&quot;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-&quot;$&quot;\ * #,##0.000_-;\-&quot;$&quot;\ * #,##0.000_-;_-&quot;$&quot;\ * &quot;-&quot;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-&quot;$&quot;\ * #,##0.000_-;\-&quot;$&quot;\ * #,##0.000_-;_-&quot;$&quot;\ * &quot;-&quot;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&quot;$&quot;\ * #,##0.00_-;\-&quot;$&quot;\ * #,##0.00_-;_-&quot;$&quot;\ * &quot;-&quot;_-;_-@_-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&quot;$&quot;\ * #,##0.00_-;\-&quot;$&quot;\ * #,##0.00_-;_-&quot;$&quot;\ * &quot;-&quot;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34" formatCode="_-&quot;$&quot;\ * #,##0.00_-;\-&quot;$&quot;\ * #,##0.00_-;_-&quot;$&quot;\ * &quot;-&quot;??_-;_-@_-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&quot;$&quot;\ * #,##0.00_-;\-&quot;$&quot;\ * #,##0.00_-;_-&quot;$&quot;\ * &quot;-&quot;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9" formatCode="_-* #,##0.000000_-;\-* #,##0.000000_-;_-* &quot;-&quot;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4" formatCode="0.0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CAPITAL RECOLECTADO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Hoja1!$J$53:$J$76</c:f>
              <c:numCache>
                <c:formatCode>_-"$"\ * #,##0.000_-;\-"$"\ * #,##0.000_-;_-"$"\ * "-"_-;_-@_-</c:formatCode>
                <c:ptCount val="24"/>
                <c:pt idx="0">
                  <c:v>2793032.4253888889</c:v>
                </c:pt>
                <c:pt idx="1">
                  <c:v>5586064.8507777778</c:v>
                </c:pt>
                <c:pt idx="2">
                  <c:v>8379097.2761666663</c:v>
                </c:pt>
                <c:pt idx="3">
                  <c:v>10334204.628222222</c:v>
                </c:pt>
                <c:pt idx="4">
                  <c:v>12289311.980277777</c:v>
                </c:pt>
                <c:pt idx="5">
                  <c:v>14244419.332333332</c:v>
                </c:pt>
                <c:pt idx="6">
                  <c:v>15525492.991055554</c:v>
                </c:pt>
                <c:pt idx="7">
                  <c:v>16806566.649777777</c:v>
                </c:pt>
                <c:pt idx="8">
                  <c:v>18087640.308499999</c:v>
                </c:pt>
                <c:pt idx="9">
                  <c:v>19368713.967222221</c:v>
                </c:pt>
                <c:pt idx="10">
                  <c:v>20522476.959944442</c:v>
                </c:pt>
                <c:pt idx="11">
                  <c:v>21676239.952666663</c:v>
                </c:pt>
                <c:pt idx="12">
                  <c:v>22489336.278722219</c:v>
                </c:pt>
                <c:pt idx="13">
                  <c:v>23302432.604777776</c:v>
                </c:pt>
                <c:pt idx="14">
                  <c:v>24115528.930833332</c:v>
                </c:pt>
                <c:pt idx="15">
                  <c:v>24688792.251555555</c:v>
                </c:pt>
                <c:pt idx="16">
                  <c:v>25262055.572277777</c:v>
                </c:pt>
                <c:pt idx="17">
                  <c:v>25835318.892999999</c:v>
                </c:pt>
                <c:pt idx="18">
                  <c:v>26207620.124833334</c:v>
                </c:pt>
                <c:pt idx="19">
                  <c:v>26579921.356666669</c:v>
                </c:pt>
                <c:pt idx="20">
                  <c:v>26666961.690000001</c:v>
                </c:pt>
                <c:pt idx="21">
                  <c:v>26754002.023333333</c:v>
                </c:pt>
                <c:pt idx="22">
                  <c:v>26841042.356666666</c:v>
                </c:pt>
                <c:pt idx="23">
                  <c:v>26928082.689999998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6A-4B10-A5C2-1EC7E767BD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3188368"/>
        <c:axId val="855279264"/>
      </c:lineChart>
      <c:catAx>
        <c:axId val="863188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55279264"/>
        <c:crosses val="autoZero"/>
        <c:auto val="1"/>
        <c:lblAlgn val="ctr"/>
        <c:lblOffset val="100"/>
        <c:noMultiLvlLbl val="0"/>
      </c:catAx>
      <c:valAx>
        <c:axId val="85527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CAPITAL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_-&quot;$&quot;\ * #,##0.000_-;\-&quot;$&quot;\ * #,##0.000_-;_-&quot;$&quot;\ * &quot;-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63188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476250</xdr:colOff>
      <xdr:row>0</xdr:row>
      <xdr:rowOff>47522</xdr:rowOff>
    </xdr:from>
    <xdr:to>
      <xdr:col>11</xdr:col>
      <xdr:colOff>1006927</xdr:colOff>
      <xdr:row>10</xdr:row>
      <xdr:rowOff>185477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F205099-2444-40F5-961F-377499E0360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5416" t="40556" r="28353" b="9958"/>
        <a:stretch/>
      </xdr:blipFill>
      <xdr:spPr>
        <a:xfrm>
          <a:off x="14069786" y="47522"/>
          <a:ext cx="4340677" cy="2042955"/>
        </a:xfrm>
        <a:prstGeom prst="rect">
          <a:avLst/>
        </a:prstGeom>
      </xdr:spPr>
    </xdr:pic>
    <xdr:clientData/>
  </xdr:twoCellAnchor>
  <xdr:twoCellAnchor>
    <xdr:from>
      <xdr:col>5</xdr:col>
      <xdr:colOff>1756172</xdr:colOff>
      <xdr:row>30</xdr:row>
      <xdr:rowOff>142875</xdr:rowOff>
    </xdr:from>
    <xdr:to>
      <xdr:col>8</xdr:col>
      <xdr:colOff>1063626</xdr:colOff>
      <xdr:row>45</xdr:row>
      <xdr:rowOff>99614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1DCA4AD-E18B-4AA1-B454-1607DD1EF2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9</xdr:col>
      <xdr:colOff>171222</xdr:colOff>
      <xdr:row>13</xdr:row>
      <xdr:rowOff>113296</xdr:rowOff>
    </xdr:from>
    <xdr:to>
      <xdr:col>10</xdr:col>
      <xdr:colOff>1319892</xdr:colOff>
      <xdr:row>17</xdr:row>
      <xdr:rowOff>190499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E4862E5D-EC16-4D9C-813B-D207B79C3B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64758" y="2208796"/>
          <a:ext cx="3325813" cy="8392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1508126</xdr:colOff>
      <xdr:row>13</xdr:row>
      <xdr:rowOff>1406</xdr:rowOff>
    </xdr:from>
    <xdr:to>
      <xdr:col>11</xdr:col>
      <xdr:colOff>1319893</xdr:colOff>
      <xdr:row>18</xdr:row>
      <xdr:rowOff>42181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524E55C1-B0CB-4ED1-B46B-59B0B9789A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78805" y="2096906"/>
          <a:ext cx="1444624" cy="993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28574</xdr:colOff>
      <xdr:row>0</xdr:row>
      <xdr:rowOff>9525</xdr:rowOff>
    </xdr:from>
    <xdr:to>
      <xdr:col>2</xdr:col>
      <xdr:colOff>1676399</xdr:colOff>
      <xdr:row>18</xdr:row>
      <xdr:rowOff>161925</xdr:rowOff>
    </xdr:to>
    <xdr:sp macro="" textlink="">
      <xdr:nvSpPr>
        <xdr:cNvPr id="9" name="CuadroTexto 8">
          <a:extLst>
            <a:ext uri="{FF2B5EF4-FFF2-40B4-BE49-F238E27FC236}">
              <a16:creationId xmlns:a16="http://schemas.microsoft.com/office/drawing/2014/main" id="{DFCC4174-B406-42B0-A0B1-BD560AD4E6B3}"/>
            </a:ext>
          </a:extLst>
        </xdr:cNvPr>
        <xdr:cNvSpPr txBox="1"/>
      </xdr:nvSpPr>
      <xdr:spPr>
        <a:xfrm>
          <a:off x="28574" y="9525"/>
          <a:ext cx="4467225" cy="1866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CO" sz="1200">
              <a:latin typeface="Times New Roman" panose="02020603050405020304" pitchFamily="18" charset="0"/>
              <a:cs typeface="Times New Roman" panose="02020603050405020304" pitchFamily="18" charset="0"/>
            </a:rPr>
            <a:t>MODULO</a:t>
          </a:r>
          <a:r>
            <a:rPr lang="es-CO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 MATEMATICAS APLICADAS</a:t>
          </a:r>
        </a:p>
        <a:p>
          <a:pPr algn="ctr"/>
          <a:r>
            <a:rPr lang="es-CO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UNIDAD 4, ACTIVIDAD 3, MOMENTO INDEPENDIENTE</a:t>
          </a:r>
        </a:p>
        <a:p>
          <a:pPr algn="ctr"/>
          <a:endParaRPr lang="es-CO" sz="1200" baseline="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endParaRPr lang="es-CO" sz="1200" baseline="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endParaRPr lang="es-CO" sz="1200" baseline="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r>
            <a:rPr lang="es-CO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URIEL ANDRES TINOCO ACERO</a:t>
          </a:r>
        </a:p>
        <a:p>
          <a:pPr algn="ctr"/>
          <a:r>
            <a:rPr lang="es-CO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Alumno</a:t>
          </a:r>
        </a:p>
        <a:p>
          <a:pPr algn="ctr"/>
          <a:endParaRPr lang="es-CO" sz="1200" baseline="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endParaRPr lang="es-CO" sz="1200" baseline="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r>
            <a:rPr lang="es-CO" sz="1200">
              <a:latin typeface="Times New Roman" panose="02020603050405020304" pitchFamily="18" charset="0"/>
              <a:cs typeface="Times New Roman" panose="02020603050405020304" pitchFamily="18" charset="0"/>
            </a:rPr>
            <a:t>DORIS STELLA ORDUY RUIZ</a:t>
          </a:r>
        </a:p>
        <a:p>
          <a:pPr algn="ctr"/>
          <a:r>
            <a:rPr lang="es-CO" sz="1200">
              <a:latin typeface="Times New Roman" panose="02020603050405020304" pitchFamily="18" charset="0"/>
              <a:cs typeface="Times New Roman" panose="02020603050405020304" pitchFamily="18" charset="0"/>
            </a:rPr>
            <a:t>Tutor-Docente</a:t>
          </a:r>
        </a:p>
        <a:p>
          <a:pPr algn="ctr"/>
          <a:endParaRPr lang="es-CO" sz="12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endParaRPr lang="es-CO" sz="12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endParaRPr lang="es-CO" sz="12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r>
            <a:rPr lang="es-CO" sz="1200">
              <a:latin typeface="Times New Roman" panose="02020603050405020304" pitchFamily="18" charset="0"/>
              <a:cs typeface="Times New Roman" panose="02020603050405020304" pitchFamily="18" charset="0"/>
            </a:rPr>
            <a:t>FUNDACION</a:t>
          </a:r>
          <a:r>
            <a:rPr lang="es-CO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 UNIVERSITARIA SAN MATEO</a:t>
          </a:r>
        </a:p>
        <a:p>
          <a:pPr algn="ctr"/>
          <a:r>
            <a:rPr lang="es-CO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PROFESIONAL EN GASTRONOMIA VIRTUAL</a:t>
          </a:r>
          <a:endParaRPr lang="es-CO" sz="12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</xdr:col>
      <xdr:colOff>0</xdr:colOff>
      <xdr:row>0</xdr:row>
      <xdr:rowOff>0</xdr:rowOff>
    </xdr:from>
    <xdr:to>
      <xdr:col>5</xdr:col>
      <xdr:colOff>1981200</xdr:colOff>
      <xdr:row>18</xdr:row>
      <xdr:rowOff>152400</xdr:rowOff>
    </xdr:to>
    <xdr:sp macro="" textlink="">
      <xdr:nvSpPr>
        <xdr:cNvPr id="10" name="CuadroTexto 9">
          <a:extLst>
            <a:ext uri="{FF2B5EF4-FFF2-40B4-BE49-F238E27FC236}">
              <a16:creationId xmlns:a16="http://schemas.microsoft.com/office/drawing/2014/main" id="{F337118C-2C32-4670-A176-0B547F9B8C98}"/>
            </a:ext>
          </a:extLst>
        </xdr:cNvPr>
        <xdr:cNvSpPr txBox="1"/>
      </xdr:nvSpPr>
      <xdr:spPr>
        <a:xfrm>
          <a:off x="4524375" y="0"/>
          <a:ext cx="4876800" cy="1866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O" sz="1100">
              <a:latin typeface="Times New Roman" panose="02020603050405020304" pitchFamily="18" charset="0"/>
              <a:cs typeface="Times New Roman" panose="02020603050405020304" pitchFamily="18" charset="0"/>
            </a:rPr>
            <a:t>En</a:t>
          </a:r>
          <a:r>
            <a:rPr lang="es-CO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un fondo organizado en una empresa se ahorra en cada pago en  una cuota, deacuerdo con lo que cada asociado voluntariamente quiera. esos aportes del fondo son prestados a los mismos asociados con el fin de acumular mas ganancias; cada prestamo genera una ganancia de interes compuesto de 2.2% compuesto anual, las siguientes personas han solicitado prestamos y es necesario determinar, el interes de acuerdo a los intervalo de tiempo</a:t>
          </a:r>
        </a:p>
        <a:p>
          <a:endParaRPr lang="es-CO" sz="1100" baseline="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es-CO" sz="1100">
              <a:latin typeface="Times New Roman" panose="02020603050405020304" pitchFamily="18" charset="0"/>
              <a:cs typeface="Times New Roman" panose="02020603050405020304" pitchFamily="18" charset="0"/>
            </a:rPr>
            <a:t>interes compuesto (capitalñizable) 2,2% compuesto anual</a:t>
          </a:r>
        </a:p>
        <a:p>
          <a:r>
            <a:rPr lang="es-CO" sz="1100">
              <a:latin typeface="Times New Roman" panose="02020603050405020304" pitchFamily="18" charset="0"/>
              <a:cs typeface="Times New Roman" panose="02020603050405020304" pitchFamily="18" charset="0"/>
            </a:rPr>
            <a:t>ya que todos los prestamos se prestarom o hicieron efectivos </a:t>
          </a:r>
          <a:r>
            <a:rPr lang="es-CO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$              26.250.000 </a:t>
          </a:r>
        </a:p>
        <a:p>
          <a:r>
            <a:rPr lang="es-CO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pagandose</a:t>
          </a:r>
          <a:r>
            <a:rPr lang="es-CO" sz="1100" b="1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todos los creditos se recolecto </a:t>
          </a:r>
          <a:r>
            <a:rPr lang="es-CO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$                     26.928.082,68 </a:t>
          </a:r>
          <a:r>
            <a:rPr lang="es-CO" sz="1100" b="1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</a:p>
        <a:p>
          <a:r>
            <a:rPr lang="es-CO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esto</a:t>
          </a:r>
          <a:r>
            <a:rPr lang="es-CO" sz="1100" b="1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presenta una ganacia de </a:t>
          </a:r>
          <a:r>
            <a:rPr lang="es-CO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2.5829%  para los accionistas que equivale</a:t>
          </a:r>
          <a:r>
            <a:rPr lang="es-CO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 </a:t>
          </a:r>
          <a:r>
            <a:rPr lang="es-CO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$                 678.082,68   </a:t>
          </a:r>
        </a:p>
        <a:p>
          <a:r>
            <a:rPr lang="es-CO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tomando el perido de prestamo mas largo en meses que es 24 meses</a:t>
          </a:r>
        </a:p>
        <a:p>
          <a:endParaRPr lang="es-CO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CO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 esta informacion determinariamos que:</a:t>
          </a:r>
        </a:p>
        <a:p>
          <a:r>
            <a:rPr lang="es-CO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(interes) i = ?</a:t>
          </a:r>
        </a:p>
        <a:p>
          <a:r>
            <a:rPr lang="es-CO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(capital ) C = 26250000 </a:t>
          </a:r>
        </a:p>
        <a:p>
          <a:r>
            <a:rPr lang="es-CO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(Monto) M = 26928082</a:t>
          </a:r>
        </a:p>
        <a:p>
          <a:r>
            <a:rPr lang="es-CO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(tiempo) n = 24</a:t>
          </a:r>
        </a:p>
      </xdr:txBody>
    </xdr:sp>
    <xdr:clientData/>
  </xdr:twoCellAnchor>
  <xdr:twoCellAnchor editAs="oneCell">
    <xdr:from>
      <xdr:col>4</xdr:col>
      <xdr:colOff>680357</xdr:colOff>
      <xdr:row>14</xdr:row>
      <xdr:rowOff>70603</xdr:rowOff>
    </xdr:from>
    <xdr:to>
      <xdr:col>5</xdr:col>
      <xdr:colOff>1660072</xdr:colOff>
      <xdr:row>18</xdr:row>
      <xdr:rowOff>59870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659A3B22-67F1-488E-9971-83B3BF214D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13071" y="2356603"/>
          <a:ext cx="2462894" cy="7512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0</xdr:row>
      <xdr:rowOff>0</xdr:rowOff>
    </xdr:from>
    <xdr:to>
      <xdr:col>9</xdr:col>
      <xdr:colOff>0</xdr:colOff>
      <xdr:row>18</xdr:row>
      <xdr:rowOff>152400</xdr:rowOff>
    </xdr:to>
    <xdr:sp macro="" textlink="">
      <xdr:nvSpPr>
        <xdr:cNvPr id="12" name="CuadroTexto 11">
          <a:extLst>
            <a:ext uri="{FF2B5EF4-FFF2-40B4-BE49-F238E27FC236}">
              <a16:creationId xmlns:a16="http://schemas.microsoft.com/office/drawing/2014/main" id="{B0B2B533-B6F1-4D7D-B4BD-A25831ECFDB2}"/>
            </a:ext>
          </a:extLst>
        </xdr:cNvPr>
        <xdr:cNvSpPr txBox="1"/>
      </xdr:nvSpPr>
      <xdr:spPr>
        <a:xfrm>
          <a:off x="9429750" y="0"/>
          <a:ext cx="4640036" cy="3200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s-CO" sz="1100">
              <a:latin typeface="Times New Roman" panose="02020603050405020304" pitchFamily="18" charset="0"/>
              <a:cs typeface="Times New Roman" panose="02020603050405020304" pitchFamily="18" charset="0"/>
            </a:rPr>
            <a:t>la tasa de interes compuesto seria de 0,02584 en porcentaje sera (0,0258)*(100) = 2,584% a los 24 meses</a:t>
          </a:r>
        </a:p>
        <a:p>
          <a:pPr algn="l"/>
          <a:r>
            <a:rPr lang="es-CO" sz="1100">
              <a:latin typeface="Times New Roman" panose="02020603050405020304" pitchFamily="18" charset="0"/>
              <a:cs typeface="Times New Roman" panose="02020603050405020304" pitchFamily="18" charset="0"/>
            </a:rPr>
            <a:t>el interes compuesto mensual sera de 0,1076%</a:t>
          </a:r>
        </a:p>
        <a:p>
          <a:pPr algn="l"/>
          <a:endParaRPr lang="es-CO" sz="11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l"/>
          <a:r>
            <a:rPr lang="es-CO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el tasa de interes para ese fondo de asociados es bajo.</a:t>
          </a:r>
          <a:endParaRPr lang="es-CO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33AC672-836F-4B30-A439-4EE948FACA05}" name="Tabla1" displayName="Tabla1" ref="B21:I30" totalsRowShown="0" headerRowDxfId="39" headerRowBorderDxfId="38" tableBorderDxfId="37" totalsRowBorderDxfId="36">
  <autoFilter ref="B21:I30" xr:uid="{2E7ECB02-0EE3-4F88-96AE-3A9932CC5D68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30913A38-DE45-4090-97A3-0E3FC1679066}" name="ASOCIADO" dataDxfId="35"/>
    <tableColumn id="2" xr3:uid="{0AB73A46-013A-43FE-8841-13C433515409}" name="PRESTAMO " dataDxfId="34" dataCellStyle="Moneda [0]"/>
    <tableColumn id="3" xr3:uid="{F01B9985-F6B3-484B-AF82-BBA66275DCED}" name="TIEMPO" dataDxfId="33"/>
    <tableColumn id="4" xr3:uid="{39E0F334-DF63-47F9-9300-FA3C93D8529A}" name="meses" dataDxfId="32"/>
    <tableColumn id="5" xr3:uid="{E5FAFB79-B537-416B-9EDC-FDB5F9FA7EAD}" name="interes compuesto anual" dataDxfId="31"/>
    <tableColumn id="6" xr3:uid="{B29E04F5-39DF-4DD7-B4AB-41B74FEC2D69}" name="imteres mensual" dataDxfId="30" dataCellStyle="Millares [0]"/>
    <tableColumn id="7" xr3:uid="{707400FF-7F14-4BB2-BCAE-E194F475F18D}" name="monto" dataDxfId="29" dataCellStyle="Moneda [0]"/>
    <tableColumn id="8" xr3:uid="{3192A029-0BC6-464C-8AA1-1DFA0AC3028E}" name="ganancia" dataDxfId="2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E8D35A0-8DB4-4E47-860F-B4B556403350}" name="Tabla2" displayName="Tabla2" ref="B35:E43" totalsRowShown="0" headerRowDxfId="27" headerRowBorderDxfId="26" tableBorderDxfId="25" totalsRowBorderDxfId="24">
  <autoFilter ref="B35:E43" xr:uid="{6FFCD606-D024-4BC7-8463-9AB266192F3A}">
    <filterColumn colId="0" hiddenButton="1"/>
    <filterColumn colId="1" hiddenButton="1"/>
    <filterColumn colId="2" hiddenButton="1"/>
    <filterColumn colId="3" hiddenButton="1"/>
  </autoFilter>
  <tableColumns count="4">
    <tableColumn id="1" xr3:uid="{E5418A29-51AC-46D0-8D7E-D23A0168139B}" name="ASOCIADO" dataDxfId="23"/>
    <tableColumn id="2" xr3:uid="{FC920863-3446-44C9-9CDA-89AC182E5A48}" name="TIEMPO EN MESES" dataDxfId="22" dataCellStyle="Millares [0]"/>
    <tableColumn id="3" xr3:uid="{DC9C6368-28EE-4ADE-81A7-F3AB57C71FB9}" name="MONTO APAGAR" dataDxfId="21" dataCellStyle="Moneda [0]"/>
    <tableColumn id="4" xr3:uid="{E9EF4B28-07E6-4EB9-A9A5-7DA8EA59550B}" name="CUOTA MENSUAL" dataDxfId="20" dataCellStyle="Moneda [0]">
      <calculatedColumnFormula>D36/C36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551CC28-11DB-4D0A-B3D9-263BA68DC6B3}" name="Tabla3" displayName="Tabla3" ref="A47:M77" headerRowCount="0" totalsRowShown="0" headerRowDxfId="19" dataDxfId="18" tableBorderDxfId="17" totalsRowBorderDxfId="16" dataCellStyle="Moneda [0]">
  <tableColumns count="13">
    <tableColumn id="1" xr3:uid="{A0EE7525-D988-4748-80D5-589567FD5F6F}" name="Columna1" headerRowDxfId="15" dataDxfId="14"/>
    <tableColumn id="2" xr3:uid="{C8573A71-011A-43A6-875F-11D9843C2DDB}" name="Columna2" dataDxfId="13" dataCellStyle="Moneda [0]"/>
    <tableColumn id="3" xr3:uid="{CBF6FC31-2144-44BD-B75B-CDC271D07719}" name="Columna3" headerRowDxfId="12" dataDxfId="11" headerRowCellStyle="Moneda [0]" dataCellStyle="Moneda [0]"/>
    <tableColumn id="4" xr3:uid="{72C78B25-A003-4ECB-862B-E64300B283E0}" name="Columna4" dataDxfId="10" dataCellStyle="Moneda [0]"/>
    <tableColumn id="5" xr3:uid="{1B690C7E-239F-45B4-871B-21E5CC037F3E}" name="Columna5" dataDxfId="9" dataCellStyle="Moneda [0]"/>
    <tableColumn id="6" xr3:uid="{0DCB197A-FC6D-4E04-AD2A-6D949B002939}" name="Columna6" dataDxfId="8" dataCellStyle="Moneda [0]"/>
    <tableColumn id="7" xr3:uid="{FDC4331E-A40E-42D9-A75D-C69190839457}" name="Columna7" dataDxfId="7" dataCellStyle="Moneda [0]"/>
    <tableColumn id="8" xr3:uid="{4D5DE1FF-A1C4-4A09-9C7A-443F1C7FA8C6}" name="Columna8" dataDxfId="6" dataCellStyle="Moneda [0]"/>
    <tableColumn id="9" xr3:uid="{5D90FF7D-EC8D-42AC-A68E-B47DD9D4245D}" name="Columna9" dataDxfId="5" dataCellStyle="Moneda [0]"/>
    <tableColumn id="10" xr3:uid="{C754B036-9901-4688-92F4-0A9B186A5223}" name="Columna10" dataDxfId="4" dataCellStyle="Moneda [0]"/>
    <tableColumn id="11" xr3:uid="{2B7B46D1-DE42-426A-9F39-7392E3DB08F8}" name="Columna11" dataDxfId="3" dataCellStyle="Moneda [0]"/>
    <tableColumn id="12" xr3:uid="{9DF1394B-1CFF-4EEC-B4AC-C4F292EBB7E1}" name="Columna12" dataDxfId="2" dataCellStyle="Moneda [0]"/>
    <tableColumn id="13" xr3:uid="{293445B6-1122-48E5-9FCD-4C79E8ABAE87}" name="Columna13" headerRowDxfId="1" dataDxfId="0" dataCellStyle="Moneda [0]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975C4C-D789-482D-B04B-B1711BD43DCF}">
  <dimension ref="A1:M77"/>
  <sheetViews>
    <sheetView tabSelected="1" topLeftCell="D1" zoomScale="70" zoomScaleNormal="70" workbookViewId="0">
      <selection activeCell="M28" sqref="M28"/>
    </sheetView>
  </sheetViews>
  <sheetFormatPr baseColWidth="10" defaultRowHeight="15" x14ac:dyDescent="0.25"/>
  <cols>
    <col min="1" max="1" width="22.85546875" bestFit="1" customWidth="1"/>
    <col min="2" max="2" width="19.42578125" bestFit="1" customWidth="1"/>
    <col min="3" max="3" width="25.5703125" style="1" bestFit="1" customWidth="1"/>
    <col min="4" max="4" width="21.28515625" bestFit="1" customWidth="1"/>
    <col min="5" max="5" width="22.140625" bestFit="1" customWidth="1"/>
    <col min="6" max="6" width="30.140625" bestFit="1" customWidth="1"/>
    <col min="7" max="7" width="20.28515625" bestFit="1" customWidth="1"/>
    <col min="8" max="8" width="28.140625" customWidth="1"/>
    <col min="9" max="9" width="21.140625" customWidth="1"/>
    <col min="10" max="10" width="32.7109375" bestFit="1" customWidth="1"/>
    <col min="11" max="11" width="24.42578125" bestFit="1" customWidth="1"/>
    <col min="12" max="12" width="21.5703125" bestFit="1" customWidth="1"/>
  </cols>
  <sheetData>
    <row r="1" spans="1:12" x14ac:dyDescent="0.25">
      <c r="A1" s="55"/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</row>
    <row r="2" spans="1:12" x14ac:dyDescent="0.25">
      <c r="A2" s="55"/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</row>
    <row r="3" spans="1:12" x14ac:dyDescent="0.25">
      <c r="A3" s="55"/>
      <c r="B3" s="55"/>
      <c r="C3" s="55"/>
      <c r="D3" s="55"/>
      <c r="E3" s="55"/>
      <c r="F3" s="55"/>
      <c r="G3" s="55"/>
      <c r="H3" s="55"/>
      <c r="I3" s="55"/>
      <c r="J3" s="55"/>
      <c r="K3" s="55"/>
      <c r="L3" s="55"/>
    </row>
    <row r="4" spans="1:12" x14ac:dyDescent="0.25">
      <c r="A4" s="55"/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</row>
    <row r="5" spans="1:12" x14ac:dyDescent="0.25">
      <c r="A5" s="55"/>
      <c r="B5" s="55"/>
      <c r="C5" s="55"/>
      <c r="D5" s="55"/>
      <c r="E5" s="55"/>
      <c r="F5" s="55"/>
      <c r="G5" s="55"/>
      <c r="H5" s="55"/>
      <c r="I5" s="55"/>
      <c r="J5" s="55"/>
      <c r="K5" s="55"/>
      <c r="L5" s="55"/>
    </row>
    <row r="6" spans="1:12" x14ac:dyDescent="0.25">
      <c r="A6" s="55"/>
      <c r="B6" s="55"/>
      <c r="C6" s="55"/>
      <c r="D6" s="55"/>
      <c r="E6" s="55"/>
      <c r="F6" s="55"/>
      <c r="G6" s="55"/>
      <c r="H6" s="55"/>
      <c r="I6" s="55"/>
      <c r="J6" s="55"/>
      <c r="K6" s="55"/>
      <c r="L6" s="55"/>
    </row>
    <row r="7" spans="1:12" x14ac:dyDescent="0.25">
      <c r="A7" s="55"/>
      <c r="B7" s="55"/>
      <c r="C7" s="55"/>
      <c r="D7" s="55"/>
      <c r="E7" s="55"/>
      <c r="F7" s="55"/>
      <c r="G7" s="55"/>
      <c r="H7" s="55"/>
      <c r="I7" s="55"/>
      <c r="J7" s="55"/>
      <c r="K7" s="55"/>
      <c r="L7" s="55"/>
    </row>
    <row r="8" spans="1:12" x14ac:dyDescent="0.25">
      <c r="A8" s="55"/>
      <c r="B8" s="55"/>
      <c r="C8" s="55"/>
      <c r="D8" s="55"/>
      <c r="E8" s="55"/>
      <c r="F8" s="55"/>
      <c r="G8" s="55"/>
      <c r="H8" s="55"/>
      <c r="I8" s="55"/>
      <c r="J8" s="55"/>
      <c r="K8" s="55"/>
      <c r="L8" s="55"/>
    </row>
    <row r="9" spans="1:12" x14ac:dyDescent="0.25">
      <c r="A9" s="55"/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</row>
    <row r="10" spans="1:12" x14ac:dyDescent="0.25">
      <c r="A10" s="55"/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55"/>
    </row>
    <row r="11" spans="1:12" x14ac:dyDescent="0.25">
      <c r="A11" s="55"/>
      <c r="B11" s="55"/>
      <c r="C11" s="55"/>
      <c r="D11" s="55"/>
      <c r="E11" s="55"/>
      <c r="F11" s="55"/>
      <c r="G11" s="55"/>
      <c r="H11" s="55"/>
      <c r="I11" s="55"/>
      <c r="J11" s="55"/>
      <c r="K11" s="55"/>
      <c r="L11" s="55"/>
    </row>
    <row r="12" spans="1:12" x14ac:dyDescent="0.25">
      <c r="A12" s="55"/>
      <c r="B12" s="55"/>
      <c r="C12" s="55"/>
      <c r="D12" s="55"/>
      <c r="E12" s="55"/>
      <c r="F12" s="55"/>
      <c r="G12" s="55"/>
      <c r="H12" s="55"/>
      <c r="I12" s="55"/>
      <c r="J12" s="55"/>
      <c r="K12" s="55"/>
      <c r="L12" s="55"/>
    </row>
    <row r="13" spans="1:12" x14ac:dyDescent="0.25">
      <c r="A13" s="55"/>
      <c r="B13" s="55"/>
      <c r="C13" s="55"/>
      <c r="D13" s="55"/>
      <c r="E13" s="55"/>
      <c r="F13" s="55"/>
      <c r="G13" s="55"/>
      <c r="H13" s="55"/>
      <c r="I13" s="55"/>
      <c r="J13" s="55"/>
      <c r="K13" s="55"/>
      <c r="L13" s="55"/>
    </row>
    <row r="14" spans="1:12" x14ac:dyDescent="0.25">
      <c r="A14" s="55"/>
      <c r="B14" s="55"/>
      <c r="C14" s="55"/>
      <c r="D14" s="55"/>
      <c r="E14" s="55"/>
      <c r="F14" s="55"/>
      <c r="G14" s="55"/>
      <c r="H14" s="55"/>
      <c r="I14" s="55"/>
      <c r="J14" s="55"/>
      <c r="K14" s="55"/>
      <c r="L14" s="55"/>
    </row>
    <row r="15" spans="1:12" x14ac:dyDescent="0.25">
      <c r="A15" s="55"/>
      <c r="B15" s="55"/>
      <c r="C15" s="55"/>
      <c r="D15" s="55"/>
      <c r="E15" s="55"/>
      <c r="F15" s="55"/>
      <c r="G15" s="55"/>
      <c r="H15" s="55"/>
      <c r="I15" s="55"/>
      <c r="J15" s="55"/>
      <c r="K15" s="55"/>
      <c r="L15" s="55"/>
    </row>
    <row r="16" spans="1:12" x14ac:dyDescent="0.25">
      <c r="A16" s="55"/>
      <c r="B16" s="55"/>
      <c r="C16" s="55"/>
      <c r="D16" s="55"/>
      <c r="E16" s="55"/>
      <c r="F16" s="55"/>
      <c r="G16" s="55"/>
      <c r="H16" s="55"/>
      <c r="I16" s="55"/>
      <c r="J16" s="55"/>
      <c r="K16" s="55"/>
      <c r="L16" s="55"/>
    </row>
    <row r="17" spans="1:12" x14ac:dyDescent="0.25">
      <c r="A17" s="55"/>
      <c r="B17" s="55"/>
      <c r="C17" s="55"/>
      <c r="D17" s="55"/>
      <c r="E17" s="55"/>
      <c r="F17" s="55"/>
      <c r="G17" s="55"/>
      <c r="H17" s="55"/>
      <c r="I17" s="55"/>
      <c r="J17" s="55"/>
      <c r="K17" s="55"/>
      <c r="L17" s="55"/>
    </row>
    <row r="18" spans="1:12" x14ac:dyDescent="0.25">
      <c r="A18" s="55"/>
      <c r="B18" s="55"/>
      <c r="C18" s="55"/>
      <c r="D18" s="55"/>
      <c r="E18" s="55"/>
      <c r="F18" s="55"/>
      <c r="G18" s="55"/>
      <c r="H18" s="55"/>
      <c r="I18" s="55"/>
      <c r="J18" s="55"/>
      <c r="K18" s="55"/>
      <c r="L18" s="55"/>
    </row>
    <row r="19" spans="1:12" x14ac:dyDescent="0.25">
      <c r="A19" s="55"/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</row>
    <row r="21" spans="1:12" s="21" customFormat="1" x14ac:dyDescent="0.25">
      <c r="B21" s="22" t="s">
        <v>0</v>
      </c>
      <c r="C21" s="23" t="s">
        <v>22</v>
      </c>
      <c r="D21" s="24" t="s">
        <v>1</v>
      </c>
      <c r="E21" s="24" t="s">
        <v>18</v>
      </c>
      <c r="F21" s="24" t="s">
        <v>19</v>
      </c>
      <c r="G21" s="24" t="s">
        <v>25</v>
      </c>
      <c r="H21" s="24" t="s">
        <v>20</v>
      </c>
      <c r="I21" s="25" t="s">
        <v>21</v>
      </c>
    </row>
    <row r="22" spans="1:12" x14ac:dyDescent="0.25">
      <c r="B22" s="7" t="s">
        <v>2</v>
      </c>
      <c r="C22" s="8">
        <v>4000000</v>
      </c>
      <c r="D22" s="9" t="s">
        <v>11</v>
      </c>
      <c r="E22" s="9">
        <v>12</v>
      </c>
      <c r="F22" s="10">
        <v>2.1999999999999999E-2</v>
      </c>
      <c r="G22" s="51">
        <f>(2.2/100)/12</f>
        <v>1.8333333333333335E-3</v>
      </c>
      <c r="H22" s="11">
        <f>C22*(1+F22)^1</f>
        <v>4088000</v>
      </c>
      <c r="I22" s="12">
        <f>H22-C22</f>
        <v>88000</v>
      </c>
    </row>
    <row r="23" spans="1:12" x14ac:dyDescent="0.25">
      <c r="B23" s="7" t="s">
        <v>3</v>
      </c>
      <c r="C23" s="8">
        <v>4000000</v>
      </c>
      <c r="D23" s="9" t="s">
        <v>10</v>
      </c>
      <c r="E23" s="9">
        <v>6</v>
      </c>
      <c r="F23" s="10">
        <v>2.1999999999999999E-2</v>
      </c>
      <c r="G23" s="51">
        <f t="shared" ref="G23:G29" si="0">(2.2/100)/12</f>
        <v>1.8333333333333335E-3</v>
      </c>
      <c r="H23" s="11">
        <f>C23*(1+G23)^6</f>
        <v>4044202.1603079522</v>
      </c>
      <c r="I23" s="12">
        <f t="shared" ref="I23:I29" si="1">H23-C23</f>
        <v>44202.160307952203</v>
      </c>
    </row>
    <row r="24" spans="1:12" x14ac:dyDescent="0.25">
      <c r="B24" s="7" t="s">
        <v>4</v>
      </c>
      <c r="C24" s="8">
        <v>2000000</v>
      </c>
      <c r="D24" s="9" t="s">
        <v>12</v>
      </c>
      <c r="E24" s="9">
        <v>24</v>
      </c>
      <c r="F24" s="10">
        <v>2.1999999999999999E-2</v>
      </c>
      <c r="G24" s="51">
        <f t="shared" si="0"/>
        <v>1.8333333333333335E-3</v>
      </c>
      <c r="H24" s="11">
        <f>C24*(1+F24)^2</f>
        <v>2088968</v>
      </c>
      <c r="I24" s="12">
        <f t="shared" si="1"/>
        <v>88968</v>
      </c>
    </row>
    <row r="25" spans="1:12" x14ac:dyDescent="0.25">
      <c r="B25" s="7" t="s">
        <v>5</v>
      </c>
      <c r="C25" s="8">
        <v>2500000</v>
      </c>
      <c r="D25" s="9" t="s">
        <v>13</v>
      </c>
      <c r="E25" s="9">
        <v>3</v>
      </c>
      <c r="F25" s="10">
        <v>2.1999999999999999E-2</v>
      </c>
      <c r="G25" s="51">
        <f t="shared" si="0"/>
        <v>1.8333333333333335E-3</v>
      </c>
      <c r="H25" s="11">
        <f>C25*(1+G25)^3</f>
        <v>2513775.2237384263</v>
      </c>
      <c r="I25" s="12">
        <f t="shared" si="1"/>
        <v>13775.223738426343</v>
      </c>
    </row>
    <row r="26" spans="1:12" x14ac:dyDescent="0.25">
      <c r="B26" s="7" t="s">
        <v>6</v>
      </c>
      <c r="C26" s="8">
        <v>1250000</v>
      </c>
      <c r="D26" s="9" t="s">
        <v>14</v>
      </c>
      <c r="E26" s="9">
        <v>10</v>
      </c>
      <c r="F26" s="10">
        <v>2.1999999999999999E-2</v>
      </c>
      <c r="G26" s="51">
        <f t="shared" si="0"/>
        <v>1.8333333333333335E-3</v>
      </c>
      <c r="H26" s="11">
        <f>C26*(1+G26)^10</f>
        <v>1273106.6564442373</v>
      </c>
      <c r="I26" s="12">
        <f t="shared" si="1"/>
        <v>23106.656444237335</v>
      </c>
    </row>
    <row r="27" spans="1:12" x14ac:dyDescent="0.25">
      <c r="B27" s="7" t="s">
        <v>7</v>
      </c>
      <c r="C27" s="8">
        <v>3500000</v>
      </c>
      <c r="D27" s="9" t="s">
        <v>15</v>
      </c>
      <c r="E27" s="9">
        <v>15</v>
      </c>
      <c r="F27" s="10">
        <v>2.1999999999999999E-2</v>
      </c>
      <c r="G27" s="51">
        <f t="shared" si="0"/>
        <v>1.8333333333333335E-3</v>
      </c>
      <c r="H27" s="11">
        <f>C27*(1+G27)^15</f>
        <v>3597495.0755674127</v>
      </c>
      <c r="I27" s="12">
        <f t="shared" si="1"/>
        <v>97495.075567412656</v>
      </c>
    </row>
    <row r="28" spans="1:12" x14ac:dyDescent="0.25">
      <c r="B28" s="7" t="s">
        <v>8</v>
      </c>
      <c r="C28" s="8">
        <v>3500000</v>
      </c>
      <c r="D28" s="9" t="s">
        <v>16</v>
      </c>
      <c r="E28" s="9">
        <v>18</v>
      </c>
      <c r="F28" s="10">
        <v>2.1999999999999999E-2</v>
      </c>
      <c r="G28" s="51">
        <f t="shared" si="0"/>
        <v>1.8333333333333335E-3</v>
      </c>
      <c r="H28" s="11">
        <f>C28*(1+G28)^18</f>
        <v>3617317.5953929438</v>
      </c>
      <c r="I28" s="12">
        <f t="shared" si="1"/>
        <v>117317.59539294383</v>
      </c>
    </row>
    <row r="29" spans="1:12" ht="15.75" thickBot="1" x14ac:dyDescent="0.3">
      <c r="B29" s="13" t="s">
        <v>9</v>
      </c>
      <c r="C29" s="14">
        <v>5500000</v>
      </c>
      <c r="D29" s="9" t="s">
        <v>17</v>
      </c>
      <c r="E29" s="9">
        <v>20</v>
      </c>
      <c r="F29" s="10">
        <v>2.1999999999999999E-2</v>
      </c>
      <c r="G29" s="52">
        <f t="shared" si="0"/>
        <v>1.8333333333333335E-3</v>
      </c>
      <c r="H29" s="19">
        <f>C29*(1+G29)^20</f>
        <v>5705217.9665628392</v>
      </c>
      <c r="I29" s="12">
        <f t="shared" si="1"/>
        <v>205217.96656283922</v>
      </c>
    </row>
    <row r="30" spans="1:12" ht="15.75" thickBot="1" x14ac:dyDescent="0.3">
      <c r="B30" s="17" t="s">
        <v>23</v>
      </c>
      <c r="C30" s="18">
        <f>SUM(C22:C29)</f>
        <v>26250000</v>
      </c>
      <c r="D30" s="13"/>
      <c r="E30" s="15"/>
      <c r="F30" s="16"/>
      <c r="G30" s="17" t="s">
        <v>24</v>
      </c>
      <c r="H30" s="20">
        <f>SUM(H22:H29)</f>
        <v>26928082.678013809</v>
      </c>
      <c r="I30" s="26">
        <f>SUM(I22:I29)</f>
        <v>678082.67801381159</v>
      </c>
    </row>
    <row r="31" spans="1:12" x14ac:dyDescent="0.25">
      <c r="B31" s="46"/>
      <c r="C31" s="47"/>
      <c r="D31" s="48"/>
      <c r="E31" s="48"/>
      <c r="F31" s="48"/>
      <c r="G31" s="46"/>
      <c r="H31" s="49"/>
      <c r="I31" s="50"/>
    </row>
    <row r="32" spans="1:12" x14ac:dyDescent="0.25">
      <c r="B32" s="46"/>
      <c r="C32" s="47"/>
      <c r="D32" s="48"/>
      <c r="E32" s="48"/>
      <c r="F32" s="48"/>
      <c r="G32" s="46"/>
      <c r="H32" s="49"/>
      <c r="I32" s="50"/>
    </row>
    <row r="33" spans="1:13" x14ac:dyDescent="0.25">
      <c r="B33" s="46"/>
      <c r="C33" s="47"/>
      <c r="D33" s="48"/>
      <c r="E33" s="48"/>
      <c r="F33" s="48"/>
      <c r="G33" s="46"/>
      <c r="H33" s="49"/>
      <c r="I33" s="50"/>
    </row>
    <row r="35" spans="1:13" x14ac:dyDescent="0.25">
      <c r="B35" s="3" t="s">
        <v>0</v>
      </c>
      <c r="C35" s="4" t="s">
        <v>26</v>
      </c>
      <c r="D35" s="5" t="s">
        <v>27</v>
      </c>
      <c r="E35" s="6" t="s">
        <v>28</v>
      </c>
    </row>
    <row r="36" spans="1:13" x14ac:dyDescent="0.25">
      <c r="B36" s="27" t="s">
        <v>2</v>
      </c>
      <c r="C36" s="28">
        <v>12</v>
      </c>
      <c r="D36" s="11">
        <v>4088000</v>
      </c>
      <c r="E36" s="29">
        <f>D36/C36</f>
        <v>340666.66666666669</v>
      </c>
    </row>
    <row r="37" spans="1:13" x14ac:dyDescent="0.25">
      <c r="B37" s="30" t="s">
        <v>3</v>
      </c>
      <c r="C37" s="28">
        <v>6</v>
      </c>
      <c r="D37" s="11">
        <v>4044202.16</v>
      </c>
      <c r="E37" s="29">
        <f t="shared" ref="E37:E43" si="2">D37/C37</f>
        <v>674033.69333333336</v>
      </c>
    </row>
    <row r="38" spans="1:13" x14ac:dyDescent="0.25">
      <c r="B38" s="27" t="s">
        <v>4</v>
      </c>
      <c r="C38" s="28">
        <v>24</v>
      </c>
      <c r="D38" s="11">
        <v>2088968</v>
      </c>
      <c r="E38" s="29">
        <f t="shared" si="2"/>
        <v>87040.333333333328</v>
      </c>
    </row>
    <row r="39" spans="1:13" x14ac:dyDescent="0.25">
      <c r="B39" s="30" t="s">
        <v>5</v>
      </c>
      <c r="C39" s="28">
        <v>3</v>
      </c>
      <c r="D39" s="11">
        <v>2513775.2200000002</v>
      </c>
      <c r="E39" s="29">
        <f t="shared" si="2"/>
        <v>837925.07333333336</v>
      </c>
    </row>
    <row r="40" spans="1:13" x14ac:dyDescent="0.25">
      <c r="B40" s="27" t="s">
        <v>6</v>
      </c>
      <c r="C40" s="28">
        <v>10</v>
      </c>
      <c r="D40" s="11">
        <v>1273106.6599999999</v>
      </c>
      <c r="E40" s="29">
        <f t="shared" si="2"/>
        <v>127310.666</v>
      </c>
    </row>
    <row r="41" spans="1:13" x14ac:dyDescent="0.25">
      <c r="B41" s="30" t="s">
        <v>7</v>
      </c>
      <c r="C41" s="28">
        <v>15</v>
      </c>
      <c r="D41" s="11">
        <v>3597495.08</v>
      </c>
      <c r="E41" s="29">
        <f t="shared" si="2"/>
        <v>239833.00533333333</v>
      </c>
    </row>
    <row r="42" spans="1:13" x14ac:dyDescent="0.25">
      <c r="B42" s="27" t="s">
        <v>8</v>
      </c>
      <c r="C42" s="28">
        <v>18</v>
      </c>
      <c r="D42" s="11">
        <v>3617317.6</v>
      </c>
      <c r="E42" s="29">
        <f t="shared" si="2"/>
        <v>200962.08888888889</v>
      </c>
    </row>
    <row r="43" spans="1:13" x14ac:dyDescent="0.25">
      <c r="B43" s="31" t="s">
        <v>9</v>
      </c>
      <c r="C43" s="32">
        <v>20</v>
      </c>
      <c r="D43" s="19">
        <v>5705217.9699999997</v>
      </c>
      <c r="E43" s="33">
        <f t="shared" si="2"/>
        <v>285260.89850000001</v>
      </c>
    </row>
    <row r="46" spans="1:13" x14ac:dyDescent="0.25">
      <c r="C46"/>
    </row>
    <row r="47" spans="1:13" x14ac:dyDescent="0.25">
      <c r="A47" s="35" t="s">
        <v>0</v>
      </c>
      <c r="B47" s="5" t="s">
        <v>29</v>
      </c>
      <c r="C47" s="4" t="s">
        <v>30</v>
      </c>
      <c r="D47" s="5" t="s">
        <v>31</v>
      </c>
      <c r="E47" s="5" t="s">
        <v>32</v>
      </c>
      <c r="F47" s="5" t="s">
        <v>33</v>
      </c>
      <c r="G47" s="5" t="s">
        <v>34</v>
      </c>
      <c r="H47" s="5" t="s">
        <v>35</v>
      </c>
      <c r="I47" s="5" t="s">
        <v>36</v>
      </c>
      <c r="J47" s="5"/>
      <c r="K47" s="5"/>
      <c r="L47" s="6"/>
      <c r="M47" s="53"/>
    </row>
    <row r="48" spans="1:13" x14ac:dyDescent="0.25">
      <c r="A48" s="7" t="s">
        <v>37</v>
      </c>
      <c r="B48" s="36">
        <f>C22</f>
        <v>4000000</v>
      </c>
      <c r="C48" s="8">
        <f>C23</f>
        <v>4000000</v>
      </c>
      <c r="D48" s="36">
        <f>C24</f>
        <v>2000000</v>
      </c>
      <c r="E48" s="36">
        <f>C25</f>
        <v>2500000</v>
      </c>
      <c r="F48" s="36">
        <f>C26</f>
        <v>1250000</v>
      </c>
      <c r="G48" s="36">
        <f>C27</f>
        <v>3500000</v>
      </c>
      <c r="H48" s="36">
        <f>C28</f>
        <v>3500000</v>
      </c>
      <c r="I48" s="36">
        <f>C29</f>
        <v>5500000</v>
      </c>
      <c r="J48" s="9"/>
      <c r="K48" s="9"/>
      <c r="L48" s="37"/>
      <c r="M48" s="41"/>
    </row>
    <row r="49" spans="1:13" s="2" customFormat="1" x14ac:dyDescent="0.25">
      <c r="A49" s="7" t="s">
        <v>38</v>
      </c>
      <c r="B49" s="38">
        <f>G22</f>
        <v>1.8333333333333335E-3</v>
      </c>
      <c r="C49" s="38">
        <f>G23</f>
        <v>1.8333333333333335E-3</v>
      </c>
      <c r="D49" s="38">
        <f>G24</f>
        <v>1.8333333333333335E-3</v>
      </c>
      <c r="E49" s="38">
        <f>G25</f>
        <v>1.8333333333333335E-3</v>
      </c>
      <c r="F49" s="38">
        <f>G26</f>
        <v>1.8333333333333335E-3</v>
      </c>
      <c r="G49" s="38">
        <f>G27</f>
        <v>1.8333333333333335E-3</v>
      </c>
      <c r="H49" s="38">
        <f>G28</f>
        <v>1.8333333333333335E-3</v>
      </c>
      <c r="I49" s="38">
        <f>G29</f>
        <v>1.8333333333333335E-3</v>
      </c>
      <c r="J49" s="9"/>
      <c r="K49" s="9"/>
      <c r="L49" s="37"/>
      <c r="M49" s="41"/>
    </row>
    <row r="50" spans="1:13" x14ac:dyDescent="0.25">
      <c r="A50" s="39" t="s">
        <v>39</v>
      </c>
      <c r="B50" s="28">
        <f>C36</f>
        <v>12</v>
      </c>
      <c r="C50" s="28">
        <f>C37</f>
        <v>6</v>
      </c>
      <c r="D50" s="28">
        <f>C38</f>
        <v>24</v>
      </c>
      <c r="E50" s="28">
        <f>C39</f>
        <v>3</v>
      </c>
      <c r="F50" s="28">
        <f>C40</f>
        <v>10</v>
      </c>
      <c r="G50" s="28">
        <f>C41</f>
        <v>15</v>
      </c>
      <c r="H50" s="28">
        <f>C42</f>
        <v>18</v>
      </c>
      <c r="I50" s="28">
        <f>C43</f>
        <v>20</v>
      </c>
      <c r="J50" s="28"/>
      <c r="K50" s="28"/>
      <c r="L50" s="40"/>
      <c r="M50" s="41"/>
    </row>
    <row r="51" spans="1:13" x14ac:dyDescent="0.25">
      <c r="A51" s="7"/>
      <c r="B51" s="9"/>
      <c r="C51" s="8"/>
      <c r="D51" s="9"/>
      <c r="E51" s="9"/>
      <c r="F51" s="9"/>
      <c r="G51" s="9"/>
      <c r="H51" s="9"/>
      <c r="I51" s="9"/>
      <c r="J51" s="9"/>
      <c r="K51" s="9"/>
      <c r="L51" s="37"/>
      <c r="M51" s="41"/>
    </row>
    <row r="52" spans="1:13" s="34" customFormat="1" x14ac:dyDescent="0.25">
      <c r="A52" s="7" t="s">
        <v>40</v>
      </c>
      <c r="B52" s="9"/>
      <c r="C52" s="8"/>
      <c r="D52" s="9"/>
      <c r="E52" s="9"/>
      <c r="F52" s="9"/>
      <c r="G52" s="9"/>
      <c r="H52" s="9"/>
      <c r="I52" s="9"/>
      <c r="J52" s="9" t="s">
        <v>44</v>
      </c>
      <c r="K52" s="9" t="s">
        <v>42</v>
      </c>
      <c r="L52" s="37" t="s">
        <v>43</v>
      </c>
      <c r="M52" s="41"/>
    </row>
    <row r="53" spans="1:13" x14ac:dyDescent="0.25">
      <c r="A53" s="39">
        <v>1</v>
      </c>
      <c r="B53" s="41">
        <f>$E$36</f>
        <v>340666.66666666669</v>
      </c>
      <c r="C53" s="41">
        <f>$E$37</f>
        <v>674033.69333333336</v>
      </c>
      <c r="D53" s="41">
        <f>$E$38</f>
        <v>87040.333333333328</v>
      </c>
      <c r="E53" s="41">
        <f>$E$39</f>
        <v>837925.07333333336</v>
      </c>
      <c r="F53" s="41">
        <f>$E$40</f>
        <v>127310.666</v>
      </c>
      <c r="G53" s="41">
        <f>$E$41</f>
        <v>239833.00533333333</v>
      </c>
      <c r="H53" s="41">
        <f>$E$42</f>
        <v>200962.08888888889</v>
      </c>
      <c r="I53" s="41">
        <f>$E$43</f>
        <v>285260.89850000001</v>
      </c>
      <c r="J53" s="41">
        <f>SUM(B53:I53)</f>
        <v>2793032.4253888889</v>
      </c>
      <c r="K53" s="41">
        <f>H30-J53</f>
        <v>24135050.252624922</v>
      </c>
      <c r="L53" s="42">
        <f>Tabla3[[#This Row],[Columna10]]-C30</f>
        <v>-23456967.574611112</v>
      </c>
      <c r="M53" s="41"/>
    </row>
    <row r="54" spans="1:13" x14ac:dyDescent="0.25">
      <c r="A54" s="7">
        <v>2</v>
      </c>
      <c r="B54" s="41">
        <f t="shared" ref="B54:B64" si="3">$E$36</f>
        <v>340666.66666666669</v>
      </c>
      <c r="C54" s="41">
        <f t="shared" ref="C54:C58" si="4">$E$37</f>
        <v>674033.69333333336</v>
      </c>
      <c r="D54" s="41">
        <f t="shared" ref="D54:D76" si="5">$E$38</f>
        <v>87040.333333333328</v>
      </c>
      <c r="E54" s="41">
        <f t="shared" ref="E54:E55" si="6">$E$39</f>
        <v>837925.07333333336</v>
      </c>
      <c r="F54" s="41">
        <f t="shared" ref="F54:F62" si="7">$E$40</f>
        <v>127310.666</v>
      </c>
      <c r="G54" s="41">
        <f t="shared" ref="G54:G67" si="8">$E$41</f>
        <v>239833.00533333333</v>
      </c>
      <c r="H54" s="41">
        <f t="shared" ref="H54:H70" si="9">$E$42</f>
        <v>200962.08888888889</v>
      </c>
      <c r="I54" s="41">
        <f t="shared" ref="I54:I72" si="10">$E$43</f>
        <v>285260.89850000001</v>
      </c>
      <c r="J54" s="41">
        <f>SUM(B54:I54)+J53</f>
        <v>5586064.8507777778</v>
      </c>
      <c r="K54" s="41">
        <f>(J53-Tabla3[[#This Row],[Columna10]])+K53</f>
        <v>21342017.827236034</v>
      </c>
      <c r="L54" s="42">
        <f>Tabla3[[#This Row],[Columna10]]-$C$30</f>
        <v>-20663935.149222221</v>
      </c>
      <c r="M54" s="41"/>
    </row>
    <row r="55" spans="1:13" x14ac:dyDescent="0.25">
      <c r="A55" s="7">
        <v>3</v>
      </c>
      <c r="B55" s="41">
        <f t="shared" si="3"/>
        <v>340666.66666666669</v>
      </c>
      <c r="C55" s="41">
        <f t="shared" si="4"/>
        <v>674033.69333333336</v>
      </c>
      <c r="D55" s="41">
        <f t="shared" si="5"/>
        <v>87040.333333333328</v>
      </c>
      <c r="E55" s="41">
        <f t="shared" si="6"/>
        <v>837925.07333333336</v>
      </c>
      <c r="F55" s="41">
        <f t="shared" si="7"/>
        <v>127310.666</v>
      </c>
      <c r="G55" s="41">
        <f t="shared" si="8"/>
        <v>239833.00533333333</v>
      </c>
      <c r="H55" s="41">
        <f t="shared" si="9"/>
        <v>200962.08888888889</v>
      </c>
      <c r="I55" s="41">
        <f t="shared" si="10"/>
        <v>285260.89850000001</v>
      </c>
      <c r="J55" s="41">
        <f t="shared" ref="J55:J76" si="11">SUM(B55:I55)+J54</f>
        <v>8379097.2761666663</v>
      </c>
      <c r="K55" s="41">
        <f>(J54-Tabla3[[#This Row],[Columna10]])+K54</f>
        <v>18548985.401847146</v>
      </c>
      <c r="L55" s="42">
        <f>Tabla3[[#This Row],[Columna10]]-$C$30</f>
        <v>-17870902.723833334</v>
      </c>
      <c r="M55" s="41"/>
    </row>
    <row r="56" spans="1:13" x14ac:dyDescent="0.25">
      <c r="A56" s="7">
        <v>4</v>
      </c>
      <c r="B56" s="41">
        <f t="shared" si="3"/>
        <v>340666.66666666669</v>
      </c>
      <c r="C56" s="41">
        <f t="shared" si="4"/>
        <v>674033.69333333336</v>
      </c>
      <c r="D56" s="41">
        <f t="shared" si="5"/>
        <v>87040.333333333328</v>
      </c>
      <c r="E56" s="41"/>
      <c r="F56" s="41">
        <f t="shared" si="7"/>
        <v>127310.666</v>
      </c>
      <c r="G56" s="41">
        <f t="shared" si="8"/>
        <v>239833.00533333333</v>
      </c>
      <c r="H56" s="41">
        <f t="shared" si="9"/>
        <v>200962.08888888889</v>
      </c>
      <c r="I56" s="41">
        <f t="shared" si="10"/>
        <v>285260.89850000001</v>
      </c>
      <c r="J56" s="41">
        <f t="shared" si="11"/>
        <v>10334204.628222222</v>
      </c>
      <c r="K56" s="41">
        <f>(J55-Tabla3[[#This Row],[Columna10]])+K55</f>
        <v>16593878.049791591</v>
      </c>
      <c r="L56" s="42">
        <f>Tabla3[[#This Row],[Columna10]]-$C$30</f>
        <v>-15915795.371777778</v>
      </c>
      <c r="M56" s="41"/>
    </row>
    <row r="57" spans="1:13" x14ac:dyDescent="0.25">
      <c r="A57" s="7">
        <v>5</v>
      </c>
      <c r="B57" s="41">
        <f t="shared" si="3"/>
        <v>340666.66666666669</v>
      </c>
      <c r="C57" s="41">
        <f t="shared" si="4"/>
        <v>674033.69333333336</v>
      </c>
      <c r="D57" s="41">
        <f t="shared" si="5"/>
        <v>87040.333333333328</v>
      </c>
      <c r="E57" s="41"/>
      <c r="F57" s="41">
        <f t="shared" si="7"/>
        <v>127310.666</v>
      </c>
      <c r="G57" s="41">
        <f t="shared" si="8"/>
        <v>239833.00533333333</v>
      </c>
      <c r="H57" s="41">
        <f t="shared" si="9"/>
        <v>200962.08888888889</v>
      </c>
      <c r="I57" s="41">
        <f t="shared" si="10"/>
        <v>285260.89850000001</v>
      </c>
      <c r="J57" s="41">
        <f t="shared" si="11"/>
        <v>12289311.980277777</v>
      </c>
      <c r="K57" s="41">
        <f>(J56-Tabla3[[#This Row],[Columna10]])+K56</f>
        <v>14638770.697736036</v>
      </c>
      <c r="L57" s="42">
        <f>Tabla3[[#This Row],[Columna10]]-$C$30</f>
        <v>-13960688.019722223</v>
      </c>
      <c r="M57" s="41"/>
    </row>
    <row r="58" spans="1:13" x14ac:dyDescent="0.25">
      <c r="A58" s="7">
        <v>6</v>
      </c>
      <c r="B58" s="41">
        <f t="shared" si="3"/>
        <v>340666.66666666669</v>
      </c>
      <c r="C58" s="41">
        <f t="shared" si="4"/>
        <v>674033.69333333336</v>
      </c>
      <c r="D58" s="41">
        <f t="shared" si="5"/>
        <v>87040.333333333328</v>
      </c>
      <c r="E58" s="41"/>
      <c r="F58" s="41">
        <f t="shared" si="7"/>
        <v>127310.666</v>
      </c>
      <c r="G58" s="41">
        <f t="shared" si="8"/>
        <v>239833.00533333333</v>
      </c>
      <c r="H58" s="41">
        <f t="shared" si="9"/>
        <v>200962.08888888889</v>
      </c>
      <c r="I58" s="41">
        <f t="shared" si="10"/>
        <v>285260.89850000001</v>
      </c>
      <c r="J58" s="41">
        <f t="shared" si="11"/>
        <v>14244419.332333332</v>
      </c>
      <c r="K58" s="41">
        <f>(J57-Tabla3[[#This Row],[Columna10]])+K57</f>
        <v>12683663.345680481</v>
      </c>
      <c r="L58" s="42">
        <f>Tabla3[[#This Row],[Columna10]]-$C$30</f>
        <v>-12005580.667666668</v>
      </c>
      <c r="M58" s="41"/>
    </row>
    <row r="59" spans="1:13" x14ac:dyDescent="0.25">
      <c r="A59" s="7">
        <v>7</v>
      </c>
      <c r="B59" s="41">
        <f t="shared" si="3"/>
        <v>340666.66666666669</v>
      </c>
      <c r="C59" s="41"/>
      <c r="D59" s="41">
        <f t="shared" si="5"/>
        <v>87040.333333333328</v>
      </c>
      <c r="E59" s="41"/>
      <c r="F59" s="41">
        <f t="shared" si="7"/>
        <v>127310.666</v>
      </c>
      <c r="G59" s="41">
        <f t="shared" si="8"/>
        <v>239833.00533333333</v>
      </c>
      <c r="H59" s="41">
        <f t="shared" si="9"/>
        <v>200962.08888888889</v>
      </c>
      <c r="I59" s="41">
        <f t="shared" si="10"/>
        <v>285260.89850000001</v>
      </c>
      <c r="J59" s="41">
        <f t="shared" si="11"/>
        <v>15525492.991055554</v>
      </c>
      <c r="K59" s="41">
        <f>(J58-Tabla3[[#This Row],[Columna10]])+K58</f>
        <v>11402589.686958259</v>
      </c>
      <c r="L59" s="42">
        <f>Tabla3[[#This Row],[Columna10]]-$C$30</f>
        <v>-10724507.008944446</v>
      </c>
      <c r="M59" s="41"/>
    </row>
    <row r="60" spans="1:13" x14ac:dyDescent="0.25">
      <c r="A60" s="7">
        <v>8</v>
      </c>
      <c r="B60" s="41">
        <f t="shared" si="3"/>
        <v>340666.66666666669</v>
      </c>
      <c r="C60" s="41"/>
      <c r="D60" s="41">
        <f t="shared" si="5"/>
        <v>87040.333333333328</v>
      </c>
      <c r="E60" s="41"/>
      <c r="F60" s="41">
        <f t="shared" si="7"/>
        <v>127310.666</v>
      </c>
      <c r="G60" s="41">
        <f t="shared" si="8"/>
        <v>239833.00533333333</v>
      </c>
      <c r="H60" s="41">
        <f t="shared" si="9"/>
        <v>200962.08888888889</v>
      </c>
      <c r="I60" s="41">
        <f t="shared" si="10"/>
        <v>285260.89850000001</v>
      </c>
      <c r="J60" s="41">
        <f t="shared" si="11"/>
        <v>16806566.649777777</v>
      </c>
      <c r="K60" s="41">
        <f>(J59-Tabla3[[#This Row],[Columna10]])+K59</f>
        <v>10121516.028236035</v>
      </c>
      <c r="L60" s="42">
        <f>Tabla3[[#This Row],[Columna10]]-$C$30</f>
        <v>-9443433.3502222225</v>
      </c>
      <c r="M60" s="41"/>
    </row>
    <row r="61" spans="1:13" x14ac:dyDescent="0.25">
      <c r="A61" s="7">
        <v>9</v>
      </c>
      <c r="B61" s="41">
        <f t="shared" si="3"/>
        <v>340666.66666666669</v>
      </c>
      <c r="C61" s="41"/>
      <c r="D61" s="41">
        <f t="shared" si="5"/>
        <v>87040.333333333328</v>
      </c>
      <c r="E61" s="41"/>
      <c r="F61" s="41">
        <f t="shared" si="7"/>
        <v>127310.666</v>
      </c>
      <c r="G61" s="41">
        <f t="shared" si="8"/>
        <v>239833.00533333333</v>
      </c>
      <c r="H61" s="41">
        <f t="shared" si="9"/>
        <v>200962.08888888889</v>
      </c>
      <c r="I61" s="41">
        <f t="shared" si="10"/>
        <v>285260.89850000001</v>
      </c>
      <c r="J61" s="41">
        <f t="shared" si="11"/>
        <v>18087640.308499999</v>
      </c>
      <c r="K61" s="41">
        <f>(J60-Tabla3[[#This Row],[Columna10]])+K60</f>
        <v>8840442.3695138134</v>
      </c>
      <c r="L61" s="42">
        <f>Tabla3[[#This Row],[Columna10]]-$C$30</f>
        <v>-8162359.6915000007</v>
      </c>
      <c r="M61" s="41"/>
    </row>
    <row r="62" spans="1:13" x14ac:dyDescent="0.25">
      <c r="A62" s="7">
        <v>10</v>
      </c>
      <c r="B62" s="41">
        <f t="shared" si="3"/>
        <v>340666.66666666669</v>
      </c>
      <c r="C62" s="41"/>
      <c r="D62" s="41">
        <f t="shared" si="5"/>
        <v>87040.333333333328</v>
      </c>
      <c r="E62" s="41"/>
      <c r="F62" s="41">
        <f t="shared" si="7"/>
        <v>127310.666</v>
      </c>
      <c r="G62" s="41">
        <f t="shared" si="8"/>
        <v>239833.00533333333</v>
      </c>
      <c r="H62" s="41">
        <f t="shared" si="9"/>
        <v>200962.08888888889</v>
      </c>
      <c r="I62" s="41">
        <f t="shared" si="10"/>
        <v>285260.89850000001</v>
      </c>
      <c r="J62" s="41">
        <f t="shared" si="11"/>
        <v>19368713.967222221</v>
      </c>
      <c r="K62" s="41">
        <f>(J61-Tabla3[[#This Row],[Columna10]])+K61</f>
        <v>7559368.7107915916</v>
      </c>
      <c r="L62" s="42">
        <f>Tabla3[[#This Row],[Columna10]]-$C$30</f>
        <v>-6881286.0327777788</v>
      </c>
      <c r="M62" s="41"/>
    </row>
    <row r="63" spans="1:13" x14ac:dyDescent="0.25">
      <c r="A63" s="7">
        <v>11</v>
      </c>
      <c r="B63" s="41">
        <f t="shared" si="3"/>
        <v>340666.66666666669</v>
      </c>
      <c r="C63" s="41"/>
      <c r="D63" s="41">
        <f t="shared" si="5"/>
        <v>87040.333333333328</v>
      </c>
      <c r="E63" s="41"/>
      <c r="F63" s="41"/>
      <c r="G63" s="41">
        <f t="shared" si="8"/>
        <v>239833.00533333333</v>
      </c>
      <c r="H63" s="41">
        <f t="shared" si="9"/>
        <v>200962.08888888889</v>
      </c>
      <c r="I63" s="41">
        <f t="shared" si="10"/>
        <v>285260.89850000001</v>
      </c>
      <c r="J63" s="41">
        <f t="shared" si="11"/>
        <v>20522476.959944442</v>
      </c>
      <c r="K63" s="41">
        <f>(J62-Tabla3[[#This Row],[Columna10]])+K62</f>
        <v>6405605.7180693708</v>
      </c>
      <c r="L63" s="42">
        <f>Tabla3[[#This Row],[Columna10]]-$C$30</f>
        <v>-5727523.0400555581</v>
      </c>
      <c r="M63" s="41"/>
    </row>
    <row r="64" spans="1:13" x14ac:dyDescent="0.25">
      <c r="A64" s="7">
        <v>12</v>
      </c>
      <c r="B64" s="41">
        <f t="shared" si="3"/>
        <v>340666.66666666669</v>
      </c>
      <c r="C64" s="41"/>
      <c r="D64" s="41">
        <f t="shared" si="5"/>
        <v>87040.333333333328</v>
      </c>
      <c r="E64" s="41"/>
      <c r="F64" s="41"/>
      <c r="G64" s="41">
        <f t="shared" si="8"/>
        <v>239833.00533333333</v>
      </c>
      <c r="H64" s="41">
        <f t="shared" si="9"/>
        <v>200962.08888888889</v>
      </c>
      <c r="I64" s="41">
        <f t="shared" si="10"/>
        <v>285260.89850000001</v>
      </c>
      <c r="J64" s="41">
        <f t="shared" si="11"/>
        <v>21676239.952666663</v>
      </c>
      <c r="K64" s="41">
        <f>(J63-Tabla3[[#This Row],[Columna10]])+K63</f>
        <v>5251842.7253471501</v>
      </c>
      <c r="L64" s="42">
        <f>Tabla3[[#This Row],[Columna10]]-$C$30</f>
        <v>-4573760.0473333374</v>
      </c>
      <c r="M64" s="41"/>
    </row>
    <row r="65" spans="1:13" x14ac:dyDescent="0.25">
      <c r="A65" s="7">
        <v>13</v>
      </c>
      <c r="B65" s="41"/>
      <c r="C65" s="41"/>
      <c r="D65" s="41">
        <f t="shared" si="5"/>
        <v>87040.333333333328</v>
      </c>
      <c r="E65" s="41"/>
      <c r="F65" s="41"/>
      <c r="G65" s="41">
        <f t="shared" si="8"/>
        <v>239833.00533333333</v>
      </c>
      <c r="H65" s="41">
        <f t="shared" si="9"/>
        <v>200962.08888888889</v>
      </c>
      <c r="I65" s="41">
        <f t="shared" si="10"/>
        <v>285260.89850000001</v>
      </c>
      <c r="J65" s="41">
        <f t="shared" si="11"/>
        <v>22489336.278722219</v>
      </c>
      <c r="K65" s="41">
        <f>(J64-Tabla3[[#This Row],[Columna10]])+K64</f>
        <v>4438746.3992915936</v>
      </c>
      <c r="L65" s="42">
        <f>Tabla3[[#This Row],[Columna10]]-$C$30</f>
        <v>-3760663.7212777808</v>
      </c>
      <c r="M65" s="41"/>
    </row>
    <row r="66" spans="1:13" x14ac:dyDescent="0.25">
      <c r="A66" s="7">
        <v>14</v>
      </c>
      <c r="B66" s="41"/>
      <c r="C66" s="41"/>
      <c r="D66" s="41">
        <f t="shared" si="5"/>
        <v>87040.333333333328</v>
      </c>
      <c r="E66" s="41"/>
      <c r="F66" s="41"/>
      <c r="G66" s="41">
        <f t="shared" si="8"/>
        <v>239833.00533333333</v>
      </c>
      <c r="H66" s="41">
        <f t="shared" si="9"/>
        <v>200962.08888888889</v>
      </c>
      <c r="I66" s="41">
        <f t="shared" si="10"/>
        <v>285260.89850000001</v>
      </c>
      <c r="J66" s="41">
        <f>SUM(B66:I66)+J65</f>
        <v>23302432.604777776</v>
      </c>
      <c r="K66" s="41">
        <f>(J65-Tabla3[[#This Row],[Columna10]])+K65</f>
        <v>3625650.073236037</v>
      </c>
      <c r="L66" s="42">
        <f>Tabla3[[#This Row],[Columna10]]-$C$30</f>
        <v>-2947567.3952222243</v>
      </c>
      <c r="M66" s="41"/>
    </row>
    <row r="67" spans="1:13" x14ac:dyDescent="0.25">
      <c r="A67" s="7">
        <v>15</v>
      </c>
      <c r="B67" s="41"/>
      <c r="C67" s="41"/>
      <c r="D67" s="41">
        <f t="shared" si="5"/>
        <v>87040.333333333328</v>
      </c>
      <c r="E67" s="41"/>
      <c r="F67" s="41"/>
      <c r="G67" s="41">
        <f t="shared" si="8"/>
        <v>239833.00533333333</v>
      </c>
      <c r="H67" s="41">
        <f t="shared" si="9"/>
        <v>200962.08888888889</v>
      </c>
      <c r="I67" s="41">
        <f t="shared" si="10"/>
        <v>285260.89850000001</v>
      </c>
      <c r="J67" s="41">
        <f t="shared" si="11"/>
        <v>24115528.930833332</v>
      </c>
      <c r="K67" s="41">
        <f>(J66-Tabla3[[#This Row],[Columna10]])+K66</f>
        <v>2812553.7471804805</v>
      </c>
      <c r="L67" s="42">
        <f>Tabla3[[#This Row],[Columna10]]-$C$30</f>
        <v>-2134471.0691666678</v>
      </c>
      <c r="M67" s="41"/>
    </row>
    <row r="68" spans="1:13" x14ac:dyDescent="0.25">
      <c r="A68" s="7">
        <v>16</v>
      </c>
      <c r="B68" s="41"/>
      <c r="C68" s="41"/>
      <c r="D68" s="41">
        <f t="shared" si="5"/>
        <v>87040.333333333328</v>
      </c>
      <c r="E68" s="41"/>
      <c r="F68" s="41"/>
      <c r="G68" s="41"/>
      <c r="H68" s="41">
        <f t="shared" si="9"/>
        <v>200962.08888888889</v>
      </c>
      <c r="I68" s="41">
        <f t="shared" si="10"/>
        <v>285260.89850000001</v>
      </c>
      <c r="J68" s="41">
        <f t="shared" si="11"/>
        <v>24688792.251555555</v>
      </c>
      <c r="K68" s="41">
        <f>(J67-Tabla3[[#This Row],[Columna10]])+K67</f>
        <v>2239290.4264582582</v>
      </c>
      <c r="L68" s="42">
        <f>Tabla3[[#This Row],[Columna10]]-$C$30</f>
        <v>-1561207.7484444454</v>
      </c>
      <c r="M68" s="41"/>
    </row>
    <row r="69" spans="1:13" x14ac:dyDescent="0.25">
      <c r="A69" s="7">
        <v>17</v>
      </c>
      <c r="B69" s="41"/>
      <c r="C69" s="41"/>
      <c r="D69" s="41">
        <f t="shared" si="5"/>
        <v>87040.333333333328</v>
      </c>
      <c r="E69" s="41"/>
      <c r="F69" s="41"/>
      <c r="G69" s="41"/>
      <c r="H69" s="41">
        <f t="shared" si="9"/>
        <v>200962.08888888889</v>
      </c>
      <c r="I69" s="41">
        <f>$E$43</f>
        <v>285260.89850000001</v>
      </c>
      <c r="J69" s="41">
        <f>SUM(B69:I69)+J68</f>
        <v>25262055.572277777</v>
      </c>
      <c r="K69" s="41">
        <f>(J68-Tabla3[[#This Row],[Columna10]])+K68</f>
        <v>1666027.1057360359</v>
      </c>
      <c r="L69" s="42">
        <f>Tabla3[[#This Row],[Columna10]]-$C$30</f>
        <v>-987944.4277222231</v>
      </c>
      <c r="M69" s="41"/>
    </row>
    <row r="70" spans="1:13" x14ac:dyDescent="0.25">
      <c r="A70" s="7">
        <v>18</v>
      </c>
      <c r="B70" s="41"/>
      <c r="C70" s="41"/>
      <c r="D70" s="41">
        <f t="shared" si="5"/>
        <v>87040.333333333328</v>
      </c>
      <c r="E70" s="41"/>
      <c r="F70" s="41"/>
      <c r="G70" s="41"/>
      <c r="H70" s="41">
        <f t="shared" si="9"/>
        <v>200962.08888888889</v>
      </c>
      <c r="I70" s="41">
        <f t="shared" si="10"/>
        <v>285260.89850000001</v>
      </c>
      <c r="J70" s="41">
        <f t="shared" si="11"/>
        <v>25835318.892999999</v>
      </c>
      <c r="K70" s="41">
        <f>(J69-Tabla3[[#This Row],[Columna10]])+K69</f>
        <v>1092763.7850138135</v>
      </c>
      <c r="L70" s="42">
        <f>Tabla3[[#This Row],[Columna10]]-$C$30</f>
        <v>-414681.10700000077</v>
      </c>
      <c r="M70" s="41"/>
    </row>
    <row r="71" spans="1:13" x14ac:dyDescent="0.25">
      <c r="A71" s="7">
        <v>19</v>
      </c>
      <c r="B71" s="41"/>
      <c r="C71" s="41"/>
      <c r="D71" s="41">
        <f t="shared" si="5"/>
        <v>87040.333333333328</v>
      </c>
      <c r="E71" s="41"/>
      <c r="F71" s="41"/>
      <c r="G71" s="41"/>
      <c r="H71" s="41"/>
      <c r="I71" s="41">
        <f t="shared" si="10"/>
        <v>285260.89850000001</v>
      </c>
      <c r="J71" s="41">
        <f t="shared" si="11"/>
        <v>26207620.124833334</v>
      </c>
      <c r="K71" s="41">
        <f>(J70-Tabla3[[#This Row],[Columna10]])+K70</f>
        <v>720462.55318047851</v>
      </c>
      <c r="L71" s="42">
        <f>Tabla3[[#This Row],[Columna10]]-$C$30</f>
        <v>-42379.875166665763</v>
      </c>
      <c r="M71" s="41"/>
    </row>
    <row r="72" spans="1:13" x14ac:dyDescent="0.25">
      <c r="A72" s="7">
        <v>20</v>
      </c>
      <c r="B72" s="41"/>
      <c r="C72" s="41"/>
      <c r="D72" s="41">
        <f t="shared" si="5"/>
        <v>87040.333333333328</v>
      </c>
      <c r="E72" s="41"/>
      <c r="F72" s="41"/>
      <c r="G72" s="41"/>
      <c r="H72" s="41"/>
      <c r="I72" s="41">
        <f t="shared" si="10"/>
        <v>285260.89850000001</v>
      </c>
      <c r="J72" s="41">
        <f t="shared" si="11"/>
        <v>26579921.356666669</v>
      </c>
      <c r="K72" s="41">
        <f>(J71-Tabla3[[#This Row],[Columna10]])+K71</f>
        <v>348161.3213471435</v>
      </c>
      <c r="L72" s="43">
        <f>Tabla3[[#This Row],[Columna10]]-$C$30</f>
        <v>329921.35666666925</v>
      </c>
      <c r="M72" s="41"/>
    </row>
    <row r="73" spans="1:13" x14ac:dyDescent="0.25">
      <c r="A73" s="7">
        <v>21</v>
      </c>
      <c r="B73" s="41"/>
      <c r="C73" s="41"/>
      <c r="D73" s="41">
        <f t="shared" si="5"/>
        <v>87040.333333333328</v>
      </c>
      <c r="E73" s="41"/>
      <c r="F73" s="41"/>
      <c r="G73" s="41"/>
      <c r="H73" s="41"/>
      <c r="I73" s="41"/>
      <c r="J73" s="41">
        <f t="shared" si="11"/>
        <v>26666961.690000001</v>
      </c>
      <c r="K73" s="41">
        <f>(J72-Tabla3[[#This Row],[Columna10]])+K72</f>
        <v>261120.98801381141</v>
      </c>
      <c r="L73" s="43">
        <f>Tabla3[[#This Row],[Columna10]]-$C$30</f>
        <v>416961.69000000134</v>
      </c>
      <c r="M73" s="41"/>
    </row>
    <row r="74" spans="1:13" x14ac:dyDescent="0.25">
      <c r="A74" s="7">
        <v>22</v>
      </c>
      <c r="B74" s="41"/>
      <c r="C74" s="41"/>
      <c r="D74" s="41">
        <f t="shared" si="5"/>
        <v>87040.333333333328</v>
      </c>
      <c r="E74" s="41"/>
      <c r="F74" s="41"/>
      <c r="G74" s="41"/>
      <c r="H74" s="41"/>
      <c r="I74" s="41"/>
      <c r="J74" s="41">
        <f t="shared" si="11"/>
        <v>26754002.023333333</v>
      </c>
      <c r="K74" s="41">
        <f>(J73-Tabla3[[#This Row],[Columna10]])+K73</f>
        <v>174080.65468047932</v>
      </c>
      <c r="L74" s="43">
        <f>Tabla3[[#This Row],[Columna10]]-$C$30</f>
        <v>504002.02333333343</v>
      </c>
      <c r="M74" s="41"/>
    </row>
    <row r="75" spans="1:13" x14ac:dyDescent="0.25">
      <c r="A75" s="7">
        <v>23</v>
      </c>
      <c r="B75" s="41"/>
      <c r="C75" s="41"/>
      <c r="D75" s="41">
        <f t="shared" si="5"/>
        <v>87040.333333333328</v>
      </c>
      <c r="E75" s="41"/>
      <c r="F75" s="41"/>
      <c r="G75" s="41"/>
      <c r="H75" s="41"/>
      <c r="I75" s="41"/>
      <c r="J75" s="41">
        <f t="shared" si="11"/>
        <v>26841042.356666666</v>
      </c>
      <c r="K75" s="41">
        <f>(J74-Tabla3[[#This Row],[Columna10]])+K74</f>
        <v>87040.321347147226</v>
      </c>
      <c r="L75" s="43">
        <f>Tabla3[[#This Row],[Columna10]]-$C$30</f>
        <v>591042.35666666552</v>
      </c>
      <c r="M75" s="41"/>
    </row>
    <row r="76" spans="1:13" x14ac:dyDescent="0.25">
      <c r="A76" s="7">
        <v>24</v>
      </c>
      <c r="B76" s="41"/>
      <c r="C76" s="41"/>
      <c r="D76" s="41">
        <f t="shared" si="5"/>
        <v>87040.333333333328</v>
      </c>
      <c r="E76" s="41"/>
      <c r="F76" s="41"/>
      <c r="G76" s="41"/>
      <c r="H76" s="41"/>
      <c r="I76" s="41"/>
      <c r="J76" s="41">
        <f t="shared" si="11"/>
        <v>26928082.689999998</v>
      </c>
      <c r="K76" s="41">
        <f>(J75-Tabla3[[#This Row],[Columna10]])+K75</f>
        <v>-1.1986184865236282E-2</v>
      </c>
      <c r="L76" s="43">
        <f>Tabla3[[#This Row],[Columna10]]-$C$30</f>
        <v>678082.68999999762</v>
      </c>
      <c r="M76" s="54" t="s">
        <v>21</v>
      </c>
    </row>
    <row r="77" spans="1:13" x14ac:dyDescent="0.25">
      <c r="A77" s="13" t="s">
        <v>41</v>
      </c>
      <c r="B77" s="44">
        <f>SUM(B53:B76)</f>
        <v>4087999.9999999995</v>
      </c>
      <c r="C77" s="44">
        <f t="shared" ref="C77:E77" si="12">SUM(C53:C76)</f>
        <v>4044202.16</v>
      </c>
      <c r="D77" s="44">
        <f t="shared" si="12"/>
        <v>2088967.9999999993</v>
      </c>
      <c r="E77" s="44">
        <f t="shared" si="12"/>
        <v>2513775.2200000002</v>
      </c>
      <c r="F77" s="44">
        <f>SUM(F53:F76)</f>
        <v>1273106.6599999999</v>
      </c>
      <c r="G77" s="44">
        <f>SUM(G53:G76)</f>
        <v>3597495.0799999996</v>
      </c>
      <c r="H77" s="44">
        <f t="shared" ref="H77" si="13">SUM(H53:H76)</f>
        <v>3617317.5999999992</v>
      </c>
      <c r="I77" s="44">
        <f t="shared" ref="I77" si="14">SUM(I53:I76)</f>
        <v>5705217.9700000016</v>
      </c>
      <c r="J77" s="44"/>
      <c r="K77" s="44"/>
      <c r="L77" s="45"/>
      <c r="M77" s="44"/>
    </row>
  </sheetData>
  <mergeCells count="4">
    <mergeCell ref="A1:C19"/>
    <mergeCell ref="D1:F19"/>
    <mergeCell ref="G1:I19"/>
    <mergeCell ref="J1:L19"/>
  </mergeCells>
  <pageMargins left="0.25" right="0.25" top="0.75" bottom="0.75" header="0.3" footer="0.3"/>
  <pageSetup orientation="portrait" r:id="rId1"/>
  <drawing r:id="rId2"/>
  <tableParts count="3"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CA009-40D5-43AC-B02B-7B20D0701CE6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Emilce</dc:creator>
  <cp:lastModifiedBy>Emilce</cp:lastModifiedBy>
  <dcterms:created xsi:type="dcterms:W3CDTF">2018-08-03T02:32:31Z</dcterms:created>
  <dcterms:modified xsi:type="dcterms:W3CDTF">2018-08-03T18:47:49Z</dcterms:modified>
</cp:coreProperties>
</file>