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UILLERMO ABONDANO\Desktop\"/>
    </mc:Choice>
  </mc:AlternateContent>
  <bookViews>
    <workbookView xWindow="0" yWindow="0" windowWidth="20400" windowHeight="7065" firstSheet="1" activeTab="4"/>
  </bookViews>
  <sheets>
    <sheet name="Unidad 1 Actividad 2" sheetId="2" r:id="rId1"/>
    <sheet name="Unidad 2 Actividad 2" sheetId="3" r:id="rId2"/>
    <sheet name="Unidad 2 Actividad 3" sheetId="4" r:id="rId3"/>
    <sheet name="Actividad 1 Unidad 3" sheetId="6" r:id="rId4"/>
    <sheet name="Actividad 2 Unidad 3" sheetId="7" r:id="rId5"/>
    <sheet name="Actividad 2 Unidad 4" sheetId="5" r:id="rId6"/>
    <sheet name="Actividad 3 Unidad 4" sheetId="8" r:id="rId7"/>
  </sheets>
  <externalReferences>
    <externalReference r:id="rId8"/>
  </externalReferences>
  <definedNames>
    <definedName name="_xlnm._FilterDatabase" localSheetId="0" hidden="1">'Unidad 1 Actividad 2'!$A$2:$C$21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8" i="8" l="1"/>
  <c r="C38" i="8" s="1"/>
  <c r="B37" i="8"/>
  <c r="C37" i="8" s="1"/>
  <c r="B36" i="8"/>
  <c r="C36" i="8" s="1"/>
  <c r="B35" i="8"/>
  <c r="C35" i="8" s="1"/>
  <c r="B34" i="8"/>
  <c r="C34" i="8" s="1"/>
  <c r="B33" i="8"/>
  <c r="C33" i="8" s="1"/>
  <c r="B32" i="8"/>
  <c r="C32" i="8" s="1"/>
  <c r="B31" i="8"/>
  <c r="C31" i="8" s="1"/>
  <c r="B30" i="8"/>
  <c r="C30" i="8" s="1"/>
  <c r="B29" i="8"/>
  <c r="C29" i="8" s="1"/>
  <c r="B28" i="8"/>
  <c r="C28" i="8" s="1"/>
  <c r="B27" i="8"/>
  <c r="C27" i="8" s="1"/>
  <c r="B26" i="8"/>
  <c r="C26" i="8" s="1"/>
  <c r="B25" i="8"/>
  <c r="C25" i="8" s="1"/>
  <c r="B24" i="8"/>
  <c r="C24" i="8" s="1"/>
  <c r="B23" i="8"/>
  <c r="C23" i="8" s="1"/>
  <c r="B22" i="8"/>
  <c r="C22" i="8" s="1"/>
  <c r="B21" i="8"/>
  <c r="C21" i="8" s="1"/>
  <c r="B20" i="8"/>
  <c r="C20" i="8" s="1"/>
  <c r="A12" i="8"/>
  <c r="A16" i="8" s="1"/>
  <c r="B5" i="8"/>
  <c r="B6" i="8" s="1"/>
  <c r="C34" i="7" l="1"/>
  <c r="B42" i="7" s="1"/>
  <c r="B44" i="7" s="1"/>
  <c r="D42" i="7"/>
  <c r="E42" i="7"/>
  <c r="H42" i="7"/>
  <c r="I42" i="7"/>
  <c r="D44" i="7"/>
  <c r="D50" i="7" s="1"/>
  <c r="E44" i="7"/>
  <c r="E49" i="7" s="1"/>
  <c r="H44" i="7"/>
  <c r="H53" i="7" s="1"/>
  <c r="I44" i="7"/>
  <c r="I53" i="7" s="1"/>
  <c r="E47" i="7"/>
  <c r="I47" i="7"/>
  <c r="E48" i="7"/>
  <c r="E71" i="7" s="1"/>
  <c r="I48" i="7"/>
  <c r="H50" i="7"/>
  <c r="I50" i="7"/>
  <c r="H52" i="7"/>
  <c r="I52" i="7"/>
  <c r="D55" i="7"/>
  <c r="I55" i="7"/>
  <c r="H56" i="7"/>
  <c r="I56" i="7"/>
  <c r="H57" i="7"/>
  <c r="I57" i="7"/>
  <c r="H58" i="7"/>
  <c r="I58" i="7"/>
  <c r="I59" i="7"/>
  <c r="D60" i="7"/>
  <c r="I60" i="7"/>
  <c r="I61" i="7"/>
  <c r="I62" i="7"/>
  <c r="D63" i="7"/>
  <c r="I63" i="7"/>
  <c r="I64" i="7"/>
  <c r="D65" i="7"/>
  <c r="J65" i="7" s="1"/>
  <c r="I65" i="7"/>
  <c r="I66" i="7"/>
  <c r="A90" i="7"/>
  <c r="D111" i="7"/>
  <c r="E111" i="7" s="1"/>
  <c r="I111" i="7"/>
  <c r="J111" i="7" s="1"/>
  <c r="K111" i="7" s="1"/>
  <c r="C112" i="7"/>
  <c r="D112" i="7"/>
  <c r="E112" i="7" s="1"/>
  <c r="C113" i="7"/>
  <c r="D113" i="7" s="1"/>
  <c r="E113" i="7"/>
  <c r="C114" i="7"/>
  <c r="D114" i="7" s="1"/>
  <c r="C115" i="7"/>
  <c r="B127" i="7"/>
  <c r="K127" i="7"/>
  <c r="F205" i="6"/>
  <c r="E36" i="6"/>
  <c r="E26" i="6"/>
  <c r="B8" i="6"/>
  <c r="J5" i="6"/>
  <c r="J6" i="6" s="1"/>
  <c r="E5" i="6"/>
  <c r="E6" i="6" s="1"/>
  <c r="B5" i="6"/>
  <c r="B6" i="6" s="1"/>
  <c r="G4" i="6"/>
  <c r="F4" i="6"/>
  <c r="E28" i="6" s="1"/>
  <c r="J3" i="6"/>
  <c r="J7" i="6" s="1"/>
  <c r="J9" i="6" s="1"/>
  <c r="B3" i="6"/>
  <c r="B7" i="6" s="1"/>
  <c r="H112" i="7" l="1"/>
  <c r="I112" i="7" s="1"/>
  <c r="J112" i="7" s="1"/>
  <c r="K112" i="7" s="1"/>
  <c r="E114" i="7"/>
  <c r="D115" i="7"/>
  <c r="C116" i="7"/>
  <c r="J63" i="7"/>
  <c r="B48" i="7"/>
  <c r="B51" i="7"/>
  <c r="B53" i="7"/>
  <c r="B57" i="7"/>
  <c r="B58" i="7"/>
  <c r="B49" i="7"/>
  <c r="B47" i="7"/>
  <c r="B54" i="7"/>
  <c r="B50" i="7"/>
  <c r="B52" i="7"/>
  <c r="B55" i="7"/>
  <c r="B56" i="7"/>
  <c r="H64" i="7"/>
  <c r="H62" i="7"/>
  <c r="D61" i="7"/>
  <c r="H59" i="7"/>
  <c r="H55" i="7"/>
  <c r="I54" i="7"/>
  <c r="D54" i="7"/>
  <c r="I51" i="7"/>
  <c r="D51" i="7"/>
  <c r="I49" i="7"/>
  <c r="I71" i="7" s="1"/>
  <c r="H48" i="7"/>
  <c r="D48" i="7"/>
  <c r="G42" i="7"/>
  <c r="G44" i="7" s="1"/>
  <c r="C42" i="7"/>
  <c r="C44" i="7" s="1"/>
  <c r="D70" i="7"/>
  <c r="J70" i="7" s="1"/>
  <c r="D69" i="7"/>
  <c r="J69" i="7" s="1"/>
  <c r="D68" i="7"/>
  <c r="J68" i="7" s="1"/>
  <c r="D67" i="7"/>
  <c r="J67" i="7" s="1"/>
  <c r="D64" i="7"/>
  <c r="J64" i="7" s="1"/>
  <c r="D62" i="7"/>
  <c r="J62" i="7" s="1"/>
  <c r="H60" i="7"/>
  <c r="D58" i="7"/>
  <c r="D57" i="7"/>
  <c r="H54" i="7"/>
  <c r="D53" i="7"/>
  <c r="H51" i="7"/>
  <c r="H49" i="7"/>
  <c r="D49" i="7"/>
  <c r="F42" i="7"/>
  <c r="F44" i="7" s="1"/>
  <c r="H47" i="7"/>
  <c r="D47" i="7"/>
  <c r="D71" i="7" s="1"/>
  <c r="D66" i="7"/>
  <c r="J66" i="7" s="1"/>
  <c r="H63" i="7"/>
  <c r="H61" i="7"/>
  <c r="D59" i="7"/>
  <c r="D56" i="7"/>
  <c r="D52" i="7"/>
  <c r="F6" i="6"/>
  <c r="E7" i="6"/>
  <c r="B9" i="6"/>
  <c r="E35" i="6"/>
  <c r="E31" i="6"/>
  <c r="E27" i="6"/>
  <c r="E34" i="6"/>
  <c r="E30" i="6"/>
  <c r="E33" i="6"/>
  <c r="E29" i="6"/>
  <c r="E25" i="6"/>
  <c r="G25" i="6" s="1"/>
  <c r="H25" i="6" s="1"/>
  <c r="F5" i="6"/>
  <c r="E32" i="6"/>
  <c r="H113" i="7" l="1"/>
  <c r="I113" i="7" s="1"/>
  <c r="J113" i="7" s="1"/>
  <c r="K113" i="7"/>
  <c r="J61" i="7"/>
  <c r="B71" i="7"/>
  <c r="H71" i="7"/>
  <c r="C49" i="7"/>
  <c r="C50" i="7"/>
  <c r="J50" i="7" s="1"/>
  <c r="C52" i="7"/>
  <c r="C48" i="7"/>
  <c r="C51" i="7"/>
  <c r="C47" i="7"/>
  <c r="C71" i="7" s="1"/>
  <c r="F48" i="7"/>
  <c r="F55" i="7"/>
  <c r="J55" i="7" s="1"/>
  <c r="F51" i="7"/>
  <c r="J51" i="7" s="1"/>
  <c r="F54" i="7"/>
  <c r="F47" i="7"/>
  <c r="F50" i="7"/>
  <c r="F52" i="7"/>
  <c r="J52" i="7" s="1"/>
  <c r="F56" i="7"/>
  <c r="F53" i="7"/>
  <c r="J53" i="7" s="1"/>
  <c r="F49" i="7"/>
  <c r="G49" i="7"/>
  <c r="J49" i="7" s="1"/>
  <c r="G51" i="7"/>
  <c r="G54" i="7"/>
  <c r="G60" i="7"/>
  <c r="J60" i="7" s="1"/>
  <c r="G53" i="7"/>
  <c r="G48" i="7"/>
  <c r="G55" i="7"/>
  <c r="G59" i="7"/>
  <c r="J59" i="7" s="1"/>
  <c r="G47" i="7"/>
  <c r="G50" i="7"/>
  <c r="G52" i="7"/>
  <c r="G56" i="7"/>
  <c r="J56" i="7" s="1"/>
  <c r="G57" i="7"/>
  <c r="G58" i="7"/>
  <c r="J58" i="7" s="1"/>
  <c r="G61" i="7"/>
  <c r="J48" i="7"/>
  <c r="C117" i="7"/>
  <c r="D116" i="7"/>
  <c r="J54" i="7"/>
  <c r="J57" i="7"/>
  <c r="E115" i="7"/>
  <c r="E47" i="6"/>
  <c r="E43" i="6"/>
  <c r="E39" i="6"/>
  <c r="E46" i="6"/>
  <c r="E42" i="6"/>
  <c r="E38" i="6"/>
  <c r="E45" i="6"/>
  <c r="E41" i="6"/>
  <c r="E37" i="6"/>
  <c r="E48" i="6"/>
  <c r="E40" i="6"/>
  <c r="E44" i="6"/>
  <c r="G5" i="6"/>
  <c r="F7" i="6"/>
  <c r="E8" i="6"/>
  <c r="J25" i="6"/>
  <c r="I25" i="6"/>
  <c r="E59" i="6"/>
  <c r="E55" i="6"/>
  <c r="E51" i="6"/>
  <c r="E58" i="6"/>
  <c r="E54" i="6"/>
  <c r="E50" i="6"/>
  <c r="E57" i="6"/>
  <c r="E53" i="6"/>
  <c r="E49" i="6"/>
  <c r="E60" i="6"/>
  <c r="E56" i="6"/>
  <c r="G6" i="6"/>
  <c r="E52" i="6"/>
  <c r="G71" i="7" l="1"/>
  <c r="E116" i="7"/>
  <c r="J47" i="7"/>
  <c r="H114" i="7"/>
  <c r="I114" i="7" s="1"/>
  <c r="J114" i="7" s="1"/>
  <c r="K114" i="7" s="1"/>
  <c r="F71" i="7"/>
  <c r="A92" i="7" s="1"/>
  <c r="A94" i="7" s="1"/>
  <c r="A96" i="7" s="1"/>
  <c r="C118" i="7"/>
  <c r="D117" i="7"/>
  <c r="E117" i="7" s="1"/>
  <c r="E71" i="6"/>
  <c r="E67" i="6"/>
  <c r="E63" i="6"/>
  <c r="E70" i="6"/>
  <c r="E66" i="6"/>
  <c r="E62" i="6"/>
  <c r="E69" i="6"/>
  <c r="E65" i="6"/>
  <c r="E61" i="6"/>
  <c r="E64" i="6"/>
  <c r="E68" i="6"/>
  <c r="G7" i="6"/>
  <c r="E72" i="6"/>
  <c r="J26" i="6"/>
  <c r="F8" i="6"/>
  <c r="E9" i="6"/>
  <c r="G26" i="6"/>
  <c r="H26" i="6" s="1"/>
  <c r="I26" i="6"/>
  <c r="H115" i="7" l="1"/>
  <c r="I115" i="7" s="1"/>
  <c r="J115" i="7" s="1"/>
  <c r="K115" i="7" s="1"/>
  <c r="D118" i="7"/>
  <c r="E118" i="7" s="1"/>
  <c r="C119" i="7"/>
  <c r="L47" i="7"/>
  <c r="L48" i="7" s="1"/>
  <c r="L49" i="7" s="1"/>
  <c r="L50" i="7" s="1"/>
  <c r="L51" i="7" s="1"/>
  <c r="L52" i="7" s="1"/>
  <c r="L53" i="7" s="1"/>
  <c r="L54" i="7" s="1"/>
  <c r="L55" i="7" s="1"/>
  <c r="L56" i="7" s="1"/>
  <c r="L57" i="7" s="1"/>
  <c r="L58" i="7" s="1"/>
  <c r="L59" i="7" s="1"/>
  <c r="L60" i="7" s="1"/>
  <c r="L61" i="7" s="1"/>
  <c r="L62" i="7" s="1"/>
  <c r="L63" i="7" s="1"/>
  <c r="L64" i="7" s="1"/>
  <c r="L65" i="7" s="1"/>
  <c r="L66" i="7" s="1"/>
  <c r="L67" i="7" s="1"/>
  <c r="L68" i="7" s="1"/>
  <c r="L69" i="7" s="1"/>
  <c r="L70" i="7" s="1"/>
  <c r="K47" i="7"/>
  <c r="K48" i="7" s="1"/>
  <c r="K49" i="7" s="1"/>
  <c r="K50" i="7" s="1"/>
  <c r="K51" i="7" s="1"/>
  <c r="K52" i="7" s="1"/>
  <c r="K53" i="7" s="1"/>
  <c r="K54" i="7" s="1"/>
  <c r="K55" i="7" s="1"/>
  <c r="K56" i="7" s="1"/>
  <c r="K57" i="7" s="1"/>
  <c r="K58" i="7" s="1"/>
  <c r="K59" i="7" s="1"/>
  <c r="K60" i="7" s="1"/>
  <c r="K61" i="7" s="1"/>
  <c r="K62" i="7" s="1"/>
  <c r="K63" i="7" s="1"/>
  <c r="K64" i="7" s="1"/>
  <c r="K65" i="7" s="1"/>
  <c r="K66" i="7" s="1"/>
  <c r="K67" i="7" s="1"/>
  <c r="K68" i="7" s="1"/>
  <c r="K69" i="7" s="1"/>
  <c r="K70" i="7" s="1"/>
  <c r="E84" i="6"/>
  <c r="E80" i="6"/>
  <c r="E76" i="6"/>
  <c r="E82" i="6"/>
  <c r="E78" i="6"/>
  <c r="E79" i="6"/>
  <c r="E77" i="6"/>
  <c r="E74" i="6"/>
  <c r="E83" i="6"/>
  <c r="E75" i="6"/>
  <c r="E73" i="6"/>
  <c r="G8" i="6"/>
  <c r="E81" i="6"/>
  <c r="F9" i="6"/>
  <c r="E10" i="6"/>
  <c r="G27" i="6"/>
  <c r="H27" i="6" s="1"/>
  <c r="I27" i="6" s="1"/>
  <c r="H116" i="7" l="1"/>
  <c r="I116" i="7" s="1"/>
  <c r="J116" i="7" s="1"/>
  <c r="K116" i="7" s="1"/>
  <c r="D119" i="7"/>
  <c r="E119" i="7" s="1"/>
  <c r="C120" i="7"/>
  <c r="G28" i="6"/>
  <c r="H28" i="6" s="1"/>
  <c r="I28" i="6" s="1"/>
  <c r="E96" i="6"/>
  <c r="E92" i="6"/>
  <c r="E88" i="6"/>
  <c r="E95" i="6"/>
  <c r="E94" i="6"/>
  <c r="E90" i="6"/>
  <c r="E86" i="6"/>
  <c r="E87" i="6"/>
  <c r="E85" i="6"/>
  <c r="E93" i="6"/>
  <c r="E91" i="6"/>
  <c r="E89" i="6"/>
  <c r="G9" i="6"/>
  <c r="J27" i="6"/>
  <c r="J28" i="6" s="1"/>
  <c r="F10" i="6"/>
  <c r="E11" i="6"/>
  <c r="H117" i="7" l="1"/>
  <c r="I117" i="7" s="1"/>
  <c r="J117" i="7" s="1"/>
  <c r="K117" i="7"/>
  <c r="C121" i="7"/>
  <c r="D120" i="7"/>
  <c r="E120" i="7" s="1"/>
  <c r="G29" i="6"/>
  <c r="H29" i="6" s="1"/>
  <c r="I29" i="6" s="1"/>
  <c r="J29" i="6"/>
  <c r="F11" i="6"/>
  <c r="E12" i="6"/>
  <c r="E108" i="6"/>
  <c r="E104" i="6"/>
  <c r="E100" i="6"/>
  <c r="E107" i="6"/>
  <c r="E103" i="6"/>
  <c r="E99" i="6"/>
  <c r="E106" i="6"/>
  <c r="E102" i="6"/>
  <c r="E98" i="6"/>
  <c r="E101" i="6"/>
  <c r="E97" i="6"/>
  <c r="E105" i="6"/>
  <c r="G10" i="6"/>
  <c r="C122" i="7" l="1"/>
  <c r="D121" i="7"/>
  <c r="E121" i="7" s="1"/>
  <c r="H118" i="7"/>
  <c r="I118" i="7" s="1"/>
  <c r="J118" i="7" s="1"/>
  <c r="K118" i="7" s="1"/>
  <c r="G30" i="6"/>
  <c r="H30" i="6" s="1"/>
  <c r="I30" i="6"/>
  <c r="E117" i="6"/>
  <c r="E113" i="6"/>
  <c r="E109" i="6"/>
  <c r="E120" i="6"/>
  <c r="E116" i="6"/>
  <c r="E112" i="6"/>
  <c r="E114" i="6"/>
  <c r="E115" i="6"/>
  <c r="E118" i="6"/>
  <c r="E110" i="6"/>
  <c r="E119" i="6"/>
  <c r="G11" i="6"/>
  <c r="E111" i="6"/>
  <c r="J30" i="6"/>
  <c r="E13" i="6"/>
  <c r="F12" i="6"/>
  <c r="H119" i="7" l="1"/>
  <c r="I119" i="7" s="1"/>
  <c r="J119" i="7" s="1"/>
  <c r="K119" i="7" s="1"/>
  <c r="D122" i="7"/>
  <c r="E122" i="7" s="1"/>
  <c r="C123" i="7"/>
  <c r="G31" i="6"/>
  <c r="H31" i="6" s="1"/>
  <c r="I31" i="6" s="1"/>
  <c r="J31" i="6"/>
  <c r="E129" i="6"/>
  <c r="E125" i="6"/>
  <c r="E121" i="6"/>
  <c r="E132" i="6"/>
  <c r="E128" i="6"/>
  <c r="E124" i="6"/>
  <c r="E130" i="6"/>
  <c r="E122" i="6"/>
  <c r="E131" i="6"/>
  <c r="E123" i="6"/>
  <c r="E126" i="6"/>
  <c r="E127" i="6"/>
  <c r="G12" i="6"/>
  <c r="E14" i="6"/>
  <c r="F13" i="6"/>
  <c r="H120" i="7" l="1"/>
  <c r="I120" i="7" s="1"/>
  <c r="J120" i="7" s="1"/>
  <c r="K120" i="7" s="1"/>
  <c r="D123" i="7"/>
  <c r="E123" i="7" s="1"/>
  <c r="C124" i="7"/>
  <c r="G32" i="6"/>
  <c r="H32" i="6" s="1"/>
  <c r="I32" i="6" s="1"/>
  <c r="J32" i="6"/>
  <c r="E142" i="6"/>
  <c r="E138" i="6"/>
  <c r="E137" i="6"/>
  <c r="E133" i="6"/>
  <c r="E141" i="6"/>
  <c r="E140" i="6"/>
  <c r="E139" i="6"/>
  <c r="E136" i="6"/>
  <c r="E144" i="6"/>
  <c r="E134" i="6"/>
  <c r="E143" i="6"/>
  <c r="E135" i="6"/>
  <c r="G13" i="6"/>
  <c r="F14" i="6"/>
  <c r="E15" i="6"/>
  <c r="H121" i="7" l="1"/>
  <c r="I121" i="7" s="1"/>
  <c r="J121" i="7" s="1"/>
  <c r="K121" i="7"/>
  <c r="C125" i="7"/>
  <c r="D125" i="7" s="1"/>
  <c r="D124" i="7"/>
  <c r="E124" i="7" s="1"/>
  <c r="G33" i="6"/>
  <c r="H33" i="6" s="1"/>
  <c r="I33" i="6"/>
  <c r="J33" i="6"/>
  <c r="F15" i="6"/>
  <c r="E16" i="6"/>
  <c r="E154" i="6"/>
  <c r="E150" i="6"/>
  <c r="E146" i="6"/>
  <c r="E153" i="6"/>
  <c r="E152" i="6"/>
  <c r="E151" i="6"/>
  <c r="E156" i="6"/>
  <c r="E155" i="6"/>
  <c r="E149" i="6"/>
  <c r="E147" i="6"/>
  <c r="E148" i="6"/>
  <c r="E145" i="6"/>
  <c r="G14" i="6"/>
  <c r="E125" i="7" l="1"/>
  <c r="B128" i="7" s="1"/>
  <c r="B129" i="7" s="1"/>
  <c r="B130" i="7" s="1"/>
  <c r="H122" i="7"/>
  <c r="I122" i="7" s="1"/>
  <c r="J122" i="7" s="1"/>
  <c r="K122" i="7" s="1"/>
  <c r="G34" i="6"/>
  <c r="H34" i="6" s="1"/>
  <c r="J34" i="6" s="1"/>
  <c r="I34" i="6"/>
  <c r="E167" i="6"/>
  <c r="E163" i="6"/>
  <c r="E159" i="6"/>
  <c r="E166" i="6"/>
  <c r="E162" i="6"/>
  <c r="E158" i="6"/>
  <c r="E165" i="6"/>
  <c r="E168" i="6"/>
  <c r="E160" i="6"/>
  <c r="E157" i="6"/>
  <c r="E164" i="6"/>
  <c r="G15" i="6"/>
  <c r="E161" i="6"/>
  <c r="E17" i="6"/>
  <c r="F16" i="6"/>
  <c r="H123" i="7" l="1"/>
  <c r="I123" i="7" s="1"/>
  <c r="J123" i="7" s="1"/>
  <c r="K123" i="7" s="1"/>
  <c r="G35" i="6"/>
  <c r="H35" i="6" s="1"/>
  <c r="J35" i="6" s="1"/>
  <c r="E179" i="6"/>
  <c r="E175" i="6"/>
  <c r="E171" i="6"/>
  <c r="E178" i="6"/>
  <c r="E174" i="6"/>
  <c r="E170" i="6"/>
  <c r="E173" i="6"/>
  <c r="E176" i="6"/>
  <c r="E180" i="6"/>
  <c r="E169" i="6"/>
  <c r="E172" i="6"/>
  <c r="E177" i="6"/>
  <c r="G16" i="6"/>
  <c r="E18" i="6"/>
  <c r="F18" i="6" s="1"/>
  <c r="F17" i="6"/>
  <c r="H124" i="7" l="1"/>
  <c r="I124" i="7" s="1"/>
  <c r="J124" i="7" s="1"/>
  <c r="K124" i="7" s="1"/>
  <c r="I35" i="6"/>
  <c r="E191" i="6"/>
  <c r="E187" i="6"/>
  <c r="E183" i="6"/>
  <c r="E190" i="6"/>
  <c r="E186" i="6"/>
  <c r="E182" i="6"/>
  <c r="E189" i="6"/>
  <c r="E181" i="6"/>
  <c r="E192" i="6"/>
  <c r="E184" i="6"/>
  <c r="E185" i="6"/>
  <c r="E188" i="6"/>
  <c r="G17" i="6"/>
  <c r="E203" i="6"/>
  <c r="E199" i="6"/>
  <c r="E195" i="6"/>
  <c r="E202" i="6"/>
  <c r="E198" i="6"/>
  <c r="E194" i="6"/>
  <c r="E197" i="6"/>
  <c r="E200" i="6"/>
  <c r="E196" i="6"/>
  <c r="E201" i="6"/>
  <c r="E204" i="6"/>
  <c r="E193" i="6"/>
  <c r="G18" i="6"/>
  <c r="H125" i="7" l="1"/>
  <c r="I125" i="7" s="1"/>
  <c r="J125" i="7" s="1"/>
  <c r="K125" i="7"/>
  <c r="K126" i="7" s="1"/>
  <c r="K128" i="7" s="1"/>
  <c r="K129" i="7" s="1"/>
  <c r="G36" i="6"/>
  <c r="H36" i="6" s="1"/>
  <c r="J36" i="6" s="1"/>
  <c r="I36" i="6" l="1"/>
  <c r="G37" i="6" l="1"/>
  <c r="H37" i="6" s="1"/>
  <c r="J37" i="6" s="1"/>
  <c r="I37" i="6"/>
  <c r="G38" i="6" l="1"/>
  <c r="H38" i="6" s="1"/>
  <c r="I38" i="6"/>
  <c r="J38" i="6"/>
  <c r="G39" i="6" l="1"/>
  <c r="H39" i="6" s="1"/>
  <c r="J39" i="6" s="1"/>
  <c r="I39" i="6" l="1"/>
  <c r="G40" i="6" l="1"/>
  <c r="H40" i="6" s="1"/>
  <c r="J40" i="6" s="1"/>
  <c r="I40" i="6" l="1"/>
  <c r="G41" i="6" l="1"/>
  <c r="H41" i="6" s="1"/>
  <c r="J41" i="6" s="1"/>
  <c r="I41" i="6" l="1"/>
  <c r="G42" i="6" l="1"/>
  <c r="H42" i="6" s="1"/>
  <c r="J42" i="6" s="1"/>
  <c r="I42" i="6"/>
  <c r="G43" i="6" l="1"/>
  <c r="H43" i="6" s="1"/>
  <c r="I43" i="6" s="1"/>
  <c r="J43" i="6"/>
  <c r="G44" i="6" l="1"/>
  <c r="H44" i="6" s="1"/>
  <c r="I44" i="6" s="1"/>
  <c r="G45" i="6" l="1"/>
  <c r="H45" i="6" s="1"/>
  <c r="I45" i="6"/>
  <c r="J44" i="6"/>
  <c r="J45" i="6" s="1"/>
  <c r="G46" i="6" l="1"/>
  <c r="H46" i="6" s="1"/>
  <c r="J46" i="6" s="1"/>
  <c r="I46" i="6" l="1"/>
  <c r="I47" i="6" l="1"/>
  <c r="G47" i="6"/>
  <c r="H47" i="6" s="1"/>
  <c r="J47" i="6" s="1"/>
  <c r="G48" i="6" l="1"/>
  <c r="H48" i="6" s="1"/>
  <c r="J48" i="6" s="1"/>
  <c r="I48" i="6" l="1"/>
  <c r="G49" i="6" l="1"/>
  <c r="H49" i="6" s="1"/>
  <c r="J49" i="6" s="1"/>
  <c r="I49" i="6" l="1"/>
  <c r="G50" i="6" l="1"/>
  <c r="H50" i="6" s="1"/>
  <c r="J50" i="6" s="1"/>
  <c r="I50" i="6"/>
  <c r="G51" i="6" l="1"/>
  <c r="H51" i="6" s="1"/>
  <c r="I51" i="6" s="1"/>
  <c r="J51" i="6"/>
  <c r="G52" i="6" l="1"/>
  <c r="H52" i="6" s="1"/>
  <c r="I52" i="6" s="1"/>
  <c r="J52" i="6"/>
  <c r="G53" i="6" l="1"/>
  <c r="H53" i="6" s="1"/>
  <c r="I53" i="6" s="1"/>
  <c r="G54" i="6" l="1"/>
  <c r="H54" i="6" s="1"/>
  <c r="I54" i="6" s="1"/>
  <c r="J53" i="6"/>
  <c r="G55" i="6" l="1"/>
  <c r="H55" i="6" s="1"/>
  <c r="I55" i="6" s="1"/>
  <c r="J54" i="6"/>
  <c r="J55" i="6" s="1"/>
  <c r="G56" i="6" l="1"/>
  <c r="H56" i="6" s="1"/>
  <c r="I56" i="6" s="1"/>
  <c r="J56" i="6"/>
  <c r="G57" i="6" l="1"/>
  <c r="H57" i="6" s="1"/>
  <c r="I57" i="6" s="1"/>
  <c r="G58" i="6" l="1"/>
  <c r="H58" i="6" s="1"/>
  <c r="I58" i="6"/>
  <c r="J57" i="6"/>
  <c r="J58" i="6" s="1"/>
  <c r="I59" i="6" l="1"/>
  <c r="G59" i="6"/>
  <c r="H59" i="6" s="1"/>
  <c r="J59" i="6"/>
  <c r="G60" i="6" l="1"/>
  <c r="H60" i="6" s="1"/>
  <c r="J60" i="6" s="1"/>
  <c r="I60" i="6" l="1"/>
  <c r="G61" i="6" l="1"/>
  <c r="H61" i="6" s="1"/>
  <c r="J61" i="6" s="1"/>
  <c r="I61" i="6"/>
  <c r="G62" i="6" l="1"/>
  <c r="H62" i="6" s="1"/>
  <c r="I62" i="6"/>
  <c r="J62" i="6"/>
  <c r="G63" i="6" l="1"/>
  <c r="H63" i="6" s="1"/>
  <c r="I63" i="6" s="1"/>
  <c r="I64" i="6" l="1"/>
  <c r="G64" i="6"/>
  <c r="H64" i="6" s="1"/>
  <c r="J63" i="6"/>
  <c r="J64" i="6" s="1"/>
  <c r="G65" i="6" l="1"/>
  <c r="H65" i="6" s="1"/>
  <c r="J65" i="6" s="1"/>
  <c r="I65" i="6"/>
  <c r="G66" i="6" l="1"/>
  <c r="H66" i="6" s="1"/>
  <c r="J66" i="6" s="1"/>
  <c r="I66" i="6"/>
  <c r="G67" i="6" l="1"/>
  <c r="H67" i="6" s="1"/>
  <c r="J67" i="6" s="1"/>
  <c r="I67" i="6" l="1"/>
  <c r="I68" i="6" l="1"/>
  <c r="G68" i="6"/>
  <c r="H68" i="6" s="1"/>
  <c r="J68" i="6" s="1"/>
  <c r="J69" i="6" l="1"/>
  <c r="G69" i="6"/>
  <c r="H69" i="6" s="1"/>
  <c r="I69" i="6"/>
  <c r="G70" i="6" l="1"/>
  <c r="H70" i="6" s="1"/>
  <c r="I70" i="6" s="1"/>
  <c r="I71" i="6" l="1"/>
  <c r="G71" i="6"/>
  <c r="H71" i="6" s="1"/>
  <c r="J70" i="6"/>
  <c r="J71" i="6" s="1"/>
  <c r="I72" i="6" l="1"/>
  <c r="G72" i="6"/>
  <c r="H72" i="6" s="1"/>
  <c r="J72" i="6"/>
  <c r="G73" i="6" l="1"/>
  <c r="H73" i="6" s="1"/>
  <c r="I73" i="6" s="1"/>
  <c r="G74" i="6" l="1"/>
  <c r="H74" i="6" s="1"/>
  <c r="I74" i="6" s="1"/>
  <c r="J73" i="6"/>
  <c r="J74" i="6" s="1"/>
  <c r="G75" i="6" l="1"/>
  <c r="H75" i="6" s="1"/>
  <c r="I75" i="6"/>
  <c r="J75" i="6"/>
  <c r="G76" i="6" l="1"/>
  <c r="H76" i="6" s="1"/>
  <c r="J76" i="6" s="1"/>
  <c r="I76" i="6" l="1"/>
  <c r="G77" i="6" l="1"/>
  <c r="H77" i="6" s="1"/>
  <c r="J77" i="6" s="1"/>
  <c r="I77" i="6" l="1"/>
  <c r="I78" i="6" l="1"/>
  <c r="G78" i="6"/>
  <c r="H78" i="6" s="1"/>
  <c r="J78" i="6" s="1"/>
  <c r="J79" i="6" l="1"/>
  <c r="G79" i="6"/>
  <c r="H79" i="6" s="1"/>
  <c r="I79" i="6"/>
  <c r="I80" i="6" l="1"/>
  <c r="G80" i="6"/>
  <c r="H80" i="6" s="1"/>
  <c r="J80" i="6"/>
  <c r="J81" i="6" l="1"/>
  <c r="G81" i="6"/>
  <c r="H81" i="6" s="1"/>
  <c r="I81" i="6" s="1"/>
  <c r="G82" i="6" l="1"/>
  <c r="H82" i="6" s="1"/>
  <c r="I82" i="6"/>
  <c r="J82" i="6"/>
  <c r="G83" i="6" l="1"/>
  <c r="H83" i="6" s="1"/>
  <c r="I83" i="6" s="1"/>
  <c r="I84" i="6" l="1"/>
  <c r="G84" i="6"/>
  <c r="H84" i="6" s="1"/>
  <c r="J83" i="6"/>
  <c r="J84" i="6" s="1"/>
  <c r="G85" i="6" l="1"/>
  <c r="H85" i="6" s="1"/>
  <c r="I85" i="6" s="1"/>
  <c r="J85" i="6"/>
  <c r="I86" i="6" l="1"/>
  <c r="G86" i="6"/>
  <c r="H86" i="6" s="1"/>
  <c r="J86" i="6"/>
  <c r="G87" i="6" l="1"/>
  <c r="H87" i="6" s="1"/>
  <c r="I87" i="6" s="1"/>
  <c r="G88" i="6" l="1"/>
  <c r="H88" i="6" s="1"/>
  <c r="I88" i="6" s="1"/>
  <c r="J87" i="6"/>
  <c r="I89" i="6" l="1"/>
  <c r="G89" i="6"/>
  <c r="H89" i="6" s="1"/>
  <c r="J88" i="6"/>
  <c r="J89" i="6" s="1"/>
  <c r="G90" i="6" l="1"/>
  <c r="H90" i="6" s="1"/>
  <c r="J90" i="6" s="1"/>
  <c r="I90" i="6"/>
  <c r="J91" i="6" l="1"/>
  <c r="G91" i="6"/>
  <c r="H91" i="6" s="1"/>
  <c r="I91" i="6"/>
  <c r="J92" i="6" l="1"/>
  <c r="G92" i="6"/>
  <c r="H92" i="6" s="1"/>
  <c r="I92" i="6" s="1"/>
  <c r="G93" i="6" l="1"/>
  <c r="H93" i="6" s="1"/>
  <c r="I93" i="6" s="1"/>
  <c r="J93" i="6"/>
  <c r="G94" i="6" l="1"/>
  <c r="H94" i="6" s="1"/>
  <c r="I94" i="6" s="1"/>
  <c r="G95" i="6" l="1"/>
  <c r="H95" i="6" s="1"/>
  <c r="I95" i="6" s="1"/>
  <c r="J94" i="6"/>
  <c r="I96" i="6" l="1"/>
  <c r="G96" i="6"/>
  <c r="H96" i="6" s="1"/>
  <c r="J95" i="6"/>
  <c r="J96" i="6" s="1"/>
  <c r="I97" i="6" l="1"/>
  <c r="G97" i="6"/>
  <c r="H97" i="6" s="1"/>
  <c r="J97" i="6"/>
  <c r="G98" i="6" l="1"/>
  <c r="H98" i="6" s="1"/>
  <c r="J98" i="6" s="1"/>
  <c r="I98" i="6"/>
  <c r="G99" i="6" l="1"/>
  <c r="H99" i="6" s="1"/>
  <c r="J99" i="6" s="1"/>
  <c r="I99" i="6"/>
  <c r="G100" i="6" l="1"/>
  <c r="H100" i="6" s="1"/>
  <c r="J100" i="6" s="1"/>
  <c r="I100" i="6" l="1"/>
  <c r="I101" i="6" l="1"/>
  <c r="G101" i="6"/>
  <c r="H101" i="6" s="1"/>
  <c r="J101" i="6" s="1"/>
  <c r="J102" i="6" l="1"/>
  <c r="G102" i="6"/>
  <c r="H102" i="6" s="1"/>
  <c r="I102" i="6"/>
  <c r="G103" i="6" l="1"/>
  <c r="H103" i="6" s="1"/>
  <c r="I103" i="6" s="1"/>
  <c r="G104" i="6" l="1"/>
  <c r="H104" i="6" s="1"/>
  <c r="I104" i="6" s="1"/>
  <c r="J103" i="6"/>
  <c r="J104" i="6" s="1"/>
  <c r="G105" i="6" l="1"/>
  <c r="H105" i="6" s="1"/>
  <c r="I105" i="6" s="1"/>
  <c r="G106" i="6" l="1"/>
  <c r="H106" i="6" s="1"/>
  <c r="I106" i="6" s="1"/>
  <c r="J105" i="6"/>
  <c r="G107" i="6" l="1"/>
  <c r="H107" i="6" s="1"/>
  <c r="I107" i="6" s="1"/>
  <c r="J106" i="6"/>
  <c r="G108" i="6" l="1"/>
  <c r="H108" i="6" s="1"/>
  <c r="I108" i="6" s="1"/>
  <c r="J107" i="6"/>
  <c r="J108" i="6" s="1"/>
  <c r="I109" i="6" l="1"/>
  <c r="G109" i="6"/>
  <c r="H109" i="6" s="1"/>
  <c r="J109" i="6"/>
  <c r="G110" i="6" l="1"/>
  <c r="H110" i="6" s="1"/>
  <c r="J110" i="6" s="1"/>
  <c r="I110" i="6" l="1"/>
  <c r="G111" i="6" l="1"/>
  <c r="H111" i="6" s="1"/>
  <c r="J111" i="6" s="1"/>
  <c r="I111" i="6" l="1"/>
  <c r="G112" i="6" l="1"/>
  <c r="H112" i="6" s="1"/>
  <c r="J112" i="6" s="1"/>
  <c r="I112" i="6"/>
  <c r="G113" i="6" l="1"/>
  <c r="H113" i="6" s="1"/>
  <c r="I113" i="6" s="1"/>
  <c r="J113" i="6"/>
  <c r="G114" i="6" l="1"/>
  <c r="H114" i="6" s="1"/>
  <c r="I114" i="6" s="1"/>
  <c r="J114" i="6"/>
  <c r="G115" i="6" l="1"/>
  <c r="H115" i="6" s="1"/>
  <c r="I115" i="6" s="1"/>
  <c r="G116" i="6" l="1"/>
  <c r="H116" i="6" s="1"/>
  <c r="I116" i="6"/>
  <c r="J115" i="6"/>
  <c r="J116" i="6" s="1"/>
  <c r="G117" i="6" l="1"/>
  <c r="H117" i="6" s="1"/>
  <c r="J117" i="6" s="1"/>
  <c r="I117" i="6" l="1"/>
  <c r="G118" i="6" l="1"/>
  <c r="H118" i="6" s="1"/>
  <c r="J118" i="6" s="1"/>
  <c r="I118" i="6" l="1"/>
  <c r="G119" i="6" l="1"/>
  <c r="H119" i="6" s="1"/>
  <c r="J119" i="6" s="1"/>
  <c r="I119" i="6"/>
  <c r="G120" i="6" l="1"/>
  <c r="H120" i="6" s="1"/>
  <c r="I120" i="6"/>
  <c r="J120" i="6"/>
  <c r="G121" i="6" l="1"/>
  <c r="H121" i="6" s="1"/>
  <c r="J121" i="6" s="1"/>
  <c r="I121" i="6" l="1"/>
  <c r="G122" i="6" l="1"/>
  <c r="H122" i="6" s="1"/>
  <c r="J122" i="6" s="1"/>
  <c r="I122" i="6" l="1"/>
  <c r="G123" i="6" l="1"/>
  <c r="H123" i="6" s="1"/>
  <c r="J123" i="6" s="1"/>
  <c r="I123" i="6" l="1"/>
  <c r="G124" i="6" l="1"/>
  <c r="H124" i="6" s="1"/>
  <c r="J124" i="6" s="1"/>
  <c r="I124" i="6"/>
  <c r="G125" i="6" l="1"/>
  <c r="H125" i="6" s="1"/>
  <c r="I125" i="6" s="1"/>
  <c r="J125" i="6"/>
  <c r="G126" i="6" l="1"/>
  <c r="H126" i="6" s="1"/>
  <c r="I126" i="6" s="1"/>
  <c r="J126" i="6"/>
  <c r="G127" i="6" l="1"/>
  <c r="H127" i="6" s="1"/>
  <c r="I127" i="6" s="1"/>
  <c r="G128" i="6" l="1"/>
  <c r="H128" i="6" s="1"/>
  <c r="I128" i="6" s="1"/>
  <c r="J127" i="6"/>
  <c r="I129" i="6" l="1"/>
  <c r="G129" i="6"/>
  <c r="H129" i="6" s="1"/>
  <c r="J128" i="6"/>
  <c r="J129" i="6" s="1"/>
  <c r="J130" i="6" l="1"/>
  <c r="G130" i="6"/>
  <c r="H130" i="6" s="1"/>
  <c r="I130" i="6" s="1"/>
  <c r="G131" i="6" l="1"/>
  <c r="H131" i="6" s="1"/>
  <c r="I131" i="6"/>
  <c r="J131" i="6"/>
  <c r="G132" i="6" l="1"/>
  <c r="H132" i="6" s="1"/>
  <c r="I132" i="6" s="1"/>
  <c r="I133" i="6" l="1"/>
  <c r="G133" i="6"/>
  <c r="H133" i="6" s="1"/>
  <c r="J132" i="6"/>
  <c r="J133" i="6" s="1"/>
  <c r="G134" i="6" l="1"/>
  <c r="H134" i="6" s="1"/>
  <c r="J134" i="6" s="1"/>
  <c r="I134" i="6" l="1"/>
  <c r="G135" i="6" l="1"/>
  <c r="H135" i="6" s="1"/>
  <c r="J135" i="6" s="1"/>
  <c r="I135" i="6"/>
  <c r="G136" i="6" l="1"/>
  <c r="H136" i="6" s="1"/>
  <c r="I136" i="6" s="1"/>
  <c r="G137" i="6" l="1"/>
  <c r="H137" i="6" s="1"/>
  <c r="I137" i="6" s="1"/>
  <c r="J136" i="6"/>
  <c r="J137" i="6" s="1"/>
  <c r="G138" i="6" l="1"/>
  <c r="H138" i="6" s="1"/>
  <c r="I138" i="6" s="1"/>
  <c r="G139" i="6" l="1"/>
  <c r="H139" i="6" s="1"/>
  <c r="I139" i="6" s="1"/>
  <c r="J138" i="6"/>
  <c r="J139" i="6" s="1"/>
  <c r="G140" i="6" l="1"/>
  <c r="H140" i="6" s="1"/>
  <c r="I140" i="6" s="1"/>
  <c r="G141" i="6" l="1"/>
  <c r="H141" i="6" s="1"/>
  <c r="I141" i="6" s="1"/>
  <c r="J140" i="6"/>
  <c r="G142" i="6" l="1"/>
  <c r="H142" i="6" s="1"/>
  <c r="I142" i="6" s="1"/>
  <c r="J141" i="6"/>
  <c r="I143" i="6" l="1"/>
  <c r="G143" i="6"/>
  <c r="H143" i="6" s="1"/>
  <c r="J142" i="6"/>
  <c r="J143" i="6" s="1"/>
  <c r="I144" i="6" l="1"/>
  <c r="G144" i="6"/>
  <c r="H144" i="6" s="1"/>
  <c r="J144" i="6"/>
  <c r="G145" i="6" l="1"/>
  <c r="H145" i="6" s="1"/>
  <c r="I145" i="6" s="1"/>
  <c r="G146" i="6" l="1"/>
  <c r="H146" i="6" s="1"/>
  <c r="I146" i="6" s="1"/>
  <c r="J145" i="6"/>
  <c r="J146" i="6" s="1"/>
  <c r="I147" i="6" l="1"/>
  <c r="G147" i="6"/>
  <c r="H147" i="6" s="1"/>
  <c r="J147" i="6"/>
  <c r="I148" i="6" l="1"/>
  <c r="G148" i="6"/>
  <c r="H148" i="6" s="1"/>
  <c r="J148" i="6"/>
  <c r="G149" i="6" l="1"/>
  <c r="H149" i="6" s="1"/>
  <c r="I149" i="6" s="1"/>
  <c r="I150" i="6" l="1"/>
  <c r="G150" i="6"/>
  <c r="H150" i="6" s="1"/>
  <c r="J149" i="6"/>
  <c r="J150" i="6" s="1"/>
  <c r="G151" i="6" l="1"/>
  <c r="H151" i="6" s="1"/>
  <c r="J151" i="6" s="1"/>
  <c r="I151" i="6" l="1"/>
  <c r="G152" i="6" l="1"/>
  <c r="H152" i="6" s="1"/>
  <c r="J152" i="6" s="1"/>
  <c r="I152" i="6" l="1"/>
  <c r="G153" i="6" l="1"/>
  <c r="H153" i="6" s="1"/>
  <c r="J153" i="6" s="1"/>
  <c r="I153" i="6"/>
  <c r="G154" i="6" l="1"/>
  <c r="H154" i="6" s="1"/>
  <c r="J154" i="6" s="1"/>
  <c r="I154" i="6"/>
  <c r="J155" i="6" l="1"/>
  <c r="I155" i="6"/>
  <c r="G155" i="6"/>
  <c r="H155" i="6" s="1"/>
  <c r="G156" i="6" l="1"/>
  <c r="H156" i="6" s="1"/>
  <c r="I156" i="6"/>
  <c r="J156" i="6"/>
  <c r="G157" i="6" l="1"/>
  <c r="H157" i="6" s="1"/>
  <c r="I157" i="6" s="1"/>
  <c r="G158" i="6" l="1"/>
  <c r="H158" i="6" s="1"/>
  <c r="I158" i="6"/>
  <c r="J157" i="6"/>
  <c r="G159" i="6" l="1"/>
  <c r="H159" i="6" s="1"/>
  <c r="I159" i="6" s="1"/>
  <c r="J158" i="6"/>
  <c r="J159" i="6" s="1"/>
  <c r="G160" i="6" l="1"/>
  <c r="H160" i="6" s="1"/>
  <c r="I160" i="6" s="1"/>
  <c r="J160" i="6"/>
  <c r="G161" i="6" l="1"/>
  <c r="H161" i="6" s="1"/>
  <c r="I161" i="6"/>
  <c r="J161" i="6"/>
  <c r="G162" i="6" l="1"/>
  <c r="H162" i="6" s="1"/>
  <c r="J162" i="6" s="1"/>
  <c r="I162" i="6"/>
  <c r="G163" i="6" l="1"/>
  <c r="H163" i="6" s="1"/>
  <c r="J163" i="6" s="1"/>
  <c r="I163" i="6" l="1"/>
  <c r="G164" i="6" l="1"/>
  <c r="H164" i="6" s="1"/>
  <c r="J164" i="6" s="1"/>
  <c r="I164" i="6" l="1"/>
  <c r="G165" i="6" l="1"/>
  <c r="H165" i="6" s="1"/>
  <c r="J165" i="6" s="1"/>
  <c r="I165" i="6"/>
  <c r="G166" i="6" l="1"/>
  <c r="H166" i="6" s="1"/>
  <c r="I166" i="6" s="1"/>
  <c r="G167" i="6" l="1"/>
  <c r="H167" i="6" s="1"/>
  <c r="I167" i="6" s="1"/>
  <c r="J166" i="6"/>
  <c r="J167" i="6" s="1"/>
  <c r="I168" i="6" l="1"/>
  <c r="G168" i="6"/>
  <c r="H168" i="6" s="1"/>
  <c r="J168" i="6"/>
  <c r="G169" i="6" l="1"/>
  <c r="H169" i="6" s="1"/>
  <c r="I169" i="6" s="1"/>
  <c r="G170" i="6" l="1"/>
  <c r="H170" i="6" s="1"/>
  <c r="I170" i="6" s="1"/>
  <c r="J169" i="6"/>
  <c r="I171" i="6" l="1"/>
  <c r="G171" i="6"/>
  <c r="H171" i="6" s="1"/>
  <c r="J170" i="6"/>
  <c r="J171" i="6" s="1"/>
  <c r="I172" i="6" l="1"/>
  <c r="G172" i="6"/>
  <c r="H172" i="6" s="1"/>
  <c r="J172" i="6"/>
  <c r="G173" i="6" l="1"/>
  <c r="H173" i="6" s="1"/>
  <c r="I173" i="6"/>
  <c r="J173" i="6"/>
  <c r="G174" i="6" l="1"/>
  <c r="H174" i="6" s="1"/>
  <c r="J174" i="6" s="1"/>
  <c r="I174" i="6"/>
  <c r="J175" i="6" l="1"/>
  <c r="G175" i="6"/>
  <c r="H175" i="6" s="1"/>
  <c r="I175" i="6" s="1"/>
  <c r="G176" i="6" l="1"/>
  <c r="H176" i="6" s="1"/>
  <c r="I176" i="6" s="1"/>
  <c r="J176" i="6"/>
  <c r="G177" i="6" l="1"/>
  <c r="H177" i="6" s="1"/>
  <c r="I177" i="6" s="1"/>
  <c r="G178" i="6" l="1"/>
  <c r="H178" i="6" s="1"/>
  <c r="I178" i="6" s="1"/>
  <c r="J177" i="6"/>
  <c r="I179" i="6" l="1"/>
  <c r="G179" i="6"/>
  <c r="H179" i="6" s="1"/>
  <c r="J178" i="6"/>
  <c r="J179" i="6" s="1"/>
  <c r="J180" i="6" l="1"/>
  <c r="G180" i="6"/>
  <c r="H180" i="6" s="1"/>
  <c r="I180" i="6" s="1"/>
  <c r="G181" i="6" l="1"/>
  <c r="H181" i="6" s="1"/>
  <c r="I181" i="6" s="1"/>
  <c r="G182" i="6" l="1"/>
  <c r="H182" i="6" s="1"/>
  <c r="I182" i="6" s="1"/>
  <c r="J181" i="6"/>
  <c r="I183" i="6" l="1"/>
  <c r="G183" i="6"/>
  <c r="H183" i="6" s="1"/>
  <c r="J182" i="6"/>
  <c r="J183" i="6" s="1"/>
  <c r="G184" i="6" l="1"/>
  <c r="H184" i="6" s="1"/>
  <c r="I184" i="6" s="1"/>
  <c r="J184" i="6"/>
  <c r="G185" i="6" l="1"/>
  <c r="H185" i="6" s="1"/>
  <c r="I185" i="6" s="1"/>
  <c r="G186" i="6" l="1"/>
  <c r="H186" i="6" s="1"/>
  <c r="I186" i="6" s="1"/>
  <c r="J185" i="6"/>
  <c r="G187" i="6" l="1"/>
  <c r="H187" i="6" s="1"/>
  <c r="I187" i="6" s="1"/>
  <c r="J186" i="6"/>
  <c r="J187" i="6" s="1"/>
  <c r="G188" i="6" l="1"/>
  <c r="H188" i="6" s="1"/>
  <c r="I188" i="6" s="1"/>
  <c r="G189" i="6" l="1"/>
  <c r="H189" i="6" s="1"/>
  <c r="I189" i="6" s="1"/>
  <c r="J188" i="6"/>
  <c r="G190" i="6" l="1"/>
  <c r="H190" i="6" s="1"/>
  <c r="I190" i="6"/>
  <c r="J189" i="6"/>
  <c r="J190" i="6" s="1"/>
  <c r="J191" i="6" l="1"/>
  <c r="G191" i="6"/>
  <c r="H191" i="6" s="1"/>
  <c r="I191" i="6" s="1"/>
  <c r="I192" i="6" l="1"/>
  <c r="G192" i="6"/>
  <c r="H192" i="6" s="1"/>
  <c r="J192" i="6"/>
  <c r="G193" i="6" l="1"/>
  <c r="H193" i="6" s="1"/>
  <c r="I193" i="6" s="1"/>
  <c r="G194" i="6" l="1"/>
  <c r="H194" i="6" s="1"/>
  <c r="I194" i="6" s="1"/>
  <c r="J193" i="6"/>
  <c r="I195" i="6" l="1"/>
  <c r="G195" i="6"/>
  <c r="H195" i="6" s="1"/>
  <c r="J194" i="6"/>
  <c r="J195" i="6" s="1"/>
  <c r="G196" i="6" l="1"/>
  <c r="H196" i="6" s="1"/>
  <c r="J196" i="6" s="1"/>
  <c r="I196" i="6" l="1"/>
  <c r="G197" i="6" l="1"/>
  <c r="H197" i="6" s="1"/>
  <c r="J197" i="6" s="1"/>
  <c r="I197" i="6" l="1"/>
  <c r="G198" i="6" l="1"/>
  <c r="H198" i="6" s="1"/>
  <c r="J198" i="6" s="1"/>
  <c r="I198" i="6"/>
  <c r="G199" i="6" l="1"/>
  <c r="H199" i="6" s="1"/>
  <c r="I199" i="6" s="1"/>
  <c r="J199" i="6"/>
  <c r="G200" i="6" l="1"/>
  <c r="H200" i="6" s="1"/>
  <c r="I200" i="6" s="1"/>
  <c r="J200" i="6"/>
  <c r="G201" i="6" l="1"/>
  <c r="H201" i="6" s="1"/>
  <c r="I201" i="6"/>
  <c r="J201" i="6"/>
  <c r="G202" i="6" l="1"/>
  <c r="H202" i="6" s="1"/>
  <c r="J202" i="6" s="1"/>
  <c r="I202" i="6"/>
  <c r="G203" i="6" l="1"/>
  <c r="H203" i="6" s="1"/>
  <c r="J203" i="6" s="1"/>
  <c r="I203" i="6" l="1"/>
  <c r="G204" i="6" l="1"/>
  <c r="H204" i="6" s="1"/>
  <c r="J204" i="6" s="1"/>
  <c r="I204" i="6" l="1"/>
  <c r="B33" i="5" l="1"/>
  <c r="B30" i="5"/>
  <c r="A37" i="5" s="1"/>
  <c r="B46" i="5" l="1"/>
  <c r="B45" i="5"/>
  <c r="B42" i="5"/>
  <c r="B60" i="5" s="1"/>
  <c r="B44" i="5"/>
  <c r="B43" i="5"/>
  <c r="B61" i="5" s="1"/>
  <c r="B41" i="5"/>
  <c r="B59" i="5" s="1"/>
  <c r="D41" i="5"/>
  <c r="E41" i="5" s="1"/>
  <c r="F41" i="5" s="1"/>
  <c r="C42" i="5" s="1"/>
  <c r="D42" i="5" l="1"/>
  <c r="E42" i="5" s="1"/>
  <c r="F42" i="5" s="1"/>
  <c r="C43" i="5" s="1"/>
  <c r="D43" i="5" l="1"/>
  <c r="E43" i="5" s="1"/>
  <c r="F43" i="5" s="1"/>
  <c r="C44" i="5" l="1"/>
  <c r="A53" i="5"/>
  <c r="B53" i="5" l="1"/>
  <c r="C53" i="5" s="1"/>
  <c r="B62" i="5" s="1"/>
  <c r="B63" i="5" s="1"/>
  <c r="C67" i="5" s="1"/>
  <c r="D44" i="5"/>
  <c r="E44" i="5"/>
  <c r="F44" i="5" s="1"/>
  <c r="C45" i="5" s="1"/>
  <c r="D45" i="5" l="1"/>
  <c r="E45" i="5" s="1"/>
  <c r="F45" i="5" s="1"/>
  <c r="C46" i="5" s="1"/>
  <c r="D46" i="5" l="1"/>
  <c r="E46" i="5" s="1"/>
  <c r="F46" i="5" s="1"/>
  <c r="B47" i="2" l="1"/>
  <c r="K36" i="2"/>
  <c r="K37" i="2"/>
  <c r="K38" i="2"/>
  <c r="K39" i="2"/>
  <c r="K35" i="2"/>
  <c r="J36" i="2"/>
  <c r="J37" i="2"/>
  <c r="J38" i="2"/>
  <c r="J39" i="2"/>
  <c r="J35" i="2"/>
  <c r="B46" i="2"/>
  <c r="B45" i="2"/>
  <c r="B44" i="2"/>
  <c r="B43" i="2"/>
  <c r="I36" i="2"/>
  <c r="I37" i="2"/>
  <c r="I38" i="2"/>
  <c r="I39" i="2"/>
  <c r="I35" i="2"/>
  <c r="H37" i="2"/>
  <c r="H38" i="2" s="1"/>
  <c r="H39" i="2" s="1"/>
  <c r="H36" i="2"/>
  <c r="H35" i="2"/>
  <c r="G36" i="2"/>
  <c r="G37" i="2"/>
  <c r="G38" i="2"/>
  <c r="G39" i="2"/>
  <c r="G35" i="2"/>
  <c r="D36" i="2"/>
  <c r="D37" i="2"/>
  <c r="D38" i="2"/>
  <c r="D39" i="2"/>
  <c r="D35" i="2"/>
  <c r="B29" i="2"/>
  <c r="B26" i="2"/>
  <c r="B35" i="2" s="1"/>
  <c r="B25" i="2"/>
  <c r="B27" i="2" l="1"/>
  <c r="B31" i="2" s="1"/>
  <c r="B32" i="2" s="1"/>
  <c r="C35" i="2" l="1"/>
  <c r="B36" i="2" s="1"/>
  <c r="C36" i="2" s="1"/>
  <c r="B37" i="2" s="1"/>
  <c r="C37" i="2" s="1"/>
  <c r="B38" i="2" s="1"/>
  <c r="C38" i="2" s="1"/>
  <c r="B39" i="2" s="1"/>
  <c r="C39" i="2" s="1"/>
</calcChain>
</file>

<file path=xl/sharedStrings.xml><?xml version="1.0" encoding="utf-8"?>
<sst xmlns="http://schemas.openxmlformats.org/spreadsheetml/2006/main" count="402" uniqueCount="266">
  <si>
    <t>Valor Maximo</t>
  </si>
  <si>
    <t>Valor Minimo</t>
  </si>
  <si>
    <t>Total Muestras</t>
  </si>
  <si>
    <t>i</t>
  </si>
  <si>
    <t>Sobras</t>
  </si>
  <si>
    <t>Clase</t>
  </si>
  <si>
    <t>Total</t>
  </si>
  <si>
    <t>NC Calculado</t>
  </si>
  <si>
    <t>Si NC=7</t>
  </si>
  <si>
    <t>Recorrido</t>
  </si>
  <si>
    <t>si NC=8</t>
  </si>
  <si>
    <t>No hay que adicionar</t>
  </si>
  <si>
    <t>Cantidad de días</t>
  </si>
  <si>
    <t>Valor Máximo de almuerzos vendidos</t>
  </si>
  <si>
    <t>Frecuencia Relativa</t>
  </si>
  <si>
    <t>Frecuencia Acumulada</t>
  </si>
  <si>
    <t>Punto Medio</t>
  </si>
  <si>
    <t>Fx</t>
  </si>
  <si>
    <t>Media</t>
  </si>
  <si>
    <t>Moda</t>
  </si>
  <si>
    <t>Cantidad de almuerzos</t>
  </si>
  <si>
    <t>Mediana</t>
  </si>
  <si>
    <t>dc</t>
  </si>
  <si>
    <t>(Punto medio - mediana)^2</t>
  </si>
  <si>
    <t>Clase 1</t>
  </si>
  <si>
    <t>Clase 2</t>
  </si>
  <si>
    <t>Clase 3</t>
  </si>
  <si>
    <t>Clase 4</t>
  </si>
  <si>
    <t>Clase 5</t>
  </si>
  <si>
    <t>Clase 6</t>
  </si>
  <si>
    <t>Clase 7</t>
  </si>
  <si>
    <t>(Punto medio - mediana)^2* frecuencia</t>
  </si>
  <si>
    <t>Varianza</t>
  </si>
  <si>
    <t xml:space="preserve">Desviación </t>
  </si>
  <si>
    <t>Q</t>
  </si>
  <si>
    <t>N</t>
  </si>
  <si>
    <t>Frecuencia Acumulada anterior</t>
  </si>
  <si>
    <t>Frecuencia Clase</t>
  </si>
  <si>
    <t>Valor</t>
  </si>
  <si>
    <t>D</t>
  </si>
  <si>
    <t>Limite Inferior</t>
  </si>
  <si>
    <t>Frecuencia acumulada anterior</t>
  </si>
  <si>
    <t>Nos envian los siguientes datos</t>
  </si>
  <si>
    <t>Suiza</t>
  </si>
  <si>
    <t>Brasil</t>
  </si>
  <si>
    <t>Suecia</t>
  </si>
  <si>
    <t>Chile</t>
  </si>
  <si>
    <t>Inglaterra</t>
  </si>
  <si>
    <t>Mexico</t>
  </si>
  <si>
    <t>Alemania</t>
  </si>
  <si>
    <t>Argentina</t>
  </si>
  <si>
    <t>España</t>
  </si>
  <si>
    <t>Italia</t>
  </si>
  <si>
    <t>Estados Unidos</t>
  </si>
  <si>
    <t>Francia</t>
  </si>
  <si>
    <t>Corea Japon</t>
  </si>
  <si>
    <t>Sudafrica</t>
  </si>
  <si>
    <t>Rusia</t>
  </si>
  <si>
    <t xml:space="preserve">Promedio de goles </t>
  </si>
  <si>
    <t>Sede</t>
  </si>
  <si>
    <t>Año</t>
  </si>
  <si>
    <t>En función a esos datos establecemos</t>
  </si>
  <si>
    <t>Maximo</t>
  </si>
  <si>
    <t>Minimo</t>
  </si>
  <si>
    <t>NC</t>
  </si>
  <si>
    <t>Numero de clases</t>
  </si>
  <si>
    <t>Frecuencia</t>
  </si>
  <si>
    <t>Determinamos</t>
  </si>
  <si>
    <t>(Punto Medio - Mediana)^2</t>
  </si>
  <si>
    <t>(Punto Medio - Mediana)^2-frecuencia</t>
  </si>
  <si>
    <t>Podemos obtener las siguientes gráficas</t>
  </si>
  <si>
    <t>Descripción</t>
  </si>
  <si>
    <t>Mundiales con goles promedio por partido menores a 2.84</t>
  </si>
  <si>
    <t>Mundiales con goles promedio por partido mayores a 2.84 pero menores a 3.47</t>
  </si>
  <si>
    <t>Mundiales con goles promedio por partido mayores a 3.47 pero menores a 4.1</t>
  </si>
  <si>
    <t>Mundiales con goles promedio por partido mayores a 4.1 pero menores a 4.73</t>
  </si>
  <si>
    <t xml:space="preserve">Mundiales con goles promedio por partido mayores a 4.73 </t>
  </si>
  <si>
    <t xml:space="preserve">Unidad 2 </t>
  </si>
  <si>
    <t>Se obtienen los datos:</t>
  </si>
  <si>
    <t>Inicialmente se determinan las clases:</t>
  </si>
  <si>
    <t>NC (CALCULADO)</t>
  </si>
  <si>
    <t>NC (Seleccionado)</t>
  </si>
  <si>
    <t>En función de ese cálculo ubican los datos de forma más adecuada en la siguiente tabla</t>
  </si>
  <si>
    <t>Límite Inferior</t>
  </si>
  <si>
    <t>Limite Superior</t>
  </si>
  <si>
    <t>En función de dicha distribución se determinan los valores más importantes de acuerdo con las fórmulas expuestas:</t>
  </si>
  <si>
    <t>Media:</t>
  </si>
  <si>
    <t>Se incluye la columna en donde multiplicamos el valor del punto medio por la frecuencia:</t>
  </si>
  <si>
    <t>fx</t>
  </si>
  <si>
    <t>Con el valor total de fx (253) y el del total de la frecuencia (N=100) determinamos que el valor de la Media es 2.53</t>
  </si>
  <si>
    <t xml:space="preserve">Mediana: </t>
  </si>
  <si>
    <t>Se determina que el valor medio es 50.5 de la fórmula dc=(100+1)/2</t>
  </si>
  <si>
    <t>Al revisar las frecuencias acumuladas:</t>
  </si>
  <si>
    <t>El dato 50 estaría en la clase 6. Debido a que en la clase 5 la frecuencia acumulada es 42, que es menor y en la case 7 la frecuencia acumulada es 93.</t>
  </si>
  <si>
    <t>Con eso en mente usamos la siguiente tabla:</t>
  </si>
  <si>
    <t>Y calculamos de acuerdo a la fórmula:</t>
  </si>
  <si>
    <t>En donde L es 2.5, n/2 es 50, fa es 42, f es 51 e i es 0.106, el resultado es 2.54</t>
  </si>
  <si>
    <t>Al revisar los datos organizados por valor:</t>
  </si>
  <si>
    <t>Tamaño</t>
  </si>
  <si>
    <t>Cantidad</t>
  </si>
  <si>
    <t>Nos damos cuenta que el valor con más repeticiones fue el 2.54, por ende, la moda es 2.54</t>
  </si>
  <si>
    <t>Desviación estándar</t>
  </si>
  <si>
    <t>Se realiza una tabla con la información para calcular el dato</t>
  </si>
  <si>
    <t>(Punto medio - media)^2</t>
  </si>
  <si>
    <t>(Punto medio - media)^2*Frecuencia</t>
  </si>
  <si>
    <t>Primero se saca el cuadrado de la diferencia entre el punto medio de cada rango y la media previamente calculada, luego a ese valor se le multiplica por la frecuencia de cada clase. El total de dicho cálculo es 0.93.</t>
  </si>
  <si>
    <t>Ese valor ahora lo vamos a dividir entre el total de elementos 100 y nos da el valor de la varianza. Para determinar el valor de la desviación estándar solamente sacamos la raíz cuadrada de dicha medida</t>
  </si>
  <si>
    <t>Cuartiles</t>
  </si>
  <si>
    <t>El número total de tornillos es 100, por ende, el primer cuartil debe corresponder a la muestra número 25</t>
  </si>
  <si>
    <t>Al revisar las frecuencias acumuladas vemos que el dato 25 estará en la clase número 5. El límite inferior de este intervalo es 2.41</t>
  </si>
  <si>
    <t xml:space="preserve">Por ende </t>
  </si>
  <si>
    <t>Q1 sería entonces 2.47</t>
  </si>
  <si>
    <t>El segundo Cuartil es la mediana que ya ha sido calculada en 2.54</t>
  </si>
  <si>
    <t>El tercer cuartil es el valor 75, que estaría ubicado en la clase 6 por ende</t>
  </si>
  <si>
    <t>Q3 sería 2.59</t>
  </si>
  <si>
    <t>Para los deciles usamos la fórmula:</t>
  </si>
  <si>
    <t>Con esta fórmula calculamos cada uno de los Deciles:</t>
  </si>
  <si>
    <t>Deciles</t>
  </si>
  <si>
    <t>Ubicado en la clase</t>
  </si>
  <si>
    <t>Valor de la frecuencia del rango</t>
  </si>
  <si>
    <t>D1</t>
  </si>
  <si>
    <t>D2</t>
  </si>
  <si>
    <t>D3</t>
  </si>
  <si>
    <t>D4</t>
  </si>
  <si>
    <t>D5</t>
  </si>
  <si>
    <t>D6</t>
  </si>
  <si>
    <t>D7</t>
  </si>
  <si>
    <t>D8</t>
  </si>
  <si>
    <t>D9</t>
  </si>
  <si>
    <t>Se dan los datos de venta de un local de almuerzos</t>
  </si>
  <si>
    <t>El primer paso sería determinar la cantidad de clases en las que hay que organizar estos datos.</t>
  </si>
  <si>
    <t>Para ello tomamos los siguientes datos:</t>
  </si>
  <si>
    <t>Valor Máximo</t>
  </si>
  <si>
    <t>Valor Mínimo</t>
  </si>
  <si>
    <t>Considerando los valores calculados de NC, lo mejor que es NC sea igual a 7 dado que el rango es un número entero por lo que no hay sobras.</t>
  </si>
  <si>
    <t>Con eso en mente se organizan los datos de la siguiente forma</t>
  </si>
  <si>
    <t>Número de días</t>
  </si>
  <si>
    <t>El primer paso entonces sería determinar el punto medio de cada una de las clases:</t>
  </si>
  <si>
    <t>Valor Mínimo de almuerzos vendidos</t>
  </si>
  <si>
    <t>El primer valor a determinar sería la media, para ello multiplicamos el valor del punto medio por la frecuencia de cada una de las clases</t>
  </si>
  <si>
    <t>Ahora se divide el valor total de FX, entre la cantidad de muestras obteniendo una media de 32.02</t>
  </si>
  <si>
    <t>Para establecer la moda solo hace falta revisar la tabla en donde ubicamos la cantidad de días en los que se vendió esa determinada cantidad de almuerzos</t>
  </si>
  <si>
    <t>Como se ve claramente la moda es 35 almuerzos por día y tuvo una frecuencia de 11 días.</t>
  </si>
  <si>
    <t>Mediana:</t>
  </si>
  <si>
    <t>Para la mediana debemos determinar el valor de DC, este sale de dividir entre dos el número de muestras más uno, por ende, es el valor 50.5.</t>
  </si>
  <si>
    <t>Al revisar la tabla de frecuencias acumuladas:</t>
  </si>
  <si>
    <t>La clase mediana sería la 3, dado que en la clase anterior el valor acumulado es 42 y en la posterior es 61.</t>
  </si>
  <si>
    <t>Con esto en mente aplicamos la fórmula:</t>
  </si>
  <si>
    <t>Por ende, la mediana es 31.3.</t>
  </si>
  <si>
    <t>Promedio:</t>
  </si>
  <si>
    <t>Se toman los valores individuales de cada día, se suman y luego se dividen entre 100, para este caso el valor es de 32.38</t>
  </si>
  <si>
    <t>Para determinar la desviación primero hay que determinar los valores de desviación de cada uno de los rangos y multiplicarlos por la frecuencia, para ello se desarrolló la siguiente tabla</t>
  </si>
  <si>
    <t>El valor de la varianza entonces sería dividir el total de la operación de (punto medio – mediana)^2 por la frecuencia entre el número de muestras, adicionalmente para sacar la desviación estándar tendríamos que sacar la raíz cuadrada de la varianza.</t>
  </si>
  <si>
    <t>Desviación</t>
  </si>
  <si>
    <t>Cuantiles</t>
  </si>
  <si>
    <t>Si N=100 entonces los cuartiles serán 25,50 (Mediana) y 75</t>
  </si>
  <si>
    <t>Con esa información determinamos la siguiente tabla</t>
  </si>
  <si>
    <t>Límite inferior</t>
  </si>
  <si>
    <t>Al ser N=100 entonces los deciles corresponden a los valores 10, 20, 30, 40, 50, 60, 70, 80, 90</t>
  </si>
  <si>
    <t>Para calcularlos tenemos la siguiente tabla</t>
  </si>
  <si>
    <t>Cual es la diferencia entre la tasa nominal vencida y anticipada?</t>
  </si>
  <si>
    <t>La diferencia es el punto en donde se generan los interes, normalmente una tasa nominal vencida genera los intereses al finalizar el periodo capitalizable, una tasa anticipada los genera al inicio del periodo. Ahora considerando que normalmente hay una relación en el valor del dinero y el tiempo la tasa anticipada suele ser más baja que la tasa vencida.</t>
  </si>
  <si>
    <t>En que consiste la tasa efectiva annual?</t>
  </si>
  <si>
    <t>Es la tasa asignada a un periodo de un año, generalmente es la tasa de comparación básica de las inversiones y créditos, se asume que durante un año los indicadores monetarios más importantes varian, especialmente la tasa de usura, cuando se habla de tasa efectiva es que esa tasa aplicara dentro del periodo del año sin imortar dichas variaciones</t>
  </si>
  <si>
    <t>Cuanto debe pagar el señor Javier</t>
  </si>
  <si>
    <t>El señor Javier firma un pagaré por un valor de 10.000.000 con una tasa annual vencida de 2.3% y anticipada de 1.2%. El plazo inicial era a 6 meses pero en el tercer mes el señor Jaime paga definitivamente todo lo que falta. La pregunta es cuanto paga finalmente Don Javier</t>
  </si>
  <si>
    <t xml:space="preserve">Inicialmente hay que convertir las tasas, la fórmula es </t>
  </si>
  <si>
    <t>Tasa Annual Vencida</t>
  </si>
  <si>
    <t>Tasa mes vencido</t>
  </si>
  <si>
    <t>Tasa Annual Anticipada</t>
  </si>
  <si>
    <t>Tasa Mes anticipado</t>
  </si>
  <si>
    <t xml:space="preserve">Inicialmente debemos calcular cual era la renta (cuota) en cada mes de los 6 meses </t>
  </si>
  <si>
    <t>Aca vemos una tabla de lo que serían los 6 pagos de Don Javier</t>
  </si>
  <si>
    <t>Pago</t>
  </si>
  <si>
    <t>Capital</t>
  </si>
  <si>
    <t>Intereses</t>
  </si>
  <si>
    <t>Capital despues del pago</t>
  </si>
  <si>
    <t>En el tercer mes después de haber pagado 3 cuotas el capital adeudado es 5.014.212.14</t>
  </si>
  <si>
    <t>En ese momento Don Javier ya tiene el dinero, sin embargo debe pagar el interes anticipado, realiza el pago completo por ende el mes n=1</t>
  </si>
  <si>
    <t>Lo que quiere decir que Don Javier para liquidar el Pagaré realizó un pago final de 5.019.198.98</t>
  </si>
  <si>
    <t>En total Don Javier pagó</t>
  </si>
  <si>
    <t>Mes</t>
  </si>
  <si>
    <t xml:space="preserve">Don Javier pago un total de $ 10.052.444.59 </t>
  </si>
  <si>
    <t>Don javier al pagar anticipadamente se ahorro</t>
  </si>
  <si>
    <t>Opcion 1</t>
  </si>
  <si>
    <t>Opcion 2</t>
  </si>
  <si>
    <t>Opción 3</t>
  </si>
  <si>
    <t>Tasa Annual</t>
  </si>
  <si>
    <t xml:space="preserve">Tasa annual </t>
  </si>
  <si>
    <t xml:space="preserve">Tasa mensual </t>
  </si>
  <si>
    <t>Tasa Interes Annual</t>
  </si>
  <si>
    <t>Tasa de interes periodico vencido</t>
  </si>
  <si>
    <t>Tasa de interes nominal</t>
  </si>
  <si>
    <t>Tasa Mensual</t>
  </si>
  <si>
    <t>Valor de la casa</t>
  </si>
  <si>
    <t>Cuota inicial</t>
  </si>
  <si>
    <t>Valor del prestamo</t>
  </si>
  <si>
    <t>Valor de la cuota</t>
  </si>
  <si>
    <t>Total Cuotas</t>
  </si>
  <si>
    <t>Total pagado</t>
  </si>
  <si>
    <t>Total Pagado</t>
  </si>
  <si>
    <t>Conclusión</t>
  </si>
  <si>
    <t>La mejor alternativa es la opción 2 porque paga menos intereses que las otras dos opciones, sin embargo es la que requiere tener un mayor capital inicial</t>
  </si>
  <si>
    <t>Tasa</t>
  </si>
  <si>
    <t>Valor Prestamo</t>
  </si>
  <si>
    <t>Pago Interes</t>
  </si>
  <si>
    <t>Abono a Capital</t>
  </si>
  <si>
    <t>Capital por pagar</t>
  </si>
  <si>
    <t>Total interes compuesto</t>
  </si>
  <si>
    <t>Interes compuesto</t>
  </si>
  <si>
    <t>Ahorro previo</t>
  </si>
  <si>
    <t>Cuota</t>
  </si>
  <si>
    <t>Total Interes simple</t>
  </si>
  <si>
    <t>Interes simple</t>
  </si>
  <si>
    <t>Interes Simple</t>
  </si>
  <si>
    <t>Meses</t>
  </si>
  <si>
    <t>Interes (mensual)</t>
  </si>
  <si>
    <t>Tinjaca Nelson</t>
  </si>
  <si>
    <t>Asociado</t>
  </si>
  <si>
    <t>El comportamiento mensual de las inversiones lo vemos en las siguientes tablas:</t>
  </si>
  <si>
    <t>Tomemos por ejemplo el caso de Nelson Tinjaca, tiene 233.000 pesos y los puede dejar en dos esquemas de rentabilidad, uno con interés simple y otro con interés compuesto. El interés en ambos casos es del 10%</t>
  </si>
  <si>
    <t>Si cambiáramos el ejemplo un poco es mucho más claro.</t>
  </si>
  <si>
    <t>Al comparar los datos de los créditos al tener una tasa de interés tan baja las diferencias entre interés simple y complejo no son tan notorias debido a que el incremento mensual es muy pequeño.</t>
  </si>
  <si>
    <t>Para una rentabilidad de</t>
  </si>
  <si>
    <t>Lo que dio una ganancia de</t>
  </si>
  <si>
    <t>Se Recuperaron</t>
  </si>
  <si>
    <t xml:space="preserve">Al final del ejercicio se prestaron </t>
  </si>
  <si>
    <t>Los valores negativos representan una ganancia del capital prestado</t>
  </si>
  <si>
    <t>Capital Faltante</t>
  </si>
  <si>
    <t>Recolectado</t>
  </si>
  <si>
    <t>Numero de meses</t>
  </si>
  <si>
    <t>Tasa de interes</t>
  </si>
  <si>
    <t>Zuluaga Tomas</t>
  </si>
  <si>
    <t>Zarate Julieth</t>
  </si>
  <si>
    <t>Vega Jose Maria</t>
  </si>
  <si>
    <t>Gomez Esperanza</t>
  </si>
  <si>
    <t>Casas Javier</t>
  </si>
  <si>
    <t>Buitrago Claudia</t>
  </si>
  <si>
    <t>Acevedo Diego</t>
  </si>
  <si>
    <t>Una vez determinamos el interes mensual podemos usar la función pago para determinar la cuota que cada afiliado paga para así poder hacer un flujo de dinero que nos indique como vamos recuperando el dinero prestado</t>
  </si>
  <si>
    <t>Interes mensual = (1+2.2%)^(30/360)-1</t>
  </si>
  <si>
    <t xml:space="preserve">El interes mensual sería </t>
  </si>
  <si>
    <t>Primero hay que determinar la tasa menusal para ello seguimos la siguiente fórmula (Tomada de http://www.asobancaria.com/sabermassermas/como-calcular-la-tasa-de-interes/)</t>
  </si>
  <si>
    <t>De esta forma entonces vamos a analizar el caso de cada uno de los afiliados que ha solicitado préstamo:</t>
  </si>
  <si>
    <t>Adicionalmente se sabe que estos préstamos tienen una tasa de interés del 2.2 Anual y es capitalizable (Interés compuesto)</t>
  </si>
  <si>
    <t>Se cuenta con la siguiente lista de personas y préstamos:</t>
  </si>
  <si>
    <t>El caso habla de una estudiante que desea adquirir una moto avaluada en 7.500.000 con un interes del 12% capitalizable mensual en un plazo de 4 años</t>
  </si>
  <si>
    <t>Valor Moto</t>
  </si>
  <si>
    <t>Tiempo</t>
  </si>
  <si>
    <t>4 años</t>
  </si>
  <si>
    <t>48 meses</t>
  </si>
  <si>
    <t>Mensual</t>
  </si>
  <si>
    <t>Costo real de la moto</t>
  </si>
  <si>
    <t>La moto le saldría costando 6 veces mas debido a que el interes es demasiado alto</t>
  </si>
  <si>
    <t>En una entidad financiera el interes podría estar por el 1% mensual lo que le daría una cuota de</t>
  </si>
  <si>
    <t>El valor total de la moto en ese crédito sería de</t>
  </si>
  <si>
    <t>En la siguiente gráfica podemos ver los diferentes valores de la cuota con diferentes tasas</t>
  </si>
  <si>
    <t>Interes</t>
  </si>
  <si>
    <t>Costo total Moto</t>
  </si>
  <si>
    <t>El video lo pueden encontrar en el siguiente link</t>
  </si>
  <si>
    <t>https://drive.google.com/open?id=1uwEZ4B5gBl-9qgKZwEA9OuikmnEz1rYX</t>
  </si>
  <si>
    <t>Ahorrado</t>
  </si>
  <si>
    <t>Total Interes</t>
  </si>
  <si>
    <t>Rentabilidad</t>
  </si>
  <si>
    <t>Total Ahorrado</t>
  </si>
  <si>
    <t>Total Obtenido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</si>
</sst>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8" formatCode="&quot;$&quot;#,##0.00;[Red]\-&quot;$&quot;#,##0.00"/>
    <numFmt numFmtId="44" formatCode="_-&quot;$&quot;* #,##0.00_-;\-&quot;$&quot;* #,##0.00_-;_-&quot;$&quot;* &quot;-&quot;??_-;_-@_-"/>
    <numFmt numFmtId="164" formatCode="0.0%"/>
    <numFmt numFmtId="165" formatCode="0.0000%"/>
    <numFmt numFmtId="166" formatCode="0.000%"/>
    <numFmt numFmtId="167" formatCode="_-\$* #,##0.00_-;&quot;-$&quot;* #,##0.00_-;_-\$* \-??_-;_-@_-"/>
    <numFmt numFmtId="168" formatCode="_-\$* #.##0.00_-;&quot;-$&quot;* #.##0.00_-;_-\$* \-??_-;_-@_-"/>
    <numFmt numFmtId="169" formatCode="_-\$* #.##000_-;&quot;-$&quot;* #.##000_-;_-\$* \-??_-;_-@_-"/>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charset val="1"/>
    </font>
    <font>
      <b/>
      <sz val="11"/>
      <color rgb="FF000000"/>
      <name val="Calibri"/>
      <family val="2"/>
    </font>
    <font>
      <sz val="11"/>
      <color rgb="FF000000"/>
      <name val="Calibri"/>
      <family val="2"/>
    </font>
    <font>
      <b/>
      <sz val="10"/>
      <color rgb="FF000000"/>
      <name val="Calibri"/>
      <family val="2"/>
    </font>
    <font>
      <sz val="10"/>
      <color rgb="FF000000"/>
      <name val="Calibri"/>
      <family val="2"/>
    </font>
    <font>
      <b/>
      <sz val="8"/>
      <color rgb="FF000000"/>
      <name val="Arial Narrow"/>
      <family val="2"/>
    </font>
    <font>
      <sz val="8"/>
      <color rgb="FF000000"/>
      <name val="Arial Narrow"/>
      <family val="2"/>
    </font>
    <font>
      <b/>
      <sz val="8"/>
      <color rgb="FF000000"/>
      <name val="Calibri"/>
      <family val="2"/>
    </font>
    <font>
      <sz val="8"/>
      <color rgb="FF000000"/>
      <name val="Calibri"/>
      <family val="2"/>
    </font>
    <font>
      <b/>
      <sz val="11"/>
      <color rgb="FF000000"/>
      <name val="Calibri"/>
      <family val="2"/>
      <scheme val="minor"/>
    </font>
    <font>
      <sz val="11"/>
      <color rgb="FF000000"/>
      <name val="Calibri"/>
      <family val="2"/>
      <scheme val="minor"/>
    </font>
    <font>
      <sz val="10"/>
      <color theme="1"/>
      <name val="Calibri"/>
      <family val="2"/>
      <scheme val="minor"/>
    </font>
    <font>
      <b/>
      <sz val="10"/>
      <color rgb="FF000000"/>
      <name val="Arial Narrow"/>
      <family val="2"/>
    </font>
    <font>
      <sz val="10"/>
      <color rgb="FF000000"/>
      <name val="Arial Narrow"/>
      <family val="2"/>
    </font>
    <font>
      <b/>
      <sz val="7"/>
      <color rgb="FF000000"/>
      <name val="Arial Narrow"/>
      <family val="2"/>
    </font>
    <font>
      <sz val="7"/>
      <color rgb="FF000000"/>
      <name val="Arial Narrow"/>
      <family val="2"/>
    </font>
  </fonts>
  <fills count="11">
    <fill>
      <patternFill patternType="none"/>
    </fill>
    <fill>
      <patternFill patternType="gray125"/>
    </fill>
    <fill>
      <patternFill patternType="solid">
        <fgColor rgb="FF5B9BD5"/>
        <bgColor indexed="64"/>
      </patternFill>
    </fill>
    <fill>
      <patternFill patternType="solid">
        <fgColor rgb="FFBDD6EE"/>
        <bgColor indexed="64"/>
      </patternFill>
    </fill>
    <fill>
      <patternFill patternType="solid">
        <fgColor rgb="FFDEEAF6"/>
        <bgColor indexed="64"/>
      </patternFill>
    </fill>
    <fill>
      <patternFill patternType="solid">
        <fgColor rgb="FF4472C4"/>
        <bgColor indexed="64"/>
      </patternFill>
    </fill>
    <fill>
      <patternFill patternType="solid">
        <fgColor rgb="FFB4C6E7"/>
        <bgColor indexed="64"/>
      </patternFill>
    </fill>
    <fill>
      <patternFill patternType="solid">
        <fgColor rgb="FFD9E2F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rgb="FFFFFF00"/>
      </patternFill>
    </fill>
  </fills>
  <borders count="15">
    <border>
      <left/>
      <right/>
      <top/>
      <bottom/>
      <diagonal/>
    </border>
    <border>
      <left style="medium">
        <color rgb="FFFFFFFF"/>
      </left>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top/>
      <bottom style="medium">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5B9BD5"/>
      </left>
      <right/>
      <top style="medium">
        <color rgb="FF5B9BD5"/>
      </top>
      <bottom style="medium">
        <color rgb="FF5B9BD5"/>
      </bottom>
      <diagonal/>
    </border>
    <border>
      <left/>
      <right style="medium">
        <color rgb="FF5B9BD5"/>
      </right>
      <top style="medium">
        <color rgb="FF5B9BD5"/>
      </top>
      <bottom style="medium">
        <color rgb="FF5B9BD5"/>
      </bottom>
      <diagonal/>
    </border>
    <border>
      <left style="medium">
        <color rgb="FF9CC2E5"/>
      </left>
      <right style="medium">
        <color rgb="FF9CC2E5"/>
      </right>
      <top/>
      <bottom style="medium">
        <color rgb="FF9CC2E5"/>
      </bottom>
      <diagonal/>
    </border>
    <border>
      <left/>
      <right style="medium">
        <color rgb="FF9CC2E5"/>
      </right>
      <top/>
      <bottom style="medium">
        <color rgb="FF9CC2E5"/>
      </bottom>
      <diagonal/>
    </border>
    <border>
      <left style="thin">
        <color indexed="64"/>
      </left>
      <right style="thin">
        <color indexed="64"/>
      </right>
      <top style="thin">
        <color indexed="64"/>
      </top>
      <bottom style="thin">
        <color indexed="64"/>
      </bottom>
      <diagonal/>
    </border>
  </borders>
  <cellStyleXfs count="6">
    <xf numFmtId="0" fontId="0" fillId="0" borderId="0"/>
    <xf numFmtId="9" fontId="1" fillId="0" borderId="0" applyFont="0" applyFill="0" applyBorder="0" applyAlignment="0" applyProtection="0"/>
    <xf numFmtId="44" fontId="1" fillId="0" borderId="0" applyFont="0" applyFill="0" applyBorder="0" applyAlignment="0" applyProtection="0"/>
    <xf numFmtId="0" fontId="3" fillId="0" borderId="0"/>
    <xf numFmtId="9" fontId="3" fillId="0" borderId="0" applyBorder="0" applyProtection="0"/>
    <xf numFmtId="168" fontId="3" fillId="0" borderId="0" applyBorder="0" applyProtection="0"/>
  </cellStyleXfs>
  <cellXfs count="162">
    <xf numFmtId="0" fontId="0" fillId="0" borderId="0" xfId="0"/>
    <xf numFmtId="0" fontId="0" fillId="0" borderId="0" xfId="0" applyNumberFormat="1"/>
    <xf numFmtId="164" fontId="0" fillId="0" borderId="0" xfId="1" applyNumberFormat="1" applyFont="1"/>
    <xf numFmtId="10" fontId="0" fillId="0" borderId="0" xfId="1" applyNumberFormat="1" applyFont="1"/>
    <xf numFmtId="0" fontId="4" fillId="0" borderId="0" xfId="3" applyFont="1" applyAlignment="1">
      <alignment horizontal="center" vertical="center"/>
    </xf>
    <xf numFmtId="0" fontId="3" fillId="0" borderId="0" xfId="3"/>
    <xf numFmtId="0" fontId="5" fillId="0" borderId="0" xfId="3" applyFont="1" applyAlignment="1">
      <alignment vertical="center"/>
    </xf>
    <xf numFmtId="0" fontId="4" fillId="2" borderId="1" xfId="3" applyFont="1" applyFill="1" applyBorder="1" applyAlignment="1">
      <alignment vertical="center" wrapText="1"/>
    </xf>
    <xf numFmtId="0" fontId="5" fillId="3" borderId="2" xfId="3" applyFont="1" applyFill="1" applyBorder="1" applyAlignment="1">
      <alignment horizontal="right" vertical="center" wrapText="1"/>
    </xf>
    <xf numFmtId="0" fontId="4" fillId="2" borderId="3" xfId="3" applyFont="1" applyFill="1" applyBorder="1" applyAlignment="1">
      <alignment vertical="center" wrapText="1"/>
    </xf>
    <xf numFmtId="3" fontId="5" fillId="4" borderId="4" xfId="3" applyNumberFormat="1" applyFont="1" applyFill="1" applyBorder="1" applyAlignment="1">
      <alignment horizontal="right" vertical="center" wrapText="1"/>
    </xf>
    <xf numFmtId="0" fontId="5" fillId="3" borderId="4" xfId="3" applyFont="1" applyFill="1" applyBorder="1" applyAlignment="1">
      <alignment horizontal="right" vertical="center" wrapText="1"/>
    </xf>
    <xf numFmtId="0" fontId="5" fillId="4" borderId="4" xfId="3" applyFont="1" applyFill="1" applyBorder="1" applyAlignment="1">
      <alignment horizontal="right" vertical="center" wrapText="1"/>
    </xf>
    <xf numFmtId="0" fontId="4" fillId="5" borderId="1" xfId="3" applyFont="1" applyFill="1" applyBorder="1" applyAlignment="1">
      <alignment vertical="center"/>
    </xf>
    <xf numFmtId="0" fontId="4" fillId="5" borderId="5" xfId="3" applyFont="1" applyFill="1" applyBorder="1" applyAlignment="1">
      <alignment vertical="center"/>
    </xf>
    <xf numFmtId="0" fontId="4" fillId="5" borderId="6" xfId="3" applyFont="1" applyFill="1" applyBorder="1" applyAlignment="1">
      <alignment vertical="center"/>
    </xf>
    <xf numFmtId="0" fontId="4" fillId="5" borderId="4" xfId="3" applyFont="1" applyFill="1" applyBorder="1" applyAlignment="1">
      <alignment horizontal="right" vertical="center"/>
    </xf>
    <xf numFmtId="0" fontId="5" fillId="6" borderId="7" xfId="3" applyFont="1" applyFill="1" applyBorder="1" applyAlignment="1">
      <alignment horizontal="right" vertical="center"/>
    </xf>
    <xf numFmtId="0" fontId="5" fillId="7" borderId="7" xfId="3" applyFont="1" applyFill="1" applyBorder="1" applyAlignment="1">
      <alignment horizontal="right" vertical="center"/>
    </xf>
    <xf numFmtId="0" fontId="4" fillId="5" borderId="4" xfId="3" applyFont="1" applyFill="1" applyBorder="1" applyAlignment="1">
      <alignment vertical="center"/>
    </xf>
    <xf numFmtId="0" fontId="5" fillId="6" borderId="7" xfId="3" applyFont="1" applyFill="1" applyBorder="1" applyAlignment="1">
      <alignment vertical="top"/>
    </xf>
    <xf numFmtId="0" fontId="4" fillId="0" borderId="0" xfId="3" applyFont="1" applyAlignment="1">
      <alignment vertical="center"/>
    </xf>
    <xf numFmtId="0" fontId="6" fillId="2" borderId="1" xfId="3" applyFont="1" applyFill="1" applyBorder="1" applyAlignment="1">
      <alignment vertical="center"/>
    </xf>
    <xf numFmtId="0" fontId="6" fillId="2" borderId="5" xfId="3" applyFont="1" applyFill="1" applyBorder="1" applyAlignment="1">
      <alignment vertical="center"/>
    </xf>
    <xf numFmtId="0" fontId="6" fillId="2" borderId="6" xfId="3" applyFont="1" applyFill="1" applyBorder="1" applyAlignment="1">
      <alignment vertical="center"/>
    </xf>
    <xf numFmtId="0" fontId="6" fillId="2" borderId="4" xfId="3" applyFont="1" applyFill="1" applyBorder="1" applyAlignment="1">
      <alignment horizontal="right" vertical="center"/>
    </xf>
    <xf numFmtId="0" fontId="7" fillId="3" borderId="7" xfId="3" applyFont="1" applyFill="1" applyBorder="1" applyAlignment="1">
      <alignment horizontal="center" vertical="center"/>
    </xf>
    <xf numFmtId="0" fontId="7" fillId="4" borderId="7" xfId="3" applyFont="1" applyFill="1" applyBorder="1" applyAlignment="1">
      <alignment horizontal="center" vertical="center"/>
    </xf>
    <xf numFmtId="0" fontId="6" fillId="2" borderId="4" xfId="3" applyFont="1" applyFill="1" applyBorder="1" applyAlignment="1">
      <alignment vertical="center"/>
    </xf>
    <xf numFmtId="0" fontId="5" fillId="3" borderId="7" xfId="3" applyFont="1" applyFill="1" applyBorder="1" applyAlignment="1">
      <alignment vertical="top"/>
    </xf>
    <xf numFmtId="0" fontId="4" fillId="2" borderId="1" xfId="3" applyFont="1" applyFill="1" applyBorder="1" applyAlignment="1">
      <alignment vertical="center"/>
    </xf>
    <xf numFmtId="0" fontId="4" fillId="2" borderId="5" xfId="3" applyFont="1" applyFill="1" applyBorder="1" applyAlignment="1">
      <alignment vertical="center"/>
    </xf>
    <xf numFmtId="0" fontId="4" fillId="2" borderId="6" xfId="3" applyFont="1" applyFill="1" applyBorder="1" applyAlignment="1">
      <alignment vertical="center"/>
    </xf>
    <xf numFmtId="0" fontId="4" fillId="2" borderId="4" xfId="3" applyFont="1" applyFill="1" applyBorder="1" applyAlignment="1">
      <alignment horizontal="right" vertical="center"/>
    </xf>
    <xf numFmtId="0" fontId="5" fillId="3" borderId="7" xfId="3" applyFont="1" applyFill="1" applyBorder="1" applyAlignment="1">
      <alignment horizontal="right" vertical="center"/>
    </xf>
    <xf numFmtId="0" fontId="5" fillId="4" borderId="7" xfId="3" applyFont="1" applyFill="1" applyBorder="1" applyAlignment="1">
      <alignment horizontal="right" vertical="center"/>
    </xf>
    <xf numFmtId="0" fontId="4" fillId="2" borderId="4" xfId="3" applyFont="1" applyFill="1" applyBorder="1" applyAlignment="1">
      <alignment vertical="center"/>
    </xf>
    <xf numFmtId="0" fontId="8" fillId="2" borderId="1" xfId="3" applyFont="1" applyFill="1" applyBorder="1" applyAlignment="1">
      <alignment vertical="center"/>
    </xf>
    <xf numFmtId="0" fontId="8" fillId="2" borderId="5" xfId="3" applyFont="1" applyFill="1" applyBorder="1" applyAlignment="1">
      <alignment vertical="center"/>
    </xf>
    <xf numFmtId="0" fontId="8" fillId="2" borderId="6" xfId="3" applyFont="1" applyFill="1" applyBorder="1" applyAlignment="1">
      <alignment vertical="center"/>
    </xf>
    <xf numFmtId="0" fontId="8" fillId="2" borderId="4" xfId="3" applyFont="1" applyFill="1" applyBorder="1" applyAlignment="1">
      <alignment horizontal="right" vertical="center"/>
    </xf>
    <xf numFmtId="0" fontId="9" fillId="3" borderId="7" xfId="3" applyFont="1" applyFill="1" applyBorder="1" applyAlignment="1">
      <alignment horizontal="right" vertical="center"/>
    </xf>
    <xf numFmtId="0" fontId="9" fillId="4" borderId="7" xfId="3" applyFont="1" applyFill="1" applyBorder="1" applyAlignment="1">
      <alignment horizontal="right" vertical="center"/>
    </xf>
    <xf numFmtId="0" fontId="8" fillId="2" borderId="4" xfId="3" applyFont="1" applyFill="1" applyBorder="1" applyAlignment="1">
      <alignment vertical="center"/>
    </xf>
    <xf numFmtId="0" fontId="4" fillId="2" borderId="2" xfId="3" applyFont="1" applyFill="1" applyBorder="1" applyAlignment="1">
      <alignment vertical="center"/>
    </xf>
    <xf numFmtId="0" fontId="5" fillId="3" borderId="6" xfId="3" applyFont="1" applyFill="1" applyBorder="1" applyAlignment="1">
      <alignment horizontal="right" vertical="center"/>
    </xf>
    <xf numFmtId="0" fontId="10" fillId="2" borderId="1" xfId="3" applyFont="1" applyFill="1" applyBorder="1" applyAlignment="1">
      <alignment horizontal="center" vertical="center"/>
    </xf>
    <xf numFmtId="0" fontId="10" fillId="2" borderId="5" xfId="3" applyFont="1" applyFill="1" applyBorder="1" applyAlignment="1">
      <alignment horizontal="center" vertical="center"/>
    </xf>
    <xf numFmtId="0" fontId="10" fillId="2" borderId="6" xfId="3" applyFont="1" applyFill="1" applyBorder="1" applyAlignment="1">
      <alignment horizontal="center" vertical="center"/>
    </xf>
    <xf numFmtId="0" fontId="10" fillId="2" borderId="4" xfId="3" applyFont="1" applyFill="1" applyBorder="1" applyAlignment="1">
      <alignment horizontal="center" vertical="center"/>
    </xf>
    <xf numFmtId="0" fontId="11" fillId="3" borderId="7" xfId="3" applyFont="1" applyFill="1" applyBorder="1" applyAlignment="1">
      <alignment horizontal="center" vertical="center"/>
    </xf>
    <xf numFmtId="0" fontId="11" fillId="4" borderId="7" xfId="3" applyFont="1" applyFill="1" applyBorder="1" applyAlignment="1">
      <alignment horizontal="center" vertical="center"/>
    </xf>
    <xf numFmtId="0" fontId="0" fillId="0" borderId="0" xfId="0" applyAlignment="1">
      <alignment vertical="center"/>
    </xf>
    <xf numFmtId="0" fontId="12" fillId="2" borderId="2" xfId="0" applyFont="1" applyFill="1" applyBorder="1" applyAlignment="1">
      <alignment vertical="center"/>
    </xf>
    <xf numFmtId="0" fontId="13" fillId="3" borderId="6" xfId="0" applyFont="1" applyFill="1" applyBorder="1" applyAlignment="1">
      <alignment horizontal="right" vertical="center"/>
    </xf>
    <xf numFmtId="0" fontId="12" fillId="2" borderId="4" xfId="0" applyFont="1" applyFill="1" applyBorder="1" applyAlignment="1">
      <alignment vertical="center"/>
    </xf>
    <xf numFmtId="0" fontId="13" fillId="4" borderId="7" xfId="0" applyFont="1" applyFill="1" applyBorder="1" applyAlignment="1">
      <alignment horizontal="right" vertical="center"/>
    </xf>
    <xf numFmtId="0" fontId="13" fillId="3" borderId="7" xfId="0" applyFont="1" applyFill="1" applyBorder="1" applyAlignment="1">
      <alignment horizontal="right" vertical="center"/>
    </xf>
    <xf numFmtId="0" fontId="14" fillId="4" borderId="7" xfId="0" applyFont="1" applyFill="1" applyBorder="1" applyAlignment="1">
      <alignment vertical="top"/>
    </xf>
    <xf numFmtId="3" fontId="13" fillId="3" borderId="7" xfId="0" applyNumberFormat="1" applyFont="1" applyFill="1" applyBorder="1" applyAlignment="1">
      <alignment horizontal="right" vertical="center"/>
    </xf>
    <xf numFmtId="0" fontId="12" fillId="2" borderId="1" xfId="0" applyFont="1" applyFill="1" applyBorder="1" applyAlignment="1">
      <alignment vertical="center"/>
    </xf>
    <xf numFmtId="0" fontId="13" fillId="3" borderId="4" xfId="0" applyFont="1" applyFill="1" applyBorder="1" applyAlignment="1">
      <alignment horizontal="center" vertical="center"/>
    </xf>
    <xf numFmtId="0" fontId="13" fillId="3" borderId="7" xfId="0" applyFont="1" applyFill="1" applyBorder="1" applyAlignment="1">
      <alignment horizontal="center" vertical="center"/>
    </xf>
    <xf numFmtId="0" fontId="13" fillId="4" borderId="4" xfId="0" applyFont="1" applyFill="1" applyBorder="1" applyAlignment="1">
      <alignment horizontal="center" vertical="center"/>
    </xf>
    <xf numFmtId="0" fontId="13" fillId="4" borderId="7" xfId="0" applyFont="1" applyFill="1" applyBorder="1" applyAlignment="1">
      <alignment horizontal="center" vertical="center"/>
    </xf>
    <xf numFmtId="0" fontId="14" fillId="4" borderId="7" xfId="0" applyFont="1" applyFill="1" applyBorder="1" applyAlignment="1">
      <alignment vertical="center"/>
    </xf>
    <xf numFmtId="0" fontId="2" fillId="0" borderId="0" xfId="0" applyFont="1" applyAlignment="1">
      <alignment vertical="center"/>
    </xf>
    <xf numFmtId="0" fontId="15" fillId="2" borderId="1" xfId="0" applyFont="1" applyFill="1" applyBorder="1" applyAlignment="1">
      <alignment vertical="center"/>
    </xf>
    <xf numFmtId="0" fontId="15" fillId="2" borderId="5" xfId="0" applyFont="1" applyFill="1" applyBorder="1" applyAlignment="1">
      <alignment vertical="center"/>
    </xf>
    <xf numFmtId="0" fontId="15" fillId="2" borderId="6" xfId="0" applyFont="1" applyFill="1" applyBorder="1" applyAlignment="1">
      <alignment vertical="center"/>
    </xf>
    <xf numFmtId="0" fontId="15" fillId="2" borderId="4" xfId="0" applyFont="1" applyFill="1" applyBorder="1" applyAlignment="1">
      <alignment horizontal="right" vertical="center"/>
    </xf>
    <xf numFmtId="0" fontId="16" fillId="3" borderId="7" xfId="0" applyFont="1" applyFill="1" applyBorder="1" applyAlignment="1">
      <alignment horizontal="center" vertical="center"/>
    </xf>
    <xf numFmtId="0" fontId="16" fillId="4" borderId="7" xfId="0" applyFont="1" applyFill="1" applyBorder="1" applyAlignment="1">
      <alignment horizontal="center" vertical="center"/>
    </xf>
    <xf numFmtId="0" fontId="8" fillId="2" borderId="1"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4" xfId="0" applyFont="1" applyFill="1" applyBorder="1" applyAlignment="1">
      <alignment horizontal="center" vertical="center"/>
    </xf>
    <xf numFmtId="0" fontId="9" fillId="3" borderId="7" xfId="0" applyFont="1" applyFill="1" applyBorder="1" applyAlignment="1">
      <alignment horizontal="center" vertical="center"/>
    </xf>
    <xf numFmtId="0" fontId="9" fillId="4" borderId="7"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9" fillId="4" borderId="12" xfId="0" applyFont="1" applyFill="1" applyBorder="1" applyAlignment="1">
      <alignment horizontal="center" vertical="center"/>
    </xf>
    <xf numFmtId="0" fontId="9" fillId="4" borderId="13" xfId="0" applyFont="1" applyFill="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8" fillId="2" borderId="1" xfId="0" applyFont="1" applyFill="1" applyBorder="1" applyAlignment="1">
      <alignment vertical="center"/>
    </xf>
    <xf numFmtId="0" fontId="8" fillId="2" borderId="5" xfId="0" applyFont="1" applyFill="1" applyBorder="1" applyAlignment="1">
      <alignment vertical="center"/>
    </xf>
    <xf numFmtId="0" fontId="8" fillId="2" borderId="6" xfId="0" applyFont="1" applyFill="1" applyBorder="1" applyAlignment="1">
      <alignment vertical="center"/>
    </xf>
    <xf numFmtId="0" fontId="8" fillId="2" borderId="4" xfId="0" applyFont="1" applyFill="1" applyBorder="1" applyAlignment="1">
      <alignment horizontal="right" vertical="center"/>
    </xf>
    <xf numFmtId="0" fontId="9" fillId="3" borderId="7" xfId="0" applyFont="1" applyFill="1" applyBorder="1" applyAlignment="1">
      <alignment horizontal="right" vertical="center"/>
    </xf>
    <xf numFmtId="0" fontId="9" fillId="4" borderId="7" xfId="0" applyFont="1" applyFill="1" applyBorder="1" applyAlignment="1">
      <alignment horizontal="right" vertical="center"/>
    </xf>
    <xf numFmtId="0" fontId="8" fillId="2" borderId="4" xfId="0" applyFont="1" applyFill="1" applyBorder="1" applyAlignment="1">
      <alignment vertical="center"/>
    </xf>
    <xf numFmtId="0" fontId="17" fillId="2" borderId="1" xfId="0" applyFont="1" applyFill="1" applyBorder="1" applyAlignment="1">
      <alignment horizontal="center" vertical="center"/>
    </xf>
    <xf numFmtId="0" fontId="17" fillId="2" borderId="5" xfId="0" applyFont="1" applyFill="1" applyBorder="1" applyAlignment="1">
      <alignment horizontal="center" vertical="center"/>
    </xf>
    <xf numFmtId="0" fontId="17" fillId="2" borderId="6" xfId="0" applyFont="1" applyFill="1" applyBorder="1" applyAlignment="1">
      <alignment horizontal="center" vertical="center"/>
    </xf>
    <xf numFmtId="0" fontId="17" fillId="2" borderId="4" xfId="0" applyFont="1" applyFill="1" applyBorder="1" applyAlignment="1">
      <alignment horizontal="center" vertical="center"/>
    </xf>
    <xf numFmtId="0" fontId="18" fillId="3" borderId="7" xfId="0" applyFont="1" applyFill="1" applyBorder="1" applyAlignment="1">
      <alignment horizontal="center" vertical="center"/>
    </xf>
    <xf numFmtId="3" fontId="18" fillId="3" borderId="7" xfId="0" applyNumberFormat="1" applyFont="1" applyFill="1" applyBorder="1" applyAlignment="1">
      <alignment horizontal="center" vertical="center"/>
    </xf>
    <xf numFmtId="0" fontId="18" fillId="4" borderId="7" xfId="0" applyFont="1" applyFill="1" applyBorder="1" applyAlignment="1">
      <alignment horizontal="center" vertical="center"/>
    </xf>
    <xf numFmtId="3" fontId="18" fillId="4" borderId="7" xfId="0" applyNumberFormat="1" applyFont="1" applyFill="1" applyBorder="1" applyAlignment="1">
      <alignment horizontal="center" vertical="center"/>
    </xf>
    <xf numFmtId="0" fontId="12" fillId="5" borderId="2" xfId="0" applyFont="1" applyFill="1" applyBorder="1" applyAlignment="1">
      <alignment horizontal="center" vertical="center"/>
    </xf>
    <xf numFmtId="3" fontId="13" fillId="6" borderId="6" xfId="0" applyNumberFormat="1" applyFont="1" applyFill="1" applyBorder="1" applyAlignment="1">
      <alignment horizontal="center" vertical="center"/>
    </xf>
    <xf numFmtId="0" fontId="12" fillId="5" borderId="4" xfId="0" applyFont="1" applyFill="1" applyBorder="1" applyAlignment="1">
      <alignment horizontal="center" vertical="center"/>
    </xf>
    <xf numFmtId="3" fontId="13" fillId="7" borderId="7" xfId="0" applyNumberFormat="1" applyFont="1" applyFill="1" applyBorder="1" applyAlignment="1">
      <alignment horizontal="center" vertical="center"/>
    </xf>
    <xf numFmtId="0" fontId="12" fillId="2" borderId="5" xfId="0" applyFont="1" applyFill="1" applyBorder="1" applyAlignment="1">
      <alignment vertical="center"/>
    </xf>
    <xf numFmtId="0" fontId="12" fillId="2" borderId="6" xfId="0" applyFont="1" applyFill="1" applyBorder="1" applyAlignment="1">
      <alignment vertical="center"/>
    </xf>
    <xf numFmtId="0" fontId="12" fillId="2" borderId="4" xfId="0" applyFont="1" applyFill="1" applyBorder="1" applyAlignment="1">
      <alignment horizontal="right" vertical="center"/>
    </xf>
    <xf numFmtId="0" fontId="12" fillId="2" borderId="1" xfId="0" applyFont="1" applyFill="1" applyBorder="1" applyAlignment="1">
      <alignment horizontal="center" vertical="center"/>
    </xf>
    <xf numFmtId="0" fontId="12" fillId="2" borderId="5" xfId="0" applyFont="1" applyFill="1" applyBorder="1" applyAlignment="1">
      <alignment horizontal="center" vertical="center"/>
    </xf>
    <xf numFmtId="0" fontId="14" fillId="2" borderId="6" xfId="0" applyFont="1" applyFill="1" applyBorder="1" applyAlignment="1">
      <alignment vertical="top"/>
    </xf>
    <xf numFmtId="0" fontId="12" fillId="2" borderId="4" xfId="0" applyFont="1" applyFill="1" applyBorder="1" applyAlignment="1">
      <alignment horizontal="center" vertical="center"/>
    </xf>
    <xf numFmtId="10" fontId="0" fillId="0" borderId="0" xfId="0" applyNumberFormat="1"/>
    <xf numFmtId="165" fontId="0" fillId="0" borderId="0" xfId="1" applyNumberFormat="1" applyFont="1"/>
    <xf numFmtId="44" fontId="0" fillId="0" borderId="0" xfId="2" applyFont="1"/>
    <xf numFmtId="8" fontId="0" fillId="0" borderId="0" xfId="0" applyNumberFormat="1"/>
    <xf numFmtId="44" fontId="0" fillId="0" borderId="0" xfId="0" applyNumberFormat="1"/>
    <xf numFmtId="0" fontId="0" fillId="0" borderId="14" xfId="0" applyBorder="1" applyAlignment="1">
      <alignment horizontal="center"/>
    </xf>
    <xf numFmtId="44" fontId="0" fillId="0" borderId="14" xfId="0" applyNumberFormat="1" applyBorder="1" applyAlignment="1">
      <alignment horizontal="center"/>
    </xf>
    <xf numFmtId="0" fontId="0" fillId="0" borderId="0" xfId="0" applyFont="1"/>
    <xf numFmtId="9" fontId="0" fillId="0" borderId="0" xfId="0" applyNumberFormat="1" applyFont="1"/>
    <xf numFmtId="10" fontId="13" fillId="0" borderId="0" xfId="1" applyNumberFormat="1" applyFont="1"/>
    <xf numFmtId="166" fontId="0" fillId="0" borderId="0" xfId="1" applyNumberFormat="1" applyFont="1"/>
    <xf numFmtId="0" fontId="0" fillId="0" borderId="14" xfId="0" applyFont="1" applyBorder="1"/>
    <xf numFmtId="164" fontId="0" fillId="0" borderId="14" xfId="1" applyNumberFormat="1" applyFont="1" applyBorder="1"/>
    <xf numFmtId="165" fontId="0" fillId="0" borderId="0" xfId="1" applyNumberFormat="1" applyFont="1" applyBorder="1"/>
    <xf numFmtId="0" fontId="0" fillId="0" borderId="0" xfId="0" applyFont="1" applyBorder="1"/>
    <xf numFmtId="8" fontId="0" fillId="0" borderId="0" xfId="2" applyNumberFormat="1" applyFont="1"/>
    <xf numFmtId="2" fontId="0" fillId="0" borderId="0" xfId="2" applyNumberFormat="1" applyFont="1"/>
    <xf numFmtId="44" fontId="0" fillId="0" borderId="0" xfId="2" applyFont="1" applyAlignment="1">
      <alignment horizontal="center" vertical="center"/>
    </xf>
    <xf numFmtId="8" fontId="0" fillId="0" borderId="0" xfId="0" applyNumberFormat="1" applyFont="1"/>
    <xf numFmtId="164" fontId="0" fillId="0" borderId="0" xfId="4" applyNumberFormat="1" applyFont="1" applyBorder="1" applyAlignment="1" applyProtection="1"/>
    <xf numFmtId="9" fontId="0" fillId="0" borderId="0" xfId="4" applyFont="1" applyBorder="1" applyAlignment="1" applyProtection="1"/>
    <xf numFmtId="168" fontId="0" fillId="0" borderId="0" xfId="5" applyFont="1" applyBorder="1" applyAlignment="1" applyProtection="1"/>
    <xf numFmtId="167" fontId="3" fillId="0" borderId="0" xfId="3" applyNumberFormat="1"/>
    <xf numFmtId="168" fontId="0" fillId="8" borderId="0" xfId="5" applyFont="1" applyFill="1" applyBorder="1" applyAlignment="1" applyProtection="1"/>
    <xf numFmtId="0" fontId="3" fillId="8" borderId="0" xfId="3" applyFill="1"/>
    <xf numFmtId="0" fontId="3" fillId="9" borderId="0" xfId="3" applyFill="1"/>
    <xf numFmtId="9" fontId="3" fillId="0" borderId="0" xfId="3" applyNumberFormat="1"/>
    <xf numFmtId="0" fontId="5" fillId="0" borderId="0" xfId="3" applyFont="1" applyAlignment="1">
      <alignment horizontal="left" vertical="center" indent="2"/>
    </xf>
    <xf numFmtId="10" fontId="3" fillId="0" borderId="0" xfId="4" applyNumberFormat="1"/>
    <xf numFmtId="168" fontId="3" fillId="0" borderId="0" xfId="5"/>
    <xf numFmtId="169" fontId="3" fillId="0" borderId="0" xfId="3" applyNumberFormat="1"/>
    <xf numFmtId="168" fontId="0" fillId="10" borderId="0" xfId="5" applyFont="1" applyFill="1" applyBorder="1" applyAlignment="1" applyProtection="1"/>
    <xf numFmtId="8" fontId="3" fillId="0" borderId="0" xfId="3" applyNumberFormat="1"/>
    <xf numFmtId="165" fontId="3" fillId="0" borderId="0" xfId="4" applyNumberFormat="1"/>
    <xf numFmtId="0" fontId="13" fillId="4" borderId="8" xfId="0" applyFont="1" applyFill="1" applyBorder="1" applyAlignment="1">
      <alignment horizontal="center" vertical="center"/>
    </xf>
    <xf numFmtId="0" fontId="13" fillId="4" borderId="9" xfId="0" applyFont="1" applyFill="1" applyBorder="1" applyAlignment="1">
      <alignment horizontal="center" vertical="center"/>
    </xf>
    <xf numFmtId="0" fontId="13" fillId="4" borderId="4" xfId="0" applyFont="1" applyFill="1" applyBorder="1" applyAlignment="1">
      <alignment horizontal="center" vertical="center"/>
    </xf>
    <xf numFmtId="0" fontId="13" fillId="3" borderId="8" xfId="0" applyFont="1" applyFill="1" applyBorder="1" applyAlignment="1">
      <alignment horizontal="center" vertical="center"/>
    </xf>
    <xf numFmtId="0" fontId="13" fillId="3" borderId="9" xfId="0" applyFont="1" applyFill="1" applyBorder="1" applyAlignment="1">
      <alignment horizontal="center" vertical="center"/>
    </xf>
    <xf numFmtId="0" fontId="13" fillId="3" borderId="4" xfId="0" applyFont="1" applyFill="1" applyBorder="1" applyAlignment="1">
      <alignment horizontal="center" vertical="center"/>
    </xf>
    <xf numFmtId="0" fontId="12" fillId="2" borderId="5" xfId="0" applyFont="1" applyFill="1" applyBorder="1" applyAlignment="1">
      <alignment vertical="center"/>
    </xf>
    <xf numFmtId="0" fontId="12" fillId="2" borderId="6" xfId="0" applyFont="1" applyFill="1" applyBorder="1" applyAlignment="1">
      <alignment vertical="center"/>
    </xf>
    <xf numFmtId="2" fontId="0" fillId="0" borderId="0" xfId="2" applyNumberFormat="1" applyFont="1" applyAlignment="1">
      <alignment horizontal="center" vertical="center"/>
    </xf>
    <xf numFmtId="0" fontId="0" fillId="0" borderId="0" xfId="0" applyFont="1" applyAlignment="1">
      <alignment horizontal="left" vertical="center" wrapText="1"/>
    </xf>
    <xf numFmtId="0" fontId="3" fillId="0" borderId="0" xfId="3" applyAlignment="1">
      <alignment horizontal="left" vertical="center" wrapText="1"/>
    </xf>
    <xf numFmtId="0" fontId="0" fillId="0" borderId="0" xfId="0" applyAlignment="1">
      <alignment horizontal="left" vertical="center" wrapText="1"/>
    </xf>
    <xf numFmtId="44" fontId="0" fillId="8" borderId="0" xfId="2" applyFont="1" applyFill="1" applyBorder="1" applyAlignment="1" applyProtection="1"/>
    <xf numFmtId="44" fontId="0" fillId="9" borderId="0" xfId="2" applyFont="1" applyFill="1" applyBorder="1" applyAlignment="1" applyProtection="1"/>
    <xf numFmtId="44" fontId="3" fillId="8" borderId="0" xfId="2" applyFont="1" applyFill="1"/>
    <xf numFmtId="44" fontId="3" fillId="0" borderId="0" xfId="2" applyFont="1"/>
    <xf numFmtId="44" fontId="0" fillId="0" borderId="0" xfId="2" applyFont="1" applyBorder="1" applyAlignment="1" applyProtection="1"/>
  </cellXfs>
  <cellStyles count="6">
    <cellStyle name="Moneda" xfId="2" builtinId="4"/>
    <cellStyle name="Moneda 2" xfId="5"/>
    <cellStyle name="Normal" xfId="0" builtinId="0"/>
    <cellStyle name="Normal 2" xfId="3"/>
    <cellStyle name="Porcentaje" xfId="1" builtinId="5"/>
    <cellStyle name="Porcentaje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'Unidad 1 Actividad 2'!$C$3</c:f>
              <c:strCache>
                <c:ptCount val="1"/>
                <c:pt idx="0">
                  <c:v>Promedio de goles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'Unidad 1 Actividad 2'!$A$4:$A$21</c:f>
              <c:strCache>
                <c:ptCount val="18"/>
                <c:pt idx="0">
                  <c:v>Brasil</c:v>
                </c:pt>
                <c:pt idx="1">
                  <c:v>Suiza</c:v>
                </c:pt>
                <c:pt idx="2">
                  <c:v>Suecia</c:v>
                </c:pt>
                <c:pt idx="3">
                  <c:v>Chile</c:v>
                </c:pt>
                <c:pt idx="4">
                  <c:v>Inglaterra</c:v>
                </c:pt>
                <c:pt idx="5">
                  <c:v>Mexico</c:v>
                </c:pt>
                <c:pt idx="6">
                  <c:v>Alemania</c:v>
                </c:pt>
                <c:pt idx="7">
                  <c:v>Argentina</c:v>
                </c:pt>
                <c:pt idx="8">
                  <c:v>España</c:v>
                </c:pt>
                <c:pt idx="9">
                  <c:v>Mexico</c:v>
                </c:pt>
                <c:pt idx="10">
                  <c:v>Italia</c:v>
                </c:pt>
                <c:pt idx="11">
                  <c:v>Estados Unidos</c:v>
                </c:pt>
                <c:pt idx="12">
                  <c:v>Francia</c:v>
                </c:pt>
                <c:pt idx="13">
                  <c:v>Corea Japon</c:v>
                </c:pt>
                <c:pt idx="14">
                  <c:v>Alemania</c:v>
                </c:pt>
                <c:pt idx="15">
                  <c:v>Sudafrica</c:v>
                </c:pt>
                <c:pt idx="16">
                  <c:v>Brasil</c:v>
                </c:pt>
                <c:pt idx="17">
                  <c:v>Rusia</c:v>
                </c:pt>
              </c:strCache>
            </c:strRef>
          </c:cat>
          <c:val>
            <c:numRef>
              <c:f>'Unidad 1 Actividad 2'!$C$4:$C$21</c:f>
              <c:numCache>
                <c:formatCode>General</c:formatCode>
                <c:ptCount val="18"/>
                <c:pt idx="0">
                  <c:v>4</c:v>
                </c:pt>
                <c:pt idx="1">
                  <c:v>5.36</c:v>
                </c:pt>
                <c:pt idx="2">
                  <c:v>3.6</c:v>
                </c:pt>
                <c:pt idx="3">
                  <c:v>2.78</c:v>
                </c:pt>
                <c:pt idx="4">
                  <c:v>2.78</c:v>
                </c:pt>
                <c:pt idx="5">
                  <c:v>2.97</c:v>
                </c:pt>
                <c:pt idx="6">
                  <c:v>2.5499999999999998</c:v>
                </c:pt>
                <c:pt idx="7">
                  <c:v>2.68</c:v>
                </c:pt>
                <c:pt idx="8">
                  <c:v>2.81</c:v>
                </c:pt>
                <c:pt idx="9">
                  <c:v>2.54</c:v>
                </c:pt>
                <c:pt idx="10">
                  <c:v>2.21</c:v>
                </c:pt>
                <c:pt idx="11">
                  <c:v>2.71</c:v>
                </c:pt>
                <c:pt idx="12">
                  <c:v>2.67</c:v>
                </c:pt>
                <c:pt idx="13">
                  <c:v>2.52</c:v>
                </c:pt>
                <c:pt idx="14">
                  <c:v>2.2999999999999998</c:v>
                </c:pt>
                <c:pt idx="15">
                  <c:v>2.27</c:v>
                </c:pt>
                <c:pt idx="16">
                  <c:v>2.7</c:v>
                </c:pt>
                <c:pt idx="17">
                  <c:v>2.64</c:v>
                </c:pt>
              </c:numCache>
            </c:numRef>
          </c:val>
          <c:extLst>
            <c:ext xmlns:c16="http://schemas.microsoft.com/office/drawing/2014/chart" uri="{C3380CC4-5D6E-409C-BE32-E72D297353CC}">
              <c16:uniqueId val="{00000000-1C43-4603-9D09-EA88FF149C17}"/>
            </c:ext>
          </c:extLst>
        </c:ser>
        <c:dLbls>
          <c:dLblPos val="outEnd"/>
          <c:showLegendKey val="0"/>
          <c:showVal val="1"/>
          <c:showCatName val="0"/>
          <c:showSerName val="0"/>
          <c:showPercent val="0"/>
          <c:showBubbleSize val="0"/>
        </c:dLbls>
        <c:gapWidth val="219"/>
        <c:overlap val="-27"/>
        <c:axId val="380434072"/>
        <c:axId val="380436368"/>
      </c:barChart>
      <c:catAx>
        <c:axId val="380434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80436368"/>
        <c:crosses val="autoZero"/>
        <c:auto val="1"/>
        <c:lblAlgn val="ctr"/>
        <c:lblOffset val="100"/>
        <c:noMultiLvlLbl val="0"/>
      </c:catAx>
      <c:valAx>
        <c:axId val="38043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80434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de mundiales</a:t>
            </a:r>
            <a:r>
              <a:rPr lang="es-CO" baseline="0"/>
              <a:t> con goles promedio</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'Unidad 1 Actividad 2'!$F$34</c:f>
              <c:strCache>
                <c:ptCount val="1"/>
                <c:pt idx="0">
                  <c:v>Frecuencia</c:v>
                </c:pt>
              </c:strCache>
            </c:strRef>
          </c:tx>
          <c:spPr>
            <a:solidFill>
              <a:schemeClr val="accent1"/>
            </a:solidFill>
            <a:ln>
              <a:noFill/>
            </a:ln>
            <a:effectLst/>
          </c:spPr>
          <c:invertIfNegative val="0"/>
          <c:cat>
            <c:strRef>
              <c:f>'Unidad 1 Actividad 2'!$E$35:$E$39</c:f>
              <c:strCache>
                <c:ptCount val="5"/>
                <c:pt idx="0">
                  <c:v>Mundiales con goles promedio por partido menores a 2.84</c:v>
                </c:pt>
                <c:pt idx="1">
                  <c:v>Mundiales con goles promedio por partido mayores a 2.84 pero menores a 3.47</c:v>
                </c:pt>
                <c:pt idx="2">
                  <c:v>Mundiales con goles promedio por partido mayores a 3.47 pero menores a 4.1</c:v>
                </c:pt>
                <c:pt idx="3">
                  <c:v>Mundiales con goles promedio por partido mayores a 4.1 pero menores a 4.73</c:v>
                </c:pt>
                <c:pt idx="4">
                  <c:v>Mundiales con goles promedio por partido mayores a 4.73 </c:v>
                </c:pt>
              </c:strCache>
            </c:strRef>
          </c:cat>
          <c:val>
            <c:numRef>
              <c:f>'Unidad 1 Actividad 2'!$F$35:$F$39</c:f>
              <c:numCache>
                <c:formatCode>General</c:formatCode>
                <c:ptCount val="5"/>
                <c:pt idx="0">
                  <c:v>14</c:v>
                </c:pt>
                <c:pt idx="1">
                  <c:v>1</c:v>
                </c:pt>
                <c:pt idx="2">
                  <c:v>2</c:v>
                </c:pt>
                <c:pt idx="3">
                  <c:v>0</c:v>
                </c:pt>
                <c:pt idx="4">
                  <c:v>1</c:v>
                </c:pt>
              </c:numCache>
            </c:numRef>
          </c:val>
          <c:extLst>
            <c:ext xmlns:c16="http://schemas.microsoft.com/office/drawing/2014/chart" uri="{C3380CC4-5D6E-409C-BE32-E72D297353CC}">
              <c16:uniqueId val="{00000000-9AFA-4B67-BA26-CD3FB641AF18}"/>
            </c:ext>
          </c:extLst>
        </c:ser>
        <c:dLbls>
          <c:showLegendKey val="0"/>
          <c:showVal val="0"/>
          <c:showCatName val="0"/>
          <c:showSerName val="0"/>
          <c:showPercent val="0"/>
          <c:showBubbleSize val="0"/>
        </c:dLbls>
        <c:gapWidth val="219"/>
        <c:overlap val="-27"/>
        <c:axId val="330245448"/>
        <c:axId val="330248072"/>
      </c:barChart>
      <c:catAx>
        <c:axId val="330245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30248072"/>
        <c:crosses val="autoZero"/>
        <c:auto val="1"/>
        <c:lblAlgn val="ctr"/>
        <c:lblOffset val="100"/>
        <c:noMultiLvlLbl val="0"/>
      </c:catAx>
      <c:valAx>
        <c:axId val="330248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30245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800" b="0" i="0" baseline="0">
                <a:effectLst/>
              </a:rPr>
              <a:t>Cantidad de mundiales con goles promedio</a:t>
            </a:r>
            <a:endParaRPr lang="es-CO">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tx>
            <c:strRef>
              <c:f>'Unidad 1 Actividad 2'!$G$34</c:f>
              <c:strCache>
                <c:ptCount val="1"/>
                <c:pt idx="0">
                  <c:v>Frecuencia Relativa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66-4104-861A-AE8656B09C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66-4104-861A-AE8656B09C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66-4104-861A-AE8656B09C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F66-4104-861A-AE8656B09C1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F66-4104-861A-AE8656B09C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'Unidad 1 Actividad 2'!$E$35:$E$39</c:f>
              <c:strCache>
                <c:ptCount val="5"/>
                <c:pt idx="0">
                  <c:v>Mundiales con goles promedio por partido menores a 2.84</c:v>
                </c:pt>
                <c:pt idx="1">
                  <c:v>Mundiales con goles promedio por partido mayores a 2.84 pero menores a 3.47</c:v>
                </c:pt>
                <c:pt idx="2">
                  <c:v>Mundiales con goles promedio por partido mayores a 3.47 pero menores a 4.1</c:v>
                </c:pt>
                <c:pt idx="3">
                  <c:v>Mundiales con goles promedio por partido mayores a 4.1 pero menores a 4.73</c:v>
                </c:pt>
                <c:pt idx="4">
                  <c:v>Mundiales con goles promedio por partido mayores a 4.73 </c:v>
                </c:pt>
              </c:strCache>
            </c:strRef>
          </c:cat>
          <c:val>
            <c:numRef>
              <c:f>'Unidad 1 Actividad 2'!$G$35:$G$39</c:f>
              <c:numCache>
                <c:formatCode>0.00%</c:formatCode>
                <c:ptCount val="5"/>
                <c:pt idx="0">
                  <c:v>0.77777777777777779</c:v>
                </c:pt>
                <c:pt idx="1">
                  <c:v>5.5555555555555552E-2</c:v>
                </c:pt>
                <c:pt idx="2">
                  <c:v>0.1111111111111111</c:v>
                </c:pt>
                <c:pt idx="3">
                  <c:v>0</c:v>
                </c:pt>
                <c:pt idx="4">
                  <c:v>5.5555555555555552E-2</c:v>
                </c:pt>
              </c:numCache>
            </c:numRef>
          </c:val>
          <c:extLst>
            <c:ext xmlns:c16="http://schemas.microsoft.com/office/drawing/2014/chart" uri="{C3380CC4-5D6E-409C-BE32-E72D297353CC}">
              <c16:uniqueId val="{00000000-ADB8-4ECD-A64D-B8AA075E4AE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sz="1400" b="0" strike="noStrike" spc="-1">
                <a:solidFill>
                  <a:srgbClr val="595959"/>
                </a:solidFill>
                <a:latin typeface="Calibri"/>
              </a:defRPr>
            </a:pPr>
            <a:r>
              <a:rPr lang="es-CO" sz="1400" b="0" strike="noStrike" spc="-1">
                <a:solidFill>
                  <a:srgbClr val="595959"/>
                </a:solidFill>
                <a:latin typeface="Calibri"/>
              </a:rPr>
              <a:t>Capital recolectado</a:t>
            </a:r>
          </a:p>
        </c:rich>
      </c:tx>
      <c:layout/>
      <c:overlay val="0"/>
    </c:title>
    <c:autoTitleDeleted val="0"/>
    <c:plotArea>
      <c:layout/>
      <c:scatterChart>
        <c:scatterStyle val="lineMarker"/>
        <c:varyColors val="0"/>
        <c:ser>
          <c:idx val="0"/>
          <c:order val="0"/>
          <c:tx>
            <c:strRef>
              <c:f>'Actividad 2 Unidad 3'!$K$46</c:f>
              <c:strCache>
                <c:ptCount val="1"/>
                <c:pt idx="0">
                  <c:v>Recolectado</c:v>
                </c:pt>
              </c:strCache>
            </c:strRef>
          </c:tx>
          <c:spPr>
            <a:ln w="19080">
              <a:solidFill>
                <a:srgbClr val="5B9BD5"/>
              </a:solidFill>
              <a:round/>
            </a:ln>
          </c:spPr>
          <c:marker>
            <c:symbol val="circle"/>
            <c:size val="5"/>
            <c:spPr>
              <a:solidFill>
                <a:srgbClr val="5B9BD5"/>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'Actividad 2 Unidad 3'!$A$47:$A$70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xVal>
          <c:yVal>
            <c:numRef>
              <c:f>'Actividad 2 Unidad 3'!$K$47:$K$70</c:f>
              <c:numCache>
                <c:formatCode>_-\$* #.##0.00_-;"-$"* #.##0.00_-;_-\$* \-??_-;_-@_-</c:formatCode>
                <c:ptCount val="24"/>
                <c:pt idx="0">
                  <c:v>2770857.897894768</c:v>
                </c:pt>
                <c:pt idx="1">
                  <c:v>5541715.7957895361</c:v>
                </c:pt>
                <c:pt idx="2">
                  <c:v>8312573.6936843041</c:v>
                </c:pt>
                <c:pt idx="3">
                  <c:v>10247071.257977892</c:v>
                </c:pt>
                <c:pt idx="4">
                  <c:v>12181568.822271479</c:v>
                </c:pt>
                <c:pt idx="5">
                  <c:v>14116066.386565067</c:v>
                </c:pt>
                <c:pt idx="6">
                  <c:v>15379655.64361418</c:v>
                </c:pt>
                <c:pt idx="7">
                  <c:v>16643244.900663294</c:v>
                </c:pt>
                <c:pt idx="8">
                  <c:v>17906834.157712407</c:v>
                </c:pt>
                <c:pt idx="9">
                  <c:v>19170423.414761521</c:v>
                </c:pt>
                <c:pt idx="10">
                  <c:v>20307761.394071128</c:v>
                </c:pt>
                <c:pt idx="11">
                  <c:v>21445099.373380736</c:v>
                </c:pt>
                <c:pt idx="12">
                  <c:v>22245158.221371308</c:v>
                </c:pt>
                <c:pt idx="13">
                  <c:v>23045217.06936188</c:v>
                </c:pt>
                <c:pt idx="14">
                  <c:v>23845275.917352453</c:v>
                </c:pt>
                <c:pt idx="15">
                  <c:v>24408598.903200101</c:v>
                </c:pt>
                <c:pt idx="16">
                  <c:v>24971921.889047749</c:v>
                </c:pt>
                <c:pt idx="17">
                  <c:v>25535244.874895398</c:v>
                </c:pt>
                <c:pt idx="18">
                  <c:v>25900753.290458843</c:v>
                </c:pt>
                <c:pt idx="19">
                  <c:v>26266261.706022289</c:v>
                </c:pt>
                <c:pt idx="20">
                  <c:v>26351498.91477799</c:v>
                </c:pt>
                <c:pt idx="21">
                  <c:v>26436736.123533692</c:v>
                </c:pt>
                <c:pt idx="22">
                  <c:v>26521973.332289394</c:v>
                </c:pt>
                <c:pt idx="23">
                  <c:v>26607210.541045096</c:v>
                </c:pt>
              </c:numCache>
            </c:numRef>
          </c:yVal>
          <c:smooth val="0"/>
          <c:extLst>
            <c:ext xmlns:c16="http://schemas.microsoft.com/office/drawing/2014/chart" uri="{C3380CC4-5D6E-409C-BE32-E72D297353CC}">
              <c16:uniqueId val="{00000000-0544-4EE4-A8F4-600EDB7B2C62}"/>
            </c:ext>
          </c:extLst>
        </c:ser>
        <c:dLbls>
          <c:showLegendKey val="0"/>
          <c:showVal val="0"/>
          <c:showCatName val="0"/>
          <c:showSerName val="0"/>
          <c:showPercent val="0"/>
          <c:showBubbleSize val="0"/>
        </c:dLbls>
        <c:axId val="34167433"/>
        <c:axId val="31614220"/>
      </c:scatterChart>
      <c:valAx>
        <c:axId val="34167433"/>
        <c:scaling>
          <c:orientation val="minMax"/>
        </c:scaling>
        <c:delete val="0"/>
        <c:axPos val="b"/>
        <c:majorGridlines>
          <c:spPr>
            <a:ln w="9360">
              <a:solidFill>
                <a:srgbClr val="D9D9D9"/>
              </a:solidFill>
              <a:round/>
            </a:ln>
          </c:spPr>
        </c:majorGridlines>
        <c:title>
          <c:tx>
            <c:rich>
              <a:bodyPr rot="0"/>
              <a:lstStyle/>
              <a:p>
                <a:pPr>
                  <a:defRPr sz="1000" b="0" strike="noStrike" spc="-1">
                    <a:solidFill>
                      <a:srgbClr val="595959"/>
                    </a:solidFill>
                    <a:latin typeface="Calibri"/>
                  </a:defRPr>
                </a:pPr>
                <a:r>
                  <a:rPr lang="es-CO" sz="1000" b="0" strike="noStrike" spc="-1">
                    <a:solidFill>
                      <a:srgbClr val="595959"/>
                    </a:solidFill>
                    <a:latin typeface="Calibri"/>
                  </a:rPr>
                  <a:t>Mes</a:t>
                </a:r>
              </a:p>
            </c:rich>
          </c:tx>
          <c:layout/>
          <c:overlay val="0"/>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31614220"/>
        <c:crosses val="autoZero"/>
        <c:crossBetween val="midCat"/>
      </c:valAx>
      <c:valAx>
        <c:axId val="31614220"/>
        <c:scaling>
          <c:orientation val="minMax"/>
        </c:scaling>
        <c:delete val="0"/>
        <c:axPos val="l"/>
        <c:majorGridlines>
          <c:spPr>
            <a:ln w="9360">
              <a:solidFill>
                <a:srgbClr val="D9D9D9"/>
              </a:solidFill>
              <a:round/>
            </a:ln>
          </c:spPr>
        </c:majorGridlines>
        <c:title>
          <c:tx>
            <c:rich>
              <a:bodyPr rot="-5400000"/>
              <a:lstStyle/>
              <a:p>
                <a:pPr>
                  <a:defRPr sz="1000" b="0" strike="noStrike" spc="-1">
                    <a:solidFill>
                      <a:srgbClr val="595959"/>
                    </a:solidFill>
                    <a:latin typeface="Calibri"/>
                  </a:defRPr>
                </a:pPr>
                <a:r>
                  <a:rPr lang="es-CO" sz="1000" b="0" strike="noStrike" spc="-1">
                    <a:solidFill>
                      <a:srgbClr val="595959"/>
                    </a:solidFill>
                    <a:latin typeface="Calibri"/>
                  </a:rPr>
                  <a:t>Capital</a:t>
                </a:r>
              </a:p>
            </c:rich>
          </c:tx>
          <c:layout/>
          <c:overlay val="0"/>
        </c:title>
        <c:numFmt formatCode="_(\$* #,##0.00_);_(\$* \(#,##0.00\);_(\$* \-??_);_(@_)"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s-CO"/>
          </a:p>
        </c:txPr>
        <c:crossAx val="34167433"/>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sz="1400" b="0" strike="noStrike" spc="-1">
                <a:solidFill>
                  <a:srgbClr val="595959"/>
                </a:solidFill>
                <a:latin typeface="Calibri"/>
              </a:defRPr>
            </a:pPr>
            <a:r>
              <a:rPr lang="es-CO" sz="1400" b="0" strike="noStrike" spc="-1">
                <a:solidFill>
                  <a:srgbClr val="595959"/>
                </a:solidFill>
                <a:latin typeface="Calibri"/>
              </a:rPr>
              <a:t>Interes simple vs Interes compuesto</a:t>
            </a:r>
          </a:p>
        </c:rich>
      </c:tx>
      <c:layout/>
      <c:overlay val="0"/>
    </c:title>
    <c:autoTitleDeleted val="0"/>
    <c:plotArea>
      <c:layout/>
      <c:lineChart>
        <c:grouping val="standard"/>
        <c:varyColors val="0"/>
        <c:ser>
          <c:idx val="0"/>
          <c:order val="0"/>
          <c:tx>
            <c:strRef>
              <c:f>[1]Hoja8!$E$7</c:f>
              <c:strCache>
                <c:ptCount val="1"/>
                <c:pt idx="0">
                  <c:v>Total Interes simple</c:v>
                </c:pt>
              </c:strCache>
            </c:strRef>
          </c:tx>
          <c:spPr>
            <a:ln w="28440">
              <a:solidFill>
                <a:srgbClr val="5B9BD5"/>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[1]Hoja8!$A$8:$A$22</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[1]Hoja8!$E$8:$E$22</c:f>
              <c:numCache>
                <c:formatCode>General</c:formatCode>
                <c:ptCount val="15"/>
                <c:pt idx="0">
                  <c:v>233000</c:v>
                </c:pt>
                <c:pt idx="1">
                  <c:v>489300</c:v>
                </c:pt>
                <c:pt idx="2">
                  <c:v>745600</c:v>
                </c:pt>
                <c:pt idx="3">
                  <c:v>1001900</c:v>
                </c:pt>
                <c:pt idx="4">
                  <c:v>1258200</c:v>
                </c:pt>
                <c:pt idx="5">
                  <c:v>1514500</c:v>
                </c:pt>
                <c:pt idx="6">
                  <c:v>1770800</c:v>
                </c:pt>
                <c:pt idx="7">
                  <c:v>2027100</c:v>
                </c:pt>
                <c:pt idx="8">
                  <c:v>2283400</c:v>
                </c:pt>
                <c:pt idx="9">
                  <c:v>2539700</c:v>
                </c:pt>
                <c:pt idx="10">
                  <c:v>2796000</c:v>
                </c:pt>
                <c:pt idx="11">
                  <c:v>3052300</c:v>
                </c:pt>
                <c:pt idx="12">
                  <c:v>3308600</c:v>
                </c:pt>
                <c:pt idx="13">
                  <c:v>3564900</c:v>
                </c:pt>
                <c:pt idx="14">
                  <c:v>3821200</c:v>
                </c:pt>
              </c:numCache>
            </c:numRef>
          </c:val>
          <c:smooth val="0"/>
          <c:extLst>
            <c:ext xmlns:c16="http://schemas.microsoft.com/office/drawing/2014/chart" uri="{C3380CC4-5D6E-409C-BE32-E72D297353CC}">
              <c16:uniqueId val="{00000000-D96D-4965-9DD8-84FFFA387725}"/>
            </c:ext>
          </c:extLst>
        </c:ser>
        <c:ser>
          <c:idx val="1"/>
          <c:order val="1"/>
          <c:tx>
            <c:strRef>
              <c:f>[1]Hoja8!$K$7</c:f>
              <c:strCache>
                <c:ptCount val="1"/>
                <c:pt idx="0">
                  <c:v>Total interes compuesto</c:v>
                </c:pt>
              </c:strCache>
            </c:strRef>
          </c:tx>
          <c:spPr>
            <a:ln w="28440">
              <a:solidFill>
                <a:srgbClr val="ED7D3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[1]Hoja8!$A$8:$A$22</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[1]Hoja8!$K$8:$K$22</c:f>
              <c:numCache>
                <c:formatCode>General</c:formatCode>
                <c:ptCount val="15"/>
                <c:pt idx="0">
                  <c:v>256300</c:v>
                </c:pt>
                <c:pt idx="1">
                  <c:v>538230</c:v>
                </c:pt>
                <c:pt idx="2">
                  <c:v>848353</c:v>
                </c:pt>
                <c:pt idx="3">
                  <c:v>1189488.3</c:v>
                </c:pt>
                <c:pt idx="4">
                  <c:v>1564737.1300000001</c:v>
                </c:pt>
                <c:pt idx="5">
                  <c:v>1977510.8430000001</c:v>
                </c:pt>
                <c:pt idx="6">
                  <c:v>2431561.9273000001</c:v>
                </c:pt>
                <c:pt idx="7">
                  <c:v>2931018.1200299999</c:v>
                </c:pt>
                <c:pt idx="8">
                  <c:v>3480419.932033</c:v>
                </c:pt>
                <c:pt idx="9">
                  <c:v>4084761.9252363001</c:v>
                </c:pt>
                <c:pt idx="10">
                  <c:v>4749538.11775993</c:v>
                </c:pt>
                <c:pt idx="11">
                  <c:v>5480791.9295359226</c:v>
                </c:pt>
                <c:pt idx="12">
                  <c:v>6285171.1224895148</c:v>
                </c:pt>
                <c:pt idx="13">
                  <c:v>7169988.2347384663</c:v>
                </c:pt>
                <c:pt idx="14">
                  <c:v>8143287.0582123129</c:v>
                </c:pt>
              </c:numCache>
            </c:numRef>
          </c:val>
          <c:smooth val="0"/>
          <c:extLst>
            <c:ext xmlns:c16="http://schemas.microsoft.com/office/drawing/2014/chart" uri="{C3380CC4-5D6E-409C-BE32-E72D297353CC}">
              <c16:uniqueId val="{00000001-D96D-4965-9DD8-84FFFA387725}"/>
            </c:ext>
          </c:extLst>
        </c:ser>
        <c:dLbls>
          <c:showLegendKey val="0"/>
          <c:showVal val="0"/>
          <c:showCatName val="0"/>
          <c:showSerName val="0"/>
          <c:showPercent val="0"/>
          <c:showBubbleSize val="0"/>
        </c:dLbls>
        <c:hiLowLines>
          <c:spPr>
            <a:ln>
              <a:noFill/>
            </a:ln>
          </c:spPr>
        </c:hiLowLines>
        <c:smooth val="0"/>
        <c:axId val="34353676"/>
        <c:axId val="46760849"/>
      </c:lineChart>
      <c:catAx>
        <c:axId val="3435367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s-CO"/>
          </a:p>
        </c:txPr>
        <c:crossAx val="46760849"/>
        <c:crosses val="autoZero"/>
        <c:auto val="1"/>
        <c:lblAlgn val="ctr"/>
        <c:lblOffset val="100"/>
        <c:noMultiLvlLbl val="1"/>
      </c:catAx>
      <c:valAx>
        <c:axId val="46760849"/>
        <c:scaling>
          <c:orientation val="minMax"/>
        </c:scaling>
        <c:delete val="0"/>
        <c:axPos val="l"/>
        <c:majorGridlines>
          <c:spPr>
            <a:ln w="9360">
              <a:solidFill>
                <a:srgbClr val="D9D9D9"/>
              </a:solidFill>
              <a:round/>
            </a:ln>
          </c:spPr>
        </c:majorGridlines>
        <c:numFmt formatCode="_(\$* #,##0.00_);_(\$* \(#,##0.00\);_(\$* \-??_);_(@_)"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s-CO"/>
          </a:p>
        </c:txPr>
        <c:crossAx val="34353676"/>
        <c:crosses val="autoZero"/>
        <c:crossBetween val="midCat"/>
      </c:valAx>
      <c:spPr>
        <a:noFill/>
        <a:ln>
          <a:noFill/>
        </a:ln>
      </c:spPr>
    </c:plotArea>
    <c:legend>
      <c:legendPos val="b"/>
      <c:layout/>
      <c:overlay val="0"/>
      <c:spPr>
        <a:noFill/>
        <a:ln>
          <a:noFill/>
        </a:ln>
      </c:spPr>
      <c:txPr>
        <a:bodyPr/>
        <a:lstStyle/>
        <a:p>
          <a:pPr>
            <a:defRPr sz="900" b="0" strike="noStrike" spc="-1">
              <a:solidFill>
                <a:srgbClr val="595959"/>
              </a:solidFill>
              <a:latin typeface="Calibri"/>
            </a:defRPr>
          </a:pPr>
          <a:endParaRPr lang="es-CO"/>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sz="1400" b="0" strike="noStrike" spc="-1">
                <a:solidFill>
                  <a:srgbClr val="595959"/>
                </a:solidFill>
                <a:latin typeface="Calibri"/>
              </a:defRPr>
            </a:pPr>
            <a:r>
              <a:rPr lang="es-CO" sz="1400" b="0" strike="noStrike" spc="-1">
                <a:solidFill>
                  <a:srgbClr val="595959"/>
                </a:solidFill>
                <a:latin typeface="Calibri"/>
              </a:rPr>
              <a:t>Capital Interes simple vs interes Compuesto</a:t>
            </a:r>
          </a:p>
        </c:rich>
      </c:tx>
      <c:layout/>
      <c:overlay val="0"/>
    </c:title>
    <c:autoTitleDeleted val="0"/>
    <c:plotArea>
      <c:layout/>
      <c:lineChart>
        <c:grouping val="standard"/>
        <c:varyColors val="0"/>
        <c:ser>
          <c:idx val="0"/>
          <c:order val="0"/>
          <c:tx>
            <c:strRef>
              <c:f>[1]Hoja8!$E$7</c:f>
              <c:strCache>
                <c:ptCount val="1"/>
                <c:pt idx="0">
                  <c:v>Total Interes simple</c:v>
                </c:pt>
              </c:strCache>
            </c:strRef>
          </c:tx>
          <c:spPr>
            <a:ln w="28440">
              <a:solidFill>
                <a:srgbClr val="5B9BD5"/>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[1]Hoja8!$A$8:$A$22</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[1]Hoja8!$E$8:$E$22</c:f>
              <c:numCache>
                <c:formatCode>General</c:formatCode>
                <c:ptCount val="15"/>
                <c:pt idx="0">
                  <c:v>233000</c:v>
                </c:pt>
                <c:pt idx="1">
                  <c:v>489300</c:v>
                </c:pt>
                <c:pt idx="2">
                  <c:v>745600</c:v>
                </c:pt>
                <c:pt idx="3">
                  <c:v>1001900</c:v>
                </c:pt>
                <c:pt idx="4">
                  <c:v>1258200</c:v>
                </c:pt>
                <c:pt idx="5">
                  <c:v>1514500</c:v>
                </c:pt>
                <c:pt idx="6">
                  <c:v>1770800</c:v>
                </c:pt>
                <c:pt idx="7">
                  <c:v>2027100</c:v>
                </c:pt>
                <c:pt idx="8">
                  <c:v>2283400</c:v>
                </c:pt>
                <c:pt idx="9">
                  <c:v>2539700</c:v>
                </c:pt>
                <c:pt idx="10">
                  <c:v>2796000</c:v>
                </c:pt>
                <c:pt idx="11">
                  <c:v>3052300</c:v>
                </c:pt>
                <c:pt idx="12">
                  <c:v>3308600</c:v>
                </c:pt>
                <c:pt idx="13">
                  <c:v>3564900</c:v>
                </c:pt>
                <c:pt idx="14">
                  <c:v>3821200</c:v>
                </c:pt>
              </c:numCache>
            </c:numRef>
          </c:val>
          <c:smooth val="0"/>
          <c:extLst>
            <c:ext xmlns:c16="http://schemas.microsoft.com/office/drawing/2014/chart" uri="{C3380CC4-5D6E-409C-BE32-E72D297353CC}">
              <c16:uniqueId val="{00000000-F189-4FAA-90BE-4FAAF752C9A6}"/>
            </c:ext>
          </c:extLst>
        </c:ser>
        <c:ser>
          <c:idx val="1"/>
          <c:order val="1"/>
          <c:tx>
            <c:strRef>
              <c:f>[1]Hoja8!$K$7</c:f>
              <c:strCache>
                <c:ptCount val="1"/>
                <c:pt idx="0">
                  <c:v>Total interes compuesto</c:v>
                </c:pt>
              </c:strCache>
            </c:strRef>
          </c:tx>
          <c:spPr>
            <a:ln w="28440">
              <a:solidFill>
                <a:srgbClr val="ED7D3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[1]Hoja8!$A$8:$A$22</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[1]Hoja8!$K$8:$K$22</c:f>
              <c:numCache>
                <c:formatCode>General</c:formatCode>
                <c:ptCount val="15"/>
                <c:pt idx="0">
                  <c:v>256300</c:v>
                </c:pt>
                <c:pt idx="1">
                  <c:v>538230</c:v>
                </c:pt>
                <c:pt idx="2">
                  <c:v>848353</c:v>
                </c:pt>
                <c:pt idx="3">
                  <c:v>1189488.3</c:v>
                </c:pt>
                <c:pt idx="4">
                  <c:v>1564737.1300000001</c:v>
                </c:pt>
                <c:pt idx="5">
                  <c:v>1977510.8430000001</c:v>
                </c:pt>
                <c:pt idx="6">
                  <c:v>2431561.9273000001</c:v>
                </c:pt>
                <c:pt idx="7">
                  <c:v>2931018.1200299999</c:v>
                </c:pt>
                <c:pt idx="8">
                  <c:v>3480419.932033</c:v>
                </c:pt>
                <c:pt idx="9">
                  <c:v>4084761.9252363001</c:v>
                </c:pt>
                <c:pt idx="10">
                  <c:v>4749538.11775993</c:v>
                </c:pt>
                <c:pt idx="11">
                  <c:v>5480791.9295359226</c:v>
                </c:pt>
                <c:pt idx="12">
                  <c:v>6285171.1224895148</c:v>
                </c:pt>
                <c:pt idx="13">
                  <c:v>7169988.2347384663</c:v>
                </c:pt>
                <c:pt idx="14">
                  <c:v>8143287.0582123129</c:v>
                </c:pt>
              </c:numCache>
            </c:numRef>
          </c:val>
          <c:smooth val="0"/>
          <c:extLst>
            <c:ext xmlns:c16="http://schemas.microsoft.com/office/drawing/2014/chart" uri="{C3380CC4-5D6E-409C-BE32-E72D297353CC}">
              <c16:uniqueId val="{00000001-F189-4FAA-90BE-4FAAF752C9A6}"/>
            </c:ext>
          </c:extLst>
        </c:ser>
        <c:dLbls>
          <c:showLegendKey val="0"/>
          <c:showVal val="0"/>
          <c:showCatName val="0"/>
          <c:showSerName val="0"/>
          <c:showPercent val="0"/>
          <c:showBubbleSize val="0"/>
        </c:dLbls>
        <c:hiLowLines>
          <c:spPr>
            <a:ln>
              <a:noFill/>
            </a:ln>
          </c:spPr>
        </c:hiLowLines>
        <c:smooth val="0"/>
        <c:axId val="35994326"/>
        <c:axId val="17081312"/>
      </c:lineChart>
      <c:catAx>
        <c:axId val="3599432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s-CO"/>
          </a:p>
        </c:txPr>
        <c:crossAx val="17081312"/>
        <c:crosses val="autoZero"/>
        <c:auto val="1"/>
        <c:lblAlgn val="ctr"/>
        <c:lblOffset val="100"/>
        <c:noMultiLvlLbl val="1"/>
      </c:catAx>
      <c:valAx>
        <c:axId val="17081312"/>
        <c:scaling>
          <c:orientation val="minMax"/>
        </c:scaling>
        <c:delete val="0"/>
        <c:axPos val="l"/>
        <c:majorGridlines>
          <c:spPr>
            <a:ln w="9360">
              <a:solidFill>
                <a:srgbClr val="D9D9D9"/>
              </a:solidFill>
              <a:round/>
            </a:ln>
          </c:spPr>
        </c:majorGridlines>
        <c:numFmt formatCode="_(\$* #,##0.00_);_(\$* \(#,##0.00\);_(\$* \-??_);_(@_)"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s-CO"/>
          </a:p>
        </c:txPr>
        <c:crossAx val="35994326"/>
        <c:crosses val="autoZero"/>
        <c:crossBetween val="midCat"/>
      </c:valAx>
      <c:spPr>
        <a:noFill/>
        <a:ln>
          <a:noFill/>
        </a:ln>
      </c:spPr>
    </c:plotArea>
    <c:legend>
      <c:legendPos val="b"/>
      <c:layout/>
      <c:overlay val="0"/>
      <c:spPr>
        <a:noFill/>
        <a:ln>
          <a:noFill/>
        </a:ln>
      </c:spPr>
      <c:txPr>
        <a:bodyPr/>
        <a:lstStyle/>
        <a:p>
          <a:pPr>
            <a:defRPr sz="900" b="0" strike="noStrike" spc="-1">
              <a:solidFill>
                <a:srgbClr val="595959"/>
              </a:solidFill>
              <a:latin typeface="Calibri"/>
            </a:defRPr>
          </a:pPr>
          <a:endParaRPr lang="es-CO"/>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'Actividad 3 Unidad 4'!$B$19</c:f>
              <c:strCache>
                <c:ptCount val="1"/>
                <c:pt idx="0">
                  <c:v>Cuota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'Actividad 3 Unidad 4'!$A$20:$A$38</c:f>
              <c:numCache>
                <c:formatCode>0.0%</c:formatCode>
                <c:ptCount val="19"/>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7.0000000000000007E-2</c:v>
                </c:pt>
                <c:pt idx="14">
                  <c:v>0.08</c:v>
                </c:pt>
                <c:pt idx="15">
                  <c:v>0.09</c:v>
                </c:pt>
                <c:pt idx="16">
                  <c:v>0.1</c:v>
                </c:pt>
                <c:pt idx="17">
                  <c:v>0.11</c:v>
                </c:pt>
                <c:pt idx="18">
                  <c:v>0.12</c:v>
                </c:pt>
              </c:numCache>
            </c:numRef>
          </c:cat>
          <c:val>
            <c:numRef>
              <c:f>'Actividad 3 Unidad 4'!$B$20:$B$38</c:f>
              <c:numCache>
                <c:formatCode>_("$"* #,##0.00_);_("$"* \(#,##0.00\);_("$"* "-"??_);_(@_)</c:formatCode>
                <c:ptCount val="19"/>
                <c:pt idx="0">
                  <c:v>156250</c:v>
                </c:pt>
                <c:pt idx="1">
                  <c:v>176137.71785951711</c:v>
                </c:pt>
                <c:pt idx="2">
                  <c:v>197503.76573945823</c:v>
                </c:pt>
                <c:pt idx="3">
                  <c:v>220312.49706121656</c:v>
                </c:pt>
                <c:pt idx="4">
                  <c:v>244513.7666044957</c:v>
                </c:pt>
                <c:pt idx="5">
                  <c:v>270044.95342816348</c:v>
                </c:pt>
                <c:pt idx="6">
                  <c:v>296833.30353788345</c:v>
                </c:pt>
                <c:pt idx="7">
                  <c:v>324798.43518512027</c:v>
                </c:pt>
                <c:pt idx="8">
                  <c:v>353854.85666358977</c:v>
                </c:pt>
                <c:pt idx="9">
                  <c:v>383914.36595372926</c:v>
                </c:pt>
                <c:pt idx="10">
                  <c:v>414888.22936505964</c:v>
                </c:pt>
                <c:pt idx="11">
                  <c:v>446689.06795799983</c:v>
                </c:pt>
                <c:pt idx="12">
                  <c:v>479232.41195681732</c:v>
                </c:pt>
                <c:pt idx="13">
                  <c:v>546230.21492243989</c:v>
                </c:pt>
                <c:pt idx="14">
                  <c:v>615301.9951486513</c:v>
                </c:pt>
                <c:pt idx="15">
                  <c:v>685960.41897242027</c:v>
                </c:pt>
                <c:pt idx="16">
                  <c:v>757811.09776272438</c:v>
                </c:pt>
                <c:pt idx="17">
                  <c:v>830544.46834492555</c:v>
                </c:pt>
                <c:pt idx="18">
                  <c:v>903923.43586954032</c:v>
                </c:pt>
              </c:numCache>
            </c:numRef>
          </c:val>
          <c:extLst>
            <c:ext xmlns:c16="http://schemas.microsoft.com/office/drawing/2014/chart" uri="{C3380CC4-5D6E-409C-BE32-E72D297353CC}">
              <c16:uniqueId val="{00000000-7807-4498-89F9-5D418A56D069}"/>
            </c:ext>
          </c:extLst>
        </c:ser>
        <c:dLbls>
          <c:dLblPos val="outEnd"/>
          <c:showLegendKey val="0"/>
          <c:showVal val="1"/>
          <c:showCatName val="0"/>
          <c:showSerName val="0"/>
          <c:showPercent val="0"/>
          <c:showBubbleSize val="0"/>
        </c:dLbls>
        <c:gapWidth val="219"/>
        <c:overlap val="-27"/>
        <c:axId val="327935624"/>
        <c:axId val="327938248"/>
      </c:barChart>
      <c:catAx>
        <c:axId val="327935624"/>
        <c:scaling>
          <c:orientation val="minMax"/>
        </c:scaling>
        <c:delete val="0"/>
        <c:axPos val="b"/>
        <c:numFmt formatCod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27938248"/>
        <c:crosses val="autoZero"/>
        <c:auto val="1"/>
        <c:lblAlgn val="ctr"/>
        <c:lblOffset val="100"/>
        <c:noMultiLvlLbl val="0"/>
      </c:catAx>
      <c:valAx>
        <c:axId val="3279382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27935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emf"/></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chart" Target="../charts/chart4.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49</xdr:row>
      <xdr:rowOff>185737</xdr:rowOff>
    </xdr:from>
    <xdr:to>
      <xdr:col>3</xdr:col>
      <xdr:colOff>180975</xdr:colOff>
      <xdr:row>64</xdr:row>
      <xdr:rowOff>71437</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49</xdr:row>
      <xdr:rowOff>185737</xdr:rowOff>
    </xdr:from>
    <xdr:to>
      <xdr:col>4</xdr:col>
      <xdr:colOff>4572000</xdr:colOff>
      <xdr:row>64</xdr:row>
      <xdr:rowOff>71437</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4781549</xdr:colOff>
      <xdr:row>50</xdr:row>
      <xdr:rowOff>42861</xdr:rowOff>
    </xdr:from>
    <xdr:to>
      <xdr:col>11</xdr:col>
      <xdr:colOff>0</xdr:colOff>
      <xdr:row>72</xdr:row>
      <xdr:rowOff>28575</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130</xdr:row>
      <xdr:rowOff>0</xdr:rowOff>
    </xdr:from>
    <xdr:to>
      <xdr:col>2</xdr:col>
      <xdr:colOff>57150</xdr:colOff>
      <xdr:row>131</xdr:row>
      <xdr:rowOff>76200</xdr:rowOff>
    </xdr:to>
    <xdr:pic>
      <xdr:nvPicPr>
        <xdr:cNvPr id="2" name="Imagen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31756350"/>
          <a:ext cx="173355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138</xdr:row>
      <xdr:rowOff>0</xdr:rowOff>
    </xdr:from>
    <xdr:to>
      <xdr:col>6</xdr:col>
      <xdr:colOff>314325</xdr:colOff>
      <xdr:row>140</xdr:row>
      <xdr:rowOff>85725</xdr:rowOff>
    </xdr:to>
    <xdr:pic>
      <xdr:nvPicPr>
        <xdr:cNvPr id="3" name="Imagen 2"/>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34118550"/>
          <a:ext cx="57435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xdr:row>
      <xdr:rowOff>1</xdr:rowOff>
    </xdr:from>
    <xdr:to>
      <xdr:col>4</xdr:col>
      <xdr:colOff>104775</xdr:colOff>
      <xdr:row>2</xdr:row>
      <xdr:rowOff>2578916</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35138" t="27048" r="24481" b="28178"/>
        <a:stretch>
          <a:fillRect/>
        </a:stretch>
      </xdr:blipFill>
      <xdr:spPr bwMode="auto">
        <a:xfrm>
          <a:off x="0" y="381001"/>
          <a:ext cx="3305175" cy="25789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xdr:colOff>
      <xdr:row>63</xdr:row>
      <xdr:rowOff>152399</xdr:rowOff>
    </xdr:from>
    <xdr:to>
      <xdr:col>4</xdr:col>
      <xdr:colOff>38100</xdr:colOff>
      <xdr:row>63</xdr:row>
      <xdr:rowOff>2419350</xdr:rowOff>
    </xdr:to>
    <xdr:pic>
      <xdr:nvPicPr>
        <xdr:cNvPr id="5" name="Imagen 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15954374"/>
          <a:ext cx="3228975" cy="22669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28575</xdr:colOff>
      <xdr:row>134</xdr:row>
      <xdr:rowOff>257175</xdr:rowOff>
    </xdr:from>
    <xdr:to>
      <xdr:col>2</xdr:col>
      <xdr:colOff>342900</xdr:colOff>
      <xdr:row>134</xdr:row>
      <xdr:rowOff>895350</xdr:rowOff>
    </xdr:to>
    <xdr:pic>
      <xdr:nvPicPr>
        <xdr:cNvPr id="6" name="Imagen 5"/>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575" y="32775525"/>
          <a:ext cx="1990725" cy="638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106</xdr:row>
      <xdr:rowOff>0</xdr:rowOff>
    </xdr:from>
    <xdr:to>
      <xdr:col>0</xdr:col>
      <xdr:colOff>3810001</xdr:colOff>
      <xdr:row>106</xdr:row>
      <xdr:rowOff>523875</xdr:rowOff>
    </xdr:to>
    <xdr:pic>
      <xdr:nvPicPr>
        <xdr:cNvPr id="2" name="Imagen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 y="23841075"/>
          <a:ext cx="38100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xdr:row>
      <xdr:rowOff>257176</xdr:rowOff>
    </xdr:from>
    <xdr:to>
      <xdr:col>0</xdr:col>
      <xdr:colOff>5150502</xdr:colOff>
      <xdr:row>3</xdr:row>
      <xdr:rowOff>44821</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38176"/>
          <a:ext cx="4683777" cy="27975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0</xdr:colOff>
      <xdr:row>72</xdr:row>
      <xdr:rowOff>14400</xdr:rowOff>
    </xdr:from>
    <xdr:ext cx="4571595" cy="2742960"/>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twoCellAnchor>
    <xdr:from>
      <xdr:col>0</xdr:col>
      <xdr:colOff>209550</xdr:colOff>
      <xdr:row>1</xdr:row>
      <xdr:rowOff>152400</xdr:rowOff>
    </xdr:from>
    <xdr:to>
      <xdr:col>2</xdr:col>
      <xdr:colOff>723900</xdr:colOff>
      <xdr:row>10</xdr:row>
      <xdr:rowOff>9525</xdr:rowOff>
    </xdr:to>
    <xdr:pic>
      <xdr:nvPicPr>
        <xdr:cNvPr id="3" name="Imagen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24950" t="28853" r="28377" b="21564"/>
        <a:stretch>
          <a:fillRect/>
        </a:stretch>
      </xdr:blipFill>
      <xdr:spPr bwMode="auto">
        <a:xfrm>
          <a:off x="209550" y="342900"/>
          <a:ext cx="1619250" cy="157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0</xdr:colOff>
      <xdr:row>16</xdr:row>
      <xdr:rowOff>47625</xdr:rowOff>
    </xdr:from>
    <xdr:ext cx="7353300" cy="2667000"/>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095625"/>
          <a:ext cx="7353300" cy="2667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9360</xdr:colOff>
      <xdr:row>143</xdr:row>
      <xdr:rowOff>4680</xdr:rowOff>
    </xdr:from>
    <xdr:ext cx="6667215" cy="2742960"/>
    <xdr:graphicFrame macro="">
      <xdr:nvGraphicFramePr>
        <xdr:cNvPr id="5"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3</xdr:col>
      <xdr:colOff>509745</xdr:colOff>
      <xdr:row>127</xdr:row>
      <xdr:rowOff>185655</xdr:rowOff>
    </xdr:from>
    <xdr:ext cx="4571505" cy="2742960"/>
    <xdr:graphicFrame macro="">
      <xdr:nvGraphicFramePr>
        <xdr:cNvPr id="6"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wsDr>
</file>

<file path=xl/drawings/drawing5.xml><?xml version="1.0" encoding="utf-8"?>
<xdr:wsDr xmlns:xdr="http://schemas.openxmlformats.org/drawingml/2006/spreadsheetDrawing" xmlns:a="http://schemas.openxmlformats.org/drawingml/2006/main">
  <xdr:twoCellAnchor>
    <xdr:from>
      <xdr:col>2</xdr:col>
      <xdr:colOff>342900</xdr:colOff>
      <xdr:row>25</xdr:row>
      <xdr:rowOff>133350</xdr:rowOff>
    </xdr:from>
    <xdr:to>
      <xdr:col>6</xdr:col>
      <xdr:colOff>409575</xdr:colOff>
      <xdr:row>27</xdr:row>
      <xdr:rowOff>9525</xdr:rowOff>
    </xdr:to>
    <xdr:pic>
      <xdr:nvPicPr>
        <xdr:cNvPr id="2" name="Imagen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533775" y="4895850"/>
          <a:ext cx="41529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39</xdr:row>
      <xdr:rowOff>185736</xdr:rowOff>
    </xdr:from>
    <xdr:to>
      <xdr:col>7</xdr:col>
      <xdr:colOff>9524</xdr:colOff>
      <xdr:row>61</xdr:row>
      <xdr:rowOff>9525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Hoja%20de%20c&#225;lculo%20en%20C%20%20Users%20GUILLERMO%20ABONDANO%20Downloads%20Recurso%20(7).doc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3"/>
      <sheetName val="Hoja4"/>
      <sheetName val="Hoja8"/>
    </sheetNames>
    <sheetDataSet>
      <sheetData sheetId="0" refreshError="1"/>
      <sheetData sheetId="1" refreshError="1"/>
      <sheetData sheetId="2" refreshError="1"/>
      <sheetData sheetId="3">
        <row r="7">
          <cell r="E7" t="str">
            <v>Total Interes simple</v>
          </cell>
          <cell r="K7" t="str">
            <v>Total interes compuesto</v>
          </cell>
        </row>
        <row r="8">
          <cell r="A8">
            <v>1</v>
          </cell>
          <cell r="E8">
            <v>233000</v>
          </cell>
          <cell r="K8">
            <v>256300</v>
          </cell>
        </row>
        <row r="9">
          <cell r="A9">
            <v>2</v>
          </cell>
          <cell r="E9">
            <v>489300</v>
          </cell>
          <cell r="K9">
            <v>538230</v>
          </cell>
        </row>
        <row r="10">
          <cell r="A10">
            <v>3</v>
          </cell>
          <cell r="E10">
            <v>745600</v>
          </cell>
          <cell r="K10">
            <v>848353</v>
          </cell>
        </row>
        <row r="11">
          <cell r="A11">
            <v>4</v>
          </cell>
          <cell r="E11">
            <v>1001900</v>
          </cell>
          <cell r="K11">
            <v>1189488.3</v>
          </cell>
        </row>
        <row r="12">
          <cell r="A12">
            <v>5</v>
          </cell>
          <cell r="E12">
            <v>1258200</v>
          </cell>
          <cell r="K12">
            <v>1564737.1300000001</v>
          </cell>
        </row>
        <row r="13">
          <cell r="A13">
            <v>6</v>
          </cell>
          <cell r="E13">
            <v>1514500</v>
          </cell>
          <cell r="K13">
            <v>1977510.8430000001</v>
          </cell>
        </row>
        <row r="14">
          <cell r="A14">
            <v>7</v>
          </cell>
          <cell r="E14">
            <v>1770800</v>
          </cell>
          <cell r="K14">
            <v>2431561.9273000001</v>
          </cell>
        </row>
        <row r="15">
          <cell r="A15">
            <v>8</v>
          </cell>
          <cell r="E15">
            <v>2027100</v>
          </cell>
          <cell r="K15">
            <v>2931018.1200299999</v>
          </cell>
        </row>
        <row r="16">
          <cell r="A16">
            <v>9</v>
          </cell>
          <cell r="E16">
            <v>2283400</v>
          </cell>
          <cell r="K16">
            <v>3480419.932033</v>
          </cell>
        </row>
        <row r="17">
          <cell r="A17">
            <v>10</v>
          </cell>
          <cell r="E17">
            <v>2539700</v>
          </cell>
          <cell r="K17">
            <v>4084761.9252363001</v>
          </cell>
        </row>
        <row r="18">
          <cell r="A18">
            <v>11</v>
          </cell>
          <cell r="E18">
            <v>2796000</v>
          </cell>
          <cell r="K18">
            <v>4749538.11775993</v>
          </cell>
        </row>
        <row r="19">
          <cell r="A19">
            <v>12</v>
          </cell>
          <cell r="E19">
            <v>3052300</v>
          </cell>
          <cell r="K19">
            <v>5480791.9295359226</v>
          </cell>
        </row>
        <row r="20">
          <cell r="A20">
            <v>13</v>
          </cell>
          <cell r="E20">
            <v>3308600</v>
          </cell>
          <cell r="K20">
            <v>6285171.1224895148</v>
          </cell>
        </row>
        <row r="21">
          <cell r="A21">
            <v>14</v>
          </cell>
          <cell r="E21">
            <v>3564900</v>
          </cell>
          <cell r="K21">
            <v>7169988.2347384663</v>
          </cell>
        </row>
        <row r="22">
          <cell r="A22">
            <v>15</v>
          </cell>
          <cell r="E22">
            <v>3821200</v>
          </cell>
          <cell r="K22">
            <v>8143287.0582123129</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9"/>
  <sheetViews>
    <sheetView topLeftCell="A49" workbookViewId="0">
      <selection activeCell="H76" sqref="H76"/>
    </sheetView>
  </sheetViews>
  <sheetFormatPr baseColWidth="10" defaultRowHeight="15" x14ac:dyDescent="0.25"/>
  <cols>
    <col min="1" max="1" width="34.7109375" bestFit="1" customWidth="1"/>
    <col min="2" max="2" width="13" bestFit="1" customWidth="1"/>
    <col min="3" max="3" width="18.140625" bestFit="1" customWidth="1"/>
    <col min="4" max="4" width="11.85546875" bestFit="1" customWidth="1"/>
    <col min="5" max="5" width="71.7109375" bestFit="1" customWidth="1"/>
    <col min="7" max="7" width="18.28515625" bestFit="1" customWidth="1"/>
    <col min="8" max="8" width="21" bestFit="1" customWidth="1"/>
    <col min="9" max="9" width="18.140625" bestFit="1" customWidth="1"/>
    <col min="10" max="10" width="25.42578125" bestFit="1" customWidth="1"/>
  </cols>
  <sheetData>
    <row r="2" spans="1:9" x14ac:dyDescent="0.25">
      <c r="A2" t="s">
        <v>42</v>
      </c>
    </row>
    <row r="3" spans="1:9" x14ac:dyDescent="0.25">
      <c r="A3" t="s">
        <v>59</v>
      </c>
      <c r="B3" t="s">
        <v>60</v>
      </c>
      <c r="C3" t="s">
        <v>58</v>
      </c>
      <c r="G3" t="s">
        <v>59</v>
      </c>
      <c r="H3" t="s">
        <v>60</v>
      </c>
      <c r="I3" t="s">
        <v>58</v>
      </c>
    </row>
    <row r="4" spans="1:9" x14ac:dyDescent="0.25">
      <c r="A4" t="s">
        <v>44</v>
      </c>
      <c r="B4">
        <v>1950</v>
      </c>
      <c r="C4" s="1">
        <v>4</v>
      </c>
      <c r="G4" t="s">
        <v>52</v>
      </c>
      <c r="H4">
        <v>1990</v>
      </c>
      <c r="I4" s="1">
        <v>2.21</v>
      </c>
    </row>
    <row r="5" spans="1:9" x14ac:dyDescent="0.25">
      <c r="A5" t="s">
        <v>43</v>
      </c>
      <c r="B5">
        <v>1954</v>
      </c>
      <c r="C5" s="1">
        <v>5.36</v>
      </c>
      <c r="G5" t="s">
        <v>56</v>
      </c>
      <c r="H5">
        <v>2010</v>
      </c>
      <c r="I5" s="1">
        <v>2.27</v>
      </c>
    </row>
    <row r="6" spans="1:9" x14ac:dyDescent="0.25">
      <c r="A6" t="s">
        <v>45</v>
      </c>
      <c r="B6">
        <v>1958</v>
      </c>
      <c r="C6" s="1">
        <v>3.6</v>
      </c>
      <c r="G6" t="s">
        <v>49</v>
      </c>
      <c r="H6">
        <v>2006</v>
      </c>
      <c r="I6" s="1">
        <v>2.2999999999999998</v>
      </c>
    </row>
    <row r="7" spans="1:9" x14ac:dyDescent="0.25">
      <c r="A7" t="s">
        <v>46</v>
      </c>
      <c r="B7">
        <v>1962</v>
      </c>
      <c r="C7" s="1">
        <v>2.78</v>
      </c>
      <c r="G7" t="s">
        <v>55</v>
      </c>
      <c r="H7">
        <v>2002</v>
      </c>
      <c r="I7" s="1">
        <v>2.52</v>
      </c>
    </row>
    <row r="8" spans="1:9" x14ac:dyDescent="0.25">
      <c r="A8" t="s">
        <v>47</v>
      </c>
      <c r="B8">
        <v>1966</v>
      </c>
      <c r="C8" s="1">
        <v>2.78</v>
      </c>
      <c r="G8" t="s">
        <v>48</v>
      </c>
      <c r="H8">
        <v>1986</v>
      </c>
      <c r="I8" s="1">
        <v>2.54</v>
      </c>
    </row>
    <row r="9" spans="1:9" x14ac:dyDescent="0.25">
      <c r="A9" t="s">
        <v>48</v>
      </c>
      <c r="B9">
        <v>1970</v>
      </c>
      <c r="C9" s="1">
        <v>2.97</v>
      </c>
      <c r="G9" t="s">
        <v>49</v>
      </c>
      <c r="H9">
        <v>1974</v>
      </c>
      <c r="I9" s="1">
        <v>2.5499999999999998</v>
      </c>
    </row>
    <row r="10" spans="1:9" x14ac:dyDescent="0.25">
      <c r="A10" t="s">
        <v>49</v>
      </c>
      <c r="B10">
        <v>1974</v>
      </c>
      <c r="C10" s="1">
        <v>2.5499999999999998</v>
      </c>
      <c r="G10" t="s">
        <v>57</v>
      </c>
      <c r="H10">
        <v>2018</v>
      </c>
      <c r="I10" s="1">
        <v>2.64</v>
      </c>
    </row>
    <row r="11" spans="1:9" x14ac:dyDescent="0.25">
      <c r="A11" t="s">
        <v>50</v>
      </c>
      <c r="B11">
        <v>1978</v>
      </c>
      <c r="C11" s="1">
        <v>2.68</v>
      </c>
      <c r="G11" t="s">
        <v>54</v>
      </c>
      <c r="H11">
        <v>1998</v>
      </c>
      <c r="I11" s="1">
        <v>2.67</v>
      </c>
    </row>
    <row r="12" spans="1:9" x14ac:dyDescent="0.25">
      <c r="A12" t="s">
        <v>51</v>
      </c>
      <c r="B12">
        <v>1982</v>
      </c>
      <c r="C12" s="1">
        <v>2.81</v>
      </c>
      <c r="G12" t="s">
        <v>50</v>
      </c>
      <c r="H12">
        <v>1978</v>
      </c>
      <c r="I12" s="1">
        <v>2.68</v>
      </c>
    </row>
    <row r="13" spans="1:9" x14ac:dyDescent="0.25">
      <c r="A13" t="s">
        <v>48</v>
      </c>
      <c r="B13">
        <v>1986</v>
      </c>
      <c r="C13" s="1">
        <v>2.54</v>
      </c>
      <c r="G13" t="s">
        <v>44</v>
      </c>
      <c r="H13">
        <v>2014</v>
      </c>
      <c r="I13" s="1">
        <v>2.7</v>
      </c>
    </row>
    <row r="14" spans="1:9" x14ac:dyDescent="0.25">
      <c r="A14" t="s">
        <v>52</v>
      </c>
      <c r="B14">
        <v>1990</v>
      </c>
      <c r="C14" s="1">
        <v>2.21</v>
      </c>
      <c r="G14" t="s">
        <v>53</v>
      </c>
      <c r="H14">
        <v>1994</v>
      </c>
      <c r="I14" s="1">
        <v>2.71</v>
      </c>
    </row>
    <row r="15" spans="1:9" x14ac:dyDescent="0.25">
      <c r="A15" t="s">
        <v>53</v>
      </c>
      <c r="B15">
        <v>1994</v>
      </c>
      <c r="C15" s="1">
        <v>2.71</v>
      </c>
      <c r="G15" t="s">
        <v>46</v>
      </c>
      <c r="H15">
        <v>1962</v>
      </c>
      <c r="I15" s="1">
        <v>2.78</v>
      </c>
    </row>
    <row r="16" spans="1:9" x14ac:dyDescent="0.25">
      <c r="A16" t="s">
        <v>54</v>
      </c>
      <c r="B16">
        <v>1998</v>
      </c>
      <c r="C16" s="1">
        <v>2.67</v>
      </c>
      <c r="G16" t="s">
        <v>47</v>
      </c>
      <c r="H16">
        <v>1966</v>
      </c>
      <c r="I16" s="1">
        <v>2.78</v>
      </c>
    </row>
    <row r="17" spans="1:9" x14ac:dyDescent="0.25">
      <c r="A17" t="s">
        <v>55</v>
      </c>
      <c r="B17">
        <v>2002</v>
      </c>
      <c r="C17" s="1">
        <v>2.52</v>
      </c>
      <c r="G17" t="s">
        <v>51</v>
      </c>
      <c r="H17">
        <v>1982</v>
      </c>
      <c r="I17" s="1">
        <v>2.81</v>
      </c>
    </row>
    <row r="18" spans="1:9" x14ac:dyDescent="0.25">
      <c r="A18" t="s">
        <v>49</v>
      </c>
      <c r="B18">
        <v>2006</v>
      </c>
      <c r="C18" s="1">
        <v>2.2999999999999998</v>
      </c>
      <c r="G18" t="s">
        <v>48</v>
      </c>
      <c r="H18">
        <v>1970</v>
      </c>
      <c r="I18" s="1">
        <v>2.97</v>
      </c>
    </row>
    <row r="19" spans="1:9" x14ac:dyDescent="0.25">
      <c r="A19" t="s">
        <v>56</v>
      </c>
      <c r="B19">
        <v>2010</v>
      </c>
      <c r="C19" s="1">
        <v>2.27</v>
      </c>
      <c r="G19" t="s">
        <v>45</v>
      </c>
      <c r="H19">
        <v>1958</v>
      </c>
      <c r="I19" s="1">
        <v>3.6</v>
      </c>
    </row>
    <row r="20" spans="1:9" x14ac:dyDescent="0.25">
      <c r="A20" t="s">
        <v>44</v>
      </c>
      <c r="B20">
        <v>2014</v>
      </c>
      <c r="C20" s="1">
        <v>2.7</v>
      </c>
      <c r="G20" t="s">
        <v>44</v>
      </c>
      <c r="H20">
        <v>1950</v>
      </c>
      <c r="I20" s="1">
        <v>4</v>
      </c>
    </row>
    <row r="21" spans="1:9" x14ac:dyDescent="0.25">
      <c r="A21" t="s">
        <v>57</v>
      </c>
      <c r="B21">
        <v>2018</v>
      </c>
      <c r="C21" s="1">
        <v>2.64</v>
      </c>
      <c r="G21" t="s">
        <v>43</v>
      </c>
      <c r="H21">
        <v>1954</v>
      </c>
      <c r="I21" s="1">
        <v>5.36</v>
      </c>
    </row>
    <row r="23" spans="1:9" x14ac:dyDescent="0.25">
      <c r="A23" t="s">
        <v>61</v>
      </c>
    </row>
    <row r="25" spans="1:9" x14ac:dyDescent="0.25">
      <c r="A25" t="s">
        <v>62</v>
      </c>
      <c r="B25">
        <f>MAX(C4:C21)</f>
        <v>5.36</v>
      </c>
    </row>
    <row r="26" spans="1:9" x14ac:dyDescent="0.25">
      <c r="A26" t="s">
        <v>63</v>
      </c>
      <c r="B26">
        <f>MIN(C4:C21)</f>
        <v>2.21</v>
      </c>
    </row>
    <row r="27" spans="1:9" x14ac:dyDescent="0.25">
      <c r="A27" t="s">
        <v>9</v>
      </c>
      <c r="B27">
        <f>B25-B26</f>
        <v>3.1500000000000004</v>
      </c>
    </row>
    <row r="28" spans="1:9" x14ac:dyDescent="0.25">
      <c r="A28" t="s">
        <v>2</v>
      </c>
      <c r="B28">
        <v>18</v>
      </c>
    </row>
    <row r="29" spans="1:9" x14ac:dyDescent="0.25">
      <c r="A29" t="s">
        <v>64</v>
      </c>
      <c r="B29">
        <f>1+3.32*LOG10(B28)</f>
        <v>5.1675047169429762</v>
      </c>
    </row>
    <row r="30" spans="1:9" x14ac:dyDescent="0.25">
      <c r="A30" t="s">
        <v>65</v>
      </c>
      <c r="B30">
        <v>5</v>
      </c>
    </row>
    <row r="31" spans="1:9" x14ac:dyDescent="0.25">
      <c r="A31" t="s">
        <v>3</v>
      </c>
      <c r="B31">
        <f>B27/B30</f>
        <v>0.63000000000000012</v>
      </c>
    </row>
    <row r="32" spans="1:9" x14ac:dyDescent="0.25">
      <c r="A32" t="s">
        <v>4</v>
      </c>
      <c r="B32">
        <f>B30*B31-B27</f>
        <v>0</v>
      </c>
      <c r="C32" t="s">
        <v>11</v>
      </c>
    </row>
    <row r="34" spans="1:11" x14ac:dyDescent="0.25">
      <c r="A34" t="s">
        <v>5</v>
      </c>
      <c r="B34" t="s">
        <v>1</v>
      </c>
      <c r="C34" t="s">
        <v>0</v>
      </c>
      <c r="D34" t="s">
        <v>16</v>
      </c>
      <c r="E34" t="s">
        <v>71</v>
      </c>
      <c r="F34" t="s">
        <v>66</v>
      </c>
      <c r="G34" t="s">
        <v>14</v>
      </c>
      <c r="H34" t="s">
        <v>15</v>
      </c>
      <c r="I34" t="s">
        <v>17</v>
      </c>
      <c r="J34" t="s">
        <v>68</v>
      </c>
      <c r="K34" t="s">
        <v>69</v>
      </c>
    </row>
    <row r="35" spans="1:11" x14ac:dyDescent="0.25">
      <c r="A35">
        <v>1</v>
      </c>
      <c r="B35">
        <f>B26</f>
        <v>2.21</v>
      </c>
      <c r="C35">
        <f>B35+B31</f>
        <v>2.84</v>
      </c>
      <c r="D35">
        <f>(B35)+$B$31/2</f>
        <v>2.5249999999999999</v>
      </c>
      <c r="E35" t="s">
        <v>72</v>
      </c>
      <c r="F35">
        <v>14</v>
      </c>
      <c r="G35" s="3">
        <f>F35/18</f>
        <v>0.77777777777777779</v>
      </c>
      <c r="H35">
        <f>F35</f>
        <v>14</v>
      </c>
      <c r="I35">
        <f>D35*F35</f>
        <v>35.35</v>
      </c>
      <c r="J35">
        <f>(D35-$B$45)^2</f>
        <v>0</v>
      </c>
      <c r="K35">
        <f>J35*F35</f>
        <v>0</v>
      </c>
    </row>
    <row r="36" spans="1:11" x14ac:dyDescent="0.25">
      <c r="A36">
        <v>2</v>
      </c>
      <c r="B36">
        <f>C35</f>
        <v>2.84</v>
      </c>
      <c r="C36">
        <f>B36+B31</f>
        <v>3.4699999999999998</v>
      </c>
      <c r="D36">
        <f t="shared" ref="D36:D39" si="0">(B36)+$B$31/2</f>
        <v>3.1549999999999998</v>
      </c>
      <c r="E36" t="s">
        <v>73</v>
      </c>
      <c r="F36">
        <v>1</v>
      </c>
      <c r="G36" s="3">
        <f t="shared" ref="G36:G39" si="1">F36/18</f>
        <v>5.5555555555555552E-2</v>
      </c>
      <c r="H36">
        <f>H35+F36</f>
        <v>15</v>
      </c>
      <c r="I36">
        <f t="shared" ref="I36:I39" si="2">D36*F36</f>
        <v>3.1549999999999998</v>
      </c>
      <c r="J36">
        <f t="shared" ref="J36:J39" si="3">(D36-$B$45)^2</f>
        <v>0.39689999999999986</v>
      </c>
      <c r="K36">
        <f t="shared" ref="K36:K39" si="4">J36*F36</f>
        <v>0.39689999999999986</v>
      </c>
    </row>
    <row r="37" spans="1:11" x14ac:dyDescent="0.25">
      <c r="A37">
        <v>3</v>
      </c>
      <c r="B37">
        <f t="shared" ref="B37:B39" si="5">C36</f>
        <v>3.4699999999999998</v>
      </c>
      <c r="C37">
        <f>B37+B31</f>
        <v>4.0999999999999996</v>
      </c>
      <c r="D37">
        <f t="shared" si="0"/>
        <v>3.7849999999999997</v>
      </c>
      <c r="E37" t="s">
        <v>74</v>
      </c>
      <c r="F37">
        <v>2</v>
      </c>
      <c r="G37" s="3">
        <f t="shared" si="1"/>
        <v>0.1111111111111111</v>
      </c>
      <c r="H37">
        <f t="shared" ref="H37:H39" si="6">H36+F37</f>
        <v>17</v>
      </c>
      <c r="I37">
        <f t="shared" si="2"/>
        <v>7.5699999999999994</v>
      </c>
      <c r="J37">
        <f t="shared" si="3"/>
        <v>1.5875999999999995</v>
      </c>
      <c r="K37">
        <f t="shared" si="4"/>
        <v>3.1751999999999989</v>
      </c>
    </row>
    <row r="38" spans="1:11" x14ac:dyDescent="0.25">
      <c r="A38">
        <v>4</v>
      </c>
      <c r="B38">
        <f t="shared" si="5"/>
        <v>4.0999999999999996</v>
      </c>
      <c r="C38">
        <f>B38+B31</f>
        <v>4.7299999999999995</v>
      </c>
      <c r="D38">
        <f t="shared" si="0"/>
        <v>4.415</v>
      </c>
      <c r="E38" t="s">
        <v>75</v>
      </c>
      <c r="F38">
        <v>0</v>
      </c>
      <c r="G38" s="3">
        <f t="shared" si="1"/>
        <v>0</v>
      </c>
      <c r="H38">
        <f t="shared" si="6"/>
        <v>17</v>
      </c>
      <c r="I38">
        <f t="shared" si="2"/>
        <v>0</v>
      </c>
      <c r="J38">
        <f t="shared" si="3"/>
        <v>3.5721000000000003</v>
      </c>
      <c r="K38">
        <f t="shared" si="4"/>
        <v>0</v>
      </c>
    </row>
    <row r="39" spans="1:11" x14ac:dyDescent="0.25">
      <c r="A39">
        <v>5</v>
      </c>
      <c r="B39">
        <f t="shared" si="5"/>
        <v>4.7299999999999995</v>
      </c>
      <c r="C39">
        <f>B39+B31</f>
        <v>5.3599999999999994</v>
      </c>
      <c r="D39">
        <f t="shared" si="0"/>
        <v>5.0449999999999999</v>
      </c>
      <c r="E39" t="s">
        <v>76</v>
      </c>
      <c r="F39">
        <v>1</v>
      </c>
      <c r="G39" s="3">
        <f t="shared" si="1"/>
        <v>5.5555555555555552E-2</v>
      </c>
      <c r="H39">
        <f t="shared" si="6"/>
        <v>18</v>
      </c>
      <c r="I39">
        <f t="shared" si="2"/>
        <v>5.0449999999999999</v>
      </c>
      <c r="J39">
        <f t="shared" si="3"/>
        <v>6.3504000000000005</v>
      </c>
      <c r="K39">
        <f t="shared" si="4"/>
        <v>6.3504000000000005</v>
      </c>
    </row>
    <row r="41" spans="1:11" x14ac:dyDescent="0.25">
      <c r="A41" t="s">
        <v>67</v>
      </c>
    </row>
    <row r="43" spans="1:11" x14ac:dyDescent="0.25">
      <c r="A43" t="s">
        <v>18</v>
      </c>
      <c r="B43">
        <f>SUM(I35:I39)/18</f>
        <v>2.8400000000000003</v>
      </c>
    </row>
    <row r="44" spans="1:11" x14ac:dyDescent="0.25">
      <c r="A44" t="s">
        <v>19</v>
      </c>
      <c r="B44">
        <f>MODE(C4:C21)</f>
        <v>2.78</v>
      </c>
    </row>
    <row r="45" spans="1:11" x14ac:dyDescent="0.25">
      <c r="A45" t="s">
        <v>21</v>
      </c>
      <c r="B45">
        <f>B35+(((F35/2)-0)/F35)*B31</f>
        <v>2.5249999999999999</v>
      </c>
    </row>
    <row r="46" spans="1:11" x14ac:dyDescent="0.25">
      <c r="A46" t="s">
        <v>22</v>
      </c>
      <c r="B46">
        <f>(18+1)/2</f>
        <v>9.5</v>
      </c>
    </row>
    <row r="47" spans="1:11" x14ac:dyDescent="0.25">
      <c r="A47" t="s">
        <v>32</v>
      </c>
      <c r="B47">
        <f>(SUM(K35:K39)/18)</f>
        <v>0.55125000000000002</v>
      </c>
    </row>
    <row r="49" spans="1:1" x14ac:dyDescent="0.25">
      <c r="A49" t="s">
        <v>70</v>
      </c>
    </row>
  </sheetData>
  <sortState ref="G4:I21">
    <sortCondition ref="I4:I2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7"/>
  <sheetViews>
    <sheetView topLeftCell="A48" workbookViewId="0">
      <selection activeCell="H162" sqref="H162"/>
    </sheetView>
  </sheetViews>
  <sheetFormatPr baseColWidth="10" defaultRowHeight="15" x14ac:dyDescent="0.25"/>
  <cols>
    <col min="1" max="1" width="11.42578125" style="5"/>
    <col min="2" max="2" width="13.7109375" style="5" bestFit="1" customWidth="1"/>
    <col min="3" max="5" width="11.42578125" style="5"/>
    <col min="6" max="6" width="22" style="5" bestFit="1" customWidth="1"/>
    <col min="7" max="16384" width="11.42578125" style="5"/>
  </cols>
  <sheetData>
    <row r="1" spans="1:6" x14ac:dyDescent="0.25">
      <c r="A1" s="4" t="s">
        <v>77</v>
      </c>
    </row>
    <row r="2" spans="1:6" x14ac:dyDescent="0.25">
      <c r="A2" s="6" t="s">
        <v>78</v>
      </c>
    </row>
    <row r="3" spans="1:6" ht="218.25" customHeight="1" x14ac:dyDescent="0.25"/>
    <row r="4" spans="1:6" ht="15.75" thickBot="1" x14ac:dyDescent="0.3">
      <c r="A4" s="6" t="s">
        <v>79</v>
      </c>
    </row>
    <row r="5" spans="1:6" ht="15.75" thickBot="1" x14ac:dyDescent="0.3">
      <c r="A5" s="7" t="s">
        <v>9</v>
      </c>
      <c r="B5" s="8">
        <v>0.81</v>
      </c>
    </row>
    <row r="6" spans="1:6" ht="45.75" thickBot="1" x14ac:dyDescent="0.3">
      <c r="A6" s="9" t="s">
        <v>80</v>
      </c>
      <c r="B6" s="10">
        <v>7631445068</v>
      </c>
    </row>
    <row r="7" spans="1:6" ht="45.75" thickBot="1" x14ac:dyDescent="0.3">
      <c r="A7" s="9" t="s">
        <v>81</v>
      </c>
      <c r="B7" s="11">
        <v>8</v>
      </c>
    </row>
    <row r="8" spans="1:6" ht="15.75" thickBot="1" x14ac:dyDescent="0.3">
      <c r="A8" s="9" t="s">
        <v>3</v>
      </c>
      <c r="B8" s="12">
        <v>0.106</v>
      </c>
    </row>
    <row r="9" spans="1:6" x14ac:dyDescent="0.25">
      <c r="A9" s="6"/>
    </row>
    <row r="10" spans="1:6" ht="15.75" thickBot="1" x14ac:dyDescent="0.3">
      <c r="A10" s="6" t="s">
        <v>82</v>
      </c>
    </row>
    <row r="11" spans="1:6" ht="15.75" thickBot="1" x14ac:dyDescent="0.3">
      <c r="A11" s="13" t="s">
        <v>5</v>
      </c>
      <c r="B11" s="14" t="s">
        <v>83</v>
      </c>
      <c r="C11" s="14" t="s">
        <v>84</v>
      </c>
      <c r="D11" s="14" t="s">
        <v>16</v>
      </c>
      <c r="E11" s="14" t="s">
        <v>66</v>
      </c>
      <c r="F11" s="15" t="s">
        <v>15</v>
      </c>
    </row>
    <row r="12" spans="1:6" ht="15.75" thickBot="1" x14ac:dyDescent="0.3">
      <c r="A12" s="16">
        <v>1</v>
      </c>
      <c r="B12" s="17">
        <v>1.99</v>
      </c>
      <c r="C12" s="17">
        <v>2.1</v>
      </c>
      <c r="D12" s="17">
        <v>2.04</v>
      </c>
      <c r="E12" s="17">
        <v>1</v>
      </c>
      <c r="F12" s="17">
        <v>1</v>
      </c>
    </row>
    <row r="13" spans="1:6" ht="15.75" thickBot="1" x14ac:dyDescent="0.3">
      <c r="A13" s="16">
        <v>2</v>
      </c>
      <c r="B13" s="18">
        <v>2.1</v>
      </c>
      <c r="C13" s="18">
        <v>2.2000000000000002</v>
      </c>
      <c r="D13" s="18">
        <v>2.15</v>
      </c>
      <c r="E13" s="18">
        <v>0</v>
      </c>
      <c r="F13" s="18">
        <v>1</v>
      </c>
    </row>
    <row r="14" spans="1:6" ht="15.75" thickBot="1" x14ac:dyDescent="0.3">
      <c r="A14" s="16">
        <v>3</v>
      </c>
      <c r="B14" s="17">
        <v>2.2000000000000002</v>
      </c>
      <c r="C14" s="17">
        <v>2.31</v>
      </c>
      <c r="D14" s="17">
        <v>2.2599999999999998</v>
      </c>
      <c r="E14" s="17">
        <v>1</v>
      </c>
      <c r="F14" s="17">
        <v>2</v>
      </c>
    </row>
    <row r="15" spans="1:6" ht="15.75" thickBot="1" x14ac:dyDescent="0.3">
      <c r="A15" s="16">
        <v>4</v>
      </c>
      <c r="B15" s="18">
        <v>2.31</v>
      </c>
      <c r="C15" s="18">
        <v>2.41</v>
      </c>
      <c r="D15" s="18">
        <v>2.36</v>
      </c>
      <c r="E15" s="18">
        <v>3</v>
      </c>
      <c r="F15" s="18">
        <v>5</v>
      </c>
    </row>
    <row r="16" spans="1:6" ht="15.75" thickBot="1" x14ac:dyDescent="0.3">
      <c r="A16" s="16">
        <v>5</v>
      </c>
      <c r="B16" s="17">
        <v>2.41</v>
      </c>
      <c r="C16" s="17">
        <v>2.52</v>
      </c>
      <c r="D16" s="17">
        <v>2.4700000000000002</v>
      </c>
      <c r="E16" s="17">
        <v>37</v>
      </c>
      <c r="F16" s="17">
        <v>42</v>
      </c>
    </row>
    <row r="17" spans="1:7" ht="15.75" thickBot="1" x14ac:dyDescent="0.3">
      <c r="A17" s="16">
        <v>6</v>
      </c>
      <c r="B17" s="18">
        <v>2.52</v>
      </c>
      <c r="C17" s="18">
        <v>2.63</v>
      </c>
      <c r="D17" s="18">
        <v>2.57</v>
      </c>
      <c r="E17" s="18">
        <v>51</v>
      </c>
      <c r="F17" s="18">
        <v>93</v>
      </c>
    </row>
    <row r="18" spans="1:7" ht="15.75" thickBot="1" x14ac:dyDescent="0.3">
      <c r="A18" s="16">
        <v>7</v>
      </c>
      <c r="B18" s="17">
        <v>2.63</v>
      </c>
      <c r="C18" s="17">
        <v>2.73</v>
      </c>
      <c r="D18" s="17">
        <v>2.68</v>
      </c>
      <c r="E18" s="17">
        <v>4</v>
      </c>
      <c r="F18" s="17">
        <v>97</v>
      </c>
    </row>
    <row r="19" spans="1:7" ht="15.75" thickBot="1" x14ac:dyDescent="0.3">
      <c r="A19" s="16">
        <v>8</v>
      </c>
      <c r="B19" s="18">
        <v>2.73</v>
      </c>
      <c r="C19" s="18">
        <v>2.84</v>
      </c>
      <c r="D19" s="18">
        <v>2.79</v>
      </c>
      <c r="E19" s="18">
        <v>3</v>
      </c>
      <c r="F19" s="18">
        <v>100</v>
      </c>
    </row>
    <row r="20" spans="1:7" ht="15.75" thickBot="1" x14ac:dyDescent="0.3">
      <c r="A20" s="19" t="s">
        <v>6</v>
      </c>
      <c r="B20" s="20"/>
      <c r="C20" s="20"/>
      <c r="D20" s="20"/>
      <c r="E20" s="17">
        <v>100</v>
      </c>
      <c r="F20" s="20"/>
    </row>
    <row r="21" spans="1:7" x14ac:dyDescent="0.25">
      <c r="A21" s="6"/>
    </row>
    <row r="22" spans="1:7" x14ac:dyDescent="0.25">
      <c r="A22" s="6" t="s">
        <v>85</v>
      </c>
    </row>
    <row r="23" spans="1:7" x14ac:dyDescent="0.25">
      <c r="A23" s="21" t="s">
        <v>86</v>
      </c>
    </row>
    <row r="24" spans="1:7" ht="15.75" thickBot="1" x14ac:dyDescent="0.3">
      <c r="A24" s="6" t="s">
        <v>87</v>
      </c>
    </row>
    <row r="25" spans="1:7" ht="15.75" thickBot="1" x14ac:dyDescent="0.3">
      <c r="A25" s="22" t="s">
        <v>5</v>
      </c>
      <c r="B25" s="23" t="s">
        <v>40</v>
      </c>
      <c r="C25" s="23" t="s">
        <v>84</v>
      </c>
      <c r="D25" s="23" t="s">
        <v>16</v>
      </c>
      <c r="E25" s="23" t="s">
        <v>66</v>
      </c>
      <c r="F25" s="23" t="s">
        <v>15</v>
      </c>
      <c r="G25" s="24" t="s">
        <v>88</v>
      </c>
    </row>
    <row r="26" spans="1:7" ht="15.75" thickBot="1" x14ac:dyDescent="0.3">
      <c r="A26" s="25">
        <v>1</v>
      </c>
      <c r="B26" s="26">
        <v>1.99</v>
      </c>
      <c r="C26" s="26">
        <v>2.1</v>
      </c>
      <c r="D26" s="26">
        <v>2.04</v>
      </c>
      <c r="E26" s="26">
        <v>1</v>
      </c>
      <c r="F26" s="26">
        <v>1</v>
      </c>
      <c r="G26" s="26">
        <v>2.04</v>
      </c>
    </row>
    <row r="27" spans="1:7" ht="15.75" thickBot="1" x14ac:dyDescent="0.3">
      <c r="A27" s="25">
        <v>2</v>
      </c>
      <c r="B27" s="27">
        <v>2.1</v>
      </c>
      <c r="C27" s="27">
        <v>2.2000000000000002</v>
      </c>
      <c r="D27" s="27">
        <v>2.15</v>
      </c>
      <c r="E27" s="27">
        <v>0</v>
      </c>
      <c r="F27" s="27">
        <v>1</v>
      </c>
      <c r="G27" s="27">
        <v>0</v>
      </c>
    </row>
    <row r="28" spans="1:7" ht="15.75" thickBot="1" x14ac:dyDescent="0.3">
      <c r="A28" s="25">
        <v>3</v>
      </c>
      <c r="B28" s="26">
        <v>2.2000000000000002</v>
      </c>
      <c r="C28" s="26">
        <v>2.31</v>
      </c>
      <c r="D28" s="26">
        <v>2.2599999999999998</v>
      </c>
      <c r="E28" s="26">
        <v>1</v>
      </c>
      <c r="F28" s="26">
        <v>2</v>
      </c>
      <c r="G28" s="26">
        <v>2.2599999999999998</v>
      </c>
    </row>
    <row r="29" spans="1:7" ht="15.75" thickBot="1" x14ac:dyDescent="0.3">
      <c r="A29" s="25">
        <v>4</v>
      </c>
      <c r="B29" s="27">
        <v>2.31</v>
      </c>
      <c r="C29" s="27">
        <v>2.41</v>
      </c>
      <c r="D29" s="27">
        <v>2.36</v>
      </c>
      <c r="E29" s="27">
        <v>3</v>
      </c>
      <c r="F29" s="27">
        <v>5</v>
      </c>
      <c r="G29" s="27">
        <v>7.08</v>
      </c>
    </row>
    <row r="30" spans="1:7" ht="15.75" thickBot="1" x14ac:dyDescent="0.3">
      <c r="A30" s="25">
        <v>5</v>
      </c>
      <c r="B30" s="26">
        <v>2.41</v>
      </c>
      <c r="C30" s="26">
        <v>2.52</v>
      </c>
      <c r="D30" s="26">
        <v>2.4700000000000002</v>
      </c>
      <c r="E30" s="26">
        <v>37</v>
      </c>
      <c r="F30" s="26">
        <v>42</v>
      </c>
      <c r="G30" s="26">
        <v>91.3</v>
      </c>
    </row>
    <row r="31" spans="1:7" ht="15.75" thickBot="1" x14ac:dyDescent="0.3">
      <c r="A31" s="25">
        <v>6</v>
      </c>
      <c r="B31" s="27">
        <v>2.52</v>
      </c>
      <c r="C31" s="27">
        <v>2.63</v>
      </c>
      <c r="D31" s="27">
        <v>2.57</v>
      </c>
      <c r="E31" s="27">
        <v>51</v>
      </c>
      <c r="F31" s="27">
        <v>93</v>
      </c>
      <c r="G31" s="27">
        <v>131.26</v>
      </c>
    </row>
    <row r="32" spans="1:7" ht="15.75" thickBot="1" x14ac:dyDescent="0.3">
      <c r="A32" s="25">
        <v>7</v>
      </c>
      <c r="B32" s="26">
        <v>2.63</v>
      </c>
      <c r="C32" s="26">
        <v>2.73</v>
      </c>
      <c r="D32" s="26">
        <v>2.68</v>
      </c>
      <c r="E32" s="26">
        <v>4</v>
      </c>
      <c r="F32" s="26">
        <v>97</v>
      </c>
      <c r="G32" s="26">
        <v>10.72</v>
      </c>
    </row>
    <row r="33" spans="1:7" ht="15.75" thickBot="1" x14ac:dyDescent="0.3">
      <c r="A33" s="25">
        <v>8</v>
      </c>
      <c r="B33" s="27">
        <v>2.73</v>
      </c>
      <c r="C33" s="27">
        <v>2.84</v>
      </c>
      <c r="D33" s="27">
        <v>2.79</v>
      </c>
      <c r="E33" s="27">
        <v>3</v>
      </c>
      <c r="F33" s="27">
        <v>100</v>
      </c>
      <c r="G33" s="27">
        <v>8.36</v>
      </c>
    </row>
    <row r="34" spans="1:7" ht="15.75" thickBot="1" x14ac:dyDescent="0.3">
      <c r="A34" s="28" t="s">
        <v>6</v>
      </c>
      <c r="B34" s="29"/>
      <c r="C34" s="29"/>
      <c r="D34" s="29"/>
      <c r="E34" s="26">
        <v>100</v>
      </c>
      <c r="F34" s="29"/>
      <c r="G34" s="26">
        <v>253.03</v>
      </c>
    </row>
    <row r="35" spans="1:7" x14ac:dyDescent="0.25">
      <c r="A35" s="6"/>
    </row>
    <row r="36" spans="1:7" x14ac:dyDescent="0.25">
      <c r="A36" s="6" t="s">
        <v>89</v>
      </c>
    </row>
    <row r="37" spans="1:7" x14ac:dyDescent="0.25">
      <c r="A37" s="21" t="s">
        <v>90</v>
      </c>
    </row>
    <row r="38" spans="1:7" x14ac:dyDescent="0.25">
      <c r="A38" s="6" t="s">
        <v>91</v>
      </c>
    </row>
    <row r="39" spans="1:7" ht="15.75" thickBot="1" x14ac:dyDescent="0.3">
      <c r="A39" s="6" t="s">
        <v>92</v>
      </c>
    </row>
    <row r="40" spans="1:7" ht="15.75" thickBot="1" x14ac:dyDescent="0.3">
      <c r="A40" s="30" t="s">
        <v>5</v>
      </c>
      <c r="B40" s="31" t="s">
        <v>83</v>
      </c>
      <c r="C40" s="31" t="s">
        <v>84</v>
      </c>
      <c r="D40" s="31" t="s">
        <v>16</v>
      </c>
      <c r="E40" s="31" t="s">
        <v>66</v>
      </c>
      <c r="F40" s="32" t="s">
        <v>15</v>
      </c>
    </row>
    <row r="41" spans="1:7" ht="15.75" thickBot="1" x14ac:dyDescent="0.3">
      <c r="A41" s="33">
        <v>1</v>
      </c>
      <c r="B41" s="34">
        <v>1.99</v>
      </c>
      <c r="C41" s="34">
        <v>2.1</v>
      </c>
      <c r="D41" s="34">
        <v>2.04</v>
      </c>
      <c r="E41" s="34">
        <v>1</v>
      </c>
      <c r="F41" s="34">
        <v>1</v>
      </c>
    </row>
    <row r="42" spans="1:7" ht="15.75" thickBot="1" x14ac:dyDescent="0.3">
      <c r="A42" s="33">
        <v>2</v>
      </c>
      <c r="B42" s="35">
        <v>2.1</v>
      </c>
      <c r="C42" s="35">
        <v>2.2000000000000002</v>
      </c>
      <c r="D42" s="35">
        <v>2.15</v>
      </c>
      <c r="E42" s="35">
        <v>0</v>
      </c>
      <c r="F42" s="35">
        <v>1</v>
      </c>
    </row>
    <row r="43" spans="1:7" ht="15.75" thickBot="1" x14ac:dyDescent="0.3">
      <c r="A43" s="33">
        <v>3</v>
      </c>
      <c r="B43" s="34">
        <v>2.2000000000000002</v>
      </c>
      <c r="C43" s="34">
        <v>2.31</v>
      </c>
      <c r="D43" s="34">
        <v>2.2599999999999998</v>
      </c>
      <c r="E43" s="34">
        <v>1</v>
      </c>
      <c r="F43" s="34">
        <v>2</v>
      </c>
    </row>
    <row r="44" spans="1:7" ht="15.75" thickBot="1" x14ac:dyDescent="0.3">
      <c r="A44" s="33">
        <v>4</v>
      </c>
      <c r="B44" s="35">
        <v>2.31</v>
      </c>
      <c r="C44" s="35">
        <v>2.41</v>
      </c>
      <c r="D44" s="35">
        <v>2.36</v>
      </c>
      <c r="E44" s="35">
        <v>3</v>
      </c>
      <c r="F44" s="35">
        <v>5</v>
      </c>
    </row>
    <row r="45" spans="1:7" ht="15.75" thickBot="1" x14ac:dyDescent="0.3">
      <c r="A45" s="33">
        <v>5</v>
      </c>
      <c r="B45" s="34">
        <v>2.41</v>
      </c>
      <c r="C45" s="34">
        <v>2.52</v>
      </c>
      <c r="D45" s="34">
        <v>2.4700000000000002</v>
      </c>
      <c r="E45" s="34">
        <v>37</v>
      </c>
      <c r="F45" s="34">
        <v>42</v>
      </c>
    </row>
    <row r="46" spans="1:7" ht="15.75" thickBot="1" x14ac:dyDescent="0.3">
      <c r="A46" s="33">
        <v>6</v>
      </c>
      <c r="B46" s="35">
        <v>2.52</v>
      </c>
      <c r="C46" s="35">
        <v>2.63</v>
      </c>
      <c r="D46" s="35">
        <v>2.57</v>
      </c>
      <c r="E46" s="35">
        <v>51</v>
      </c>
      <c r="F46" s="35">
        <v>93</v>
      </c>
    </row>
    <row r="47" spans="1:7" ht="15.75" thickBot="1" x14ac:dyDescent="0.3">
      <c r="A47" s="33">
        <v>7</v>
      </c>
      <c r="B47" s="34">
        <v>2.63</v>
      </c>
      <c r="C47" s="34">
        <v>2.73</v>
      </c>
      <c r="D47" s="34">
        <v>2.68</v>
      </c>
      <c r="E47" s="34">
        <v>4</v>
      </c>
      <c r="F47" s="34">
        <v>97</v>
      </c>
    </row>
    <row r="48" spans="1:7" ht="15.75" thickBot="1" x14ac:dyDescent="0.3">
      <c r="A48" s="33">
        <v>8</v>
      </c>
      <c r="B48" s="35">
        <v>2.73</v>
      </c>
      <c r="C48" s="35">
        <v>2.84</v>
      </c>
      <c r="D48" s="35">
        <v>2.79</v>
      </c>
      <c r="E48" s="35">
        <v>3</v>
      </c>
      <c r="F48" s="35">
        <v>100</v>
      </c>
    </row>
    <row r="49" spans="1:6" x14ac:dyDescent="0.25">
      <c r="A49" s="6"/>
    </row>
    <row r="50" spans="1:6" x14ac:dyDescent="0.25">
      <c r="A50" s="6" t="s">
        <v>93</v>
      </c>
    </row>
    <row r="51" spans="1:6" ht="15.75" thickBot="1" x14ac:dyDescent="0.3">
      <c r="A51" s="6" t="s">
        <v>94</v>
      </c>
    </row>
    <row r="52" spans="1:6" ht="15.75" thickBot="1" x14ac:dyDescent="0.3">
      <c r="A52" s="30" t="s">
        <v>5</v>
      </c>
      <c r="B52" s="31" t="s">
        <v>83</v>
      </c>
      <c r="C52" s="31" t="s">
        <v>84</v>
      </c>
      <c r="D52" s="31" t="s">
        <v>16</v>
      </c>
      <c r="E52" s="31" t="s">
        <v>66</v>
      </c>
      <c r="F52" s="32" t="s">
        <v>15</v>
      </c>
    </row>
    <row r="53" spans="1:6" ht="15.75" thickBot="1" x14ac:dyDescent="0.3">
      <c r="A53" s="33">
        <v>1</v>
      </c>
      <c r="B53" s="34">
        <v>1.99</v>
      </c>
      <c r="C53" s="34">
        <v>2.1</v>
      </c>
      <c r="D53" s="34">
        <v>2.04</v>
      </c>
      <c r="E53" s="34">
        <v>1</v>
      </c>
      <c r="F53" s="34">
        <v>1</v>
      </c>
    </row>
    <row r="54" spans="1:6" ht="15.75" thickBot="1" x14ac:dyDescent="0.3">
      <c r="A54" s="33">
        <v>2</v>
      </c>
      <c r="B54" s="35">
        <v>2.1</v>
      </c>
      <c r="C54" s="35">
        <v>2.2000000000000002</v>
      </c>
      <c r="D54" s="35">
        <v>2.15</v>
      </c>
      <c r="E54" s="35">
        <v>0</v>
      </c>
      <c r="F54" s="35">
        <v>1</v>
      </c>
    </row>
    <row r="55" spans="1:6" ht="15.75" thickBot="1" x14ac:dyDescent="0.3">
      <c r="A55" s="33">
        <v>3</v>
      </c>
      <c r="B55" s="34">
        <v>2.2000000000000002</v>
      </c>
      <c r="C55" s="34">
        <v>2.31</v>
      </c>
      <c r="D55" s="34">
        <v>2.2599999999999998</v>
      </c>
      <c r="E55" s="34">
        <v>1</v>
      </c>
      <c r="F55" s="34">
        <v>2</v>
      </c>
    </row>
    <row r="56" spans="1:6" ht="15.75" thickBot="1" x14ac:dyDescent="0.3">
      <c r="A56" s="33">
        <v>4</v>
      </c>
      <c r="B56" s="35">
        <v>2.31</v>
      </c>
      <c r="C56" s="35">
        <v>2.41</v>
      </c>
      <c r="D56" s="35">
        <v>2.36</v>
      </c>
      <c r="E56" s="35">
        <v>3</v>
      </c>
      <c r="F56" s="35">
        <v>5</v>
      </c>
    </row>
    <row r="57" spans="1:6" ht="15.75" thickBot="1" x14ac:dyDescent="0.3">
      <c r="A57" s="33">
        <v>5</v>
      </c>
      <c r="B57" s="34">
        <v>2.41</v>
      </c>
      <c r="C57" s="34">
        <v>2.52</v>
      </c>
      <c r="D57" s="34">
        <v>2.4700000000000002</v>
      </c>
      <c r="E57" s="34">
        <v>37</v>
      </c>
      <c r="F57" s="34">
        <v>42</v>
      </c>
    </row>
    <row r="58" spans="1:6" ht="15.75" thickBot="1" x14ac:dyDescent="0.3">
      <c r="A58" s="33">
        <v>6</v>
      </c>
      <c r="B58" s="35">
        <v>2.52</v>
      </c>
      <c r="C58" s="35">
        <v>2.63</v>
      </c>
      <c r="D58" s="35">
        <v>2.57</v>
      </c>
      <c r="E58" s="35">
        <v>51</v>
      </c>
      <c r="F58" s="35">
        <v>93</v>
      </c>
    </row>
    <row r="59" spans="1:6" ht="15.75" thickBot="1" x14ac:dyDescent="0.3">
      <c r="A59" s="33">
        <v>7</v>
      </c>
      <c r="B59" s="34">
        <v>2.63</v>
      </c>
      <c r="C59" s="34">
        <v>2.73</v>
      </c>
      <c r="D59" s="34">
        <v>2.68</v>
      </c>
      <c r="E59" s="34">
        <v>4</v>
      </c>
      <c r="F59" s="34">
        <v>97</v>
      </c>
    </row>
    <row r="60" spans="1:6" ht="15.75" thickBot="1" x14ac:dyDescent="0.3">
      <c r="A60" s="33">
        <v>8</v>
      </c>
      <c r="B60" s="35">
        <v>2.73</v>
      </c>
      <c r="C60" s="35">
        <v>2.84</v>
      </c>
      <c r="D60" s="35">
        <v>2.79</v>
      </c>
      <c r="E60" s="35">
        <v>3</v>
      </c>
      <c r="F60" s="35">
        <v>100</v>
      </c>
    </row>
    <row r="61" spans="1:6" ht="15.75" thickBot="1" x14ac:dyDescent="0.3">
      <c r="A61" s="36" t="s">
        <v>6</v>
      </c>
      <c r="B61" s="29"/>
      <c r="C61" s="29"/>
      <c r="D61" s="29"/>
      <c r="E61" s="34">
        <v>100</v>
      </c>
      <c r="F61" s="29"/>
    </row>
    <row r="62" spans="1:6" x14ac:dyDescent="0.25">
      <c r="A62" s="6"/>
    </row>
    <row r="63" spans="1:6" x14ac:dyDescent="0.25">
      <c r="A63" s="6" t="s">
        <v>95</v>
      </c>
    </row>
    <row r="64" spans="1:6" ht="225.75" customHeight="1" x14ac:dyDescent="0.25"/>
    <row r="65" spans="1:2" x14ac:dyDescent="0.25">
      <c r="A65" s="6" t="s">
        <v>96</v>
      </c>
    </row>
    <row r="66" spans="1:2" x14ac:dyDescent="0.25">
      <c r="A66" s="21" t="s">
        <v>19</v>
      </c>
    </row>
    <row r="67" spans="1:2" ht="15.75" thickBot="1" x14ac:dyDescent="0.3">
      <c r="A67" s="6" t="s">
        <v>97</v>
      </c>
    </row>
    <row r="68" spans="1:2" ht="15.75" thickBot="1" x14ac:dyDescent="0.3">
      <c r="A68" s="13" t="s">
        <v>98</v>
      </c>
      <c r="B68" s="15" t="s">
        <v>99</v>
      </c>
    </row>
    <row r="69" spans="1:2" ht="15.75" thickBot="1" x14ac:dyDescent="0.3">
      <c r="A69" s="16">
        <v>1.99</v>
      </c>
      <c r="B69" s="17">
        <v>1</v>
      </c>
    </row>
    <row r="70" spans="1:2" ht="15.75" thickBot="1" x14ac:dyDescent="0.3">
      <c r="A70" s="16">
        <v>2.2200000000000002</v>
      </c>
      <c r="B70" s="18">
        <v>1</v>
      </c>
    </row>
    <row r="71" spans="1:2" ht="15.75" thickBot="1" x14ac:dyDescent="0.3">
      <c r="A71" s="16">
        <v>2.38</v>
      </c>
      <c r="B71" s="17">
        <v>1</v>
      </c>
    </row>
    <row r="72" spans="1:2" ht="15.75" thickBot="1" x14ac:dyDescent="0.3">
      <c r="A72" s="16">
        <v>2.39</v>
      </c>
      <c r="B72" s="18">
        <v>2</v>
      </c>
    </row>
    <row r="73" spans="1:2" ht="15.75" thickBot="1" x14ac:dyDescent="0.3">
      <c r="A73" s="16">
        <v>2.44</v>
      </c>
      <c r="B73" s="17">
        <v>4</v>
      </c>
    </row>
    <row r="74" spans="1:2" ht="15.75" thickBot="1" x14ac:dyDescent="0.3">
      <c r="A74" s="16">
        <v>2.4500000000000002</v>
      </c>
      <c r="B74" s="18">
        <v>6</v>
      </c>
    </row>
    <row r="75" spans="1:2" ht="15.75" thickBot="1" x14ac:dyDescent="0.3">
      <c r="A75" s="16">
        <v>2.46</v>
      </c>
      <c r="B75" s="17">
        <v>4</v>
      </c>
    </row>
    <row r="76" spans="1:2" ht="15.75" thickBot="1" x14ac:dyDescent="0.3">
      <c r="A76" s="16">
        <v>2.4700000000000002</v>
      </c>
      <c r="B76" s="18">
        <v>5</v>
      </c>
    </row>
    <row r="77" spans="1:2" ht="15.75" thickBot="1" x14ac:dyDescent="0.3">
      <c r="A77" s="16">
        <v>2.48</v>
      </c>
      <c r="B77" s="17">
        <v>5</v>
      </c>
    </row>
    <row r="78" spans="1:2" ht="15.75" thickBot="1" x14ac:dyDescent="0.3">
      <c r="A78" s="16">
        <v>2.4900000000000002</v>
      </c>
      <c r="B78" s="18">
        <v>3</v>
      </c>
    </row>
    <row r="79" spans="1:2" ht="15.75" thickBot="1" x14ac:dyDescent="0.3">
      <c r="A79" s="16">
        <v>2.5</v>
      </c>
      <c r="B79" s="17">
        <v>7</v>
      </c>
    </row>
    <row r="80" spans="1:2" ht="15.75" thickBot="1" x14ac:dyDescent="0.3">
      <c r="A80" s="16">
        <v>2.5099999999999998</v>
      </c>
      <c r="B80" s="18">
        <v>3</v>
      </c>
    </row>
    <row r="81" spans="1:2" ht="15.75" thickBot="1" x14ac:dyDescent="0.3">
      <c r="A81" s="16">
        <v>2.5299999999999998</v>
      </c>
      <c r="B81" s="17">
        <v>3</v>
      </c>
    </row>
    <row r="82" spans="1:2" ht="15.75" thickBot="1" x14ac:dyDescent="0.3">
      <c r="A82" s="16">
        <v>2.54</v>
      </c>
      <c r="B82" s="18">
        <v>10</v>
      </c>
    </row>
    <row r="83" spans="1:2" ht="15.75" thickBot="1" x14ac:dyDescent="0.3">
      <c r="A83" s="16">
        <v>2.5499999999999998</v>
      </c>
      <c r="B83" s="17">
        <v>9</v>
      </c>
    </row>
    <row r="84" spans="1:2" ht="15.75" thickBot="1" x14ac:dyDescent="0.3">
      <c r="A84" s="16">
        <v>2.56</v>
      </c>
      <c r="B84" s="18">
        <v>8</v>
      </c>
    </row>
    <row r="85" spans="1:2" ht="15.75" thickBot="1" x14ac:dyDescent="0.3">
      <c r="A85" s="16">
        <v>2.57</v>
      </c>
      <c r="B85" s="17">
        <v>7</v>
      </c>
    </row>
    <row r="86" spans="1:2" ht="15.75" thickBot="1" x14ac:dyDescent="0.3">
      <c r="A86" s="16">
        <v>2.58</v>
      </c>
      <c r="B86" s="18">
        <v>5</v>
      </c>
    </row>
    <row r="87" spans="1:2" ht="15.75" thickBot="1" x14ac:dyDescent="0.3">
      <c r="A87" s="16">
        <v>2.59</v>
      </c>
      <c r="B87" s="17">
        <v>3</v>
      </c>
    </row>
    <row r="88" spans="1:2" ht="15.75" thickBot="1" x14ac:dyDescent="0.3">
      <c r="A88" s="16">
        <v>2.6</v>
      </c>
      <c r="B88" s="18">
        <v>5</v>
      </c>
    </row>
    <row r="89" spans="1:2" ht="15.75" thickBot="1" x14ac:dyDescent="0.3">
      <c r="A89" s="16">
        <v>2.61</v>
      </c>
      <c r="B89" s="17">
        <v>1</v>
      </c>
    </row>
    <row r="90" spans="1:2" ht="15.75" thickBot="1" x14ac:dyDescent="0.3">
      <c r="A90" s="16">
        <v>2.64</v>
      </c>
      <c r="B90" s="18">
        <v>1</v>
      </c>
    </row>
    <row r="91" spans="1:2" ht="15.75" thickBot="1" x14ac:dyDescent="0.3">
      <c r="A91" s="16">
        <v>2.66</v>
      </c>
      <c r="B91" s="17">
        <v>1</v>
      </c>
    </row>
    <row r="92" spans="1:2" ht="15.75" thickBot="1" x14ac:dyDescent="0.3">
      <c r="A92" s="16">
        <v>2.7</v>
      </c>
      <c r="B92" s="18">
        <v>1</v>
      </c>
    </row>
    <row r="93" spans="1:2" ht="15.75" thickBot="1" x14ac:dyDescent="0.3">
      <c r="A93" s="16">
        <v>2.71</v>
      </c>
      <c r="B93" s="17">
        <v>1</v>
      </c>
    </row>
    <row r="94" spans="1:2" ht="15.75" thickBot="1" x14ac:dyDescent="0.3">
      <c r="A94" s="16">
        <v>2.74</v>
      </c>
      <c r="B94" s="18">
        <v>1</v>
      </c>
    </row>
    <row r="95" spans="1:2" ht="15.75" thickBot="1" x14ac:dyDescent="0.3">
      <c r="A95" s="16">
        <v>2.77</v>
      </c>
      <c r="B95" s="17">
        <v>1</v>
      </c>
    </row>
    <row r="96" spans="1:2" ht="15.75" thickBot="1" x14ac:dyDescent="0.3">
      <c r="A96" s="16">
        <v>2.8</v>
      </c>
      <c r="B96" s="18">
        <v>1</v>
      </c>
    </row>
    <row r="97" spans="1:7" x14ac:dyDescent="0.25">
      <c r="A97" s="6"/>
    </row>
    <row r="98" spans="1:7" x14ac:dyDescent="0.25">
      <c r="A98" s="6" t="s">
        <v>100</v>
      </c>
    </row>
    <row r="99" spans="1:7" x14ac:dyDescent="0.25">
      <c r="A99" s="21" t="s">
        <v>101</v>
      </c>
    </row>
    <row r="100" spans="1:7" ht="15.75" thickBot="1" x14ac:dyDescent="0.3">
      <c r="A100" s="6" t="s">
        <v>102</v>
      </c>
    </row>
    <row r="101" spans="1:7" ht="15.75" thickBot="1" x14ac:dyDescent="0.3">
      <c r="A101" s="37" t="s">
        <v>5</v>
      </c>
      <c r="B101" s="38" t="s">
        <v>83</v>
      </c>
      <c r="C101" s="38" t="s">
        <v>84</v>
      </c>
      <c r="D101" s="38" t="s">
        <v>103</v>
      </c>
      <c r="E101" s="38" t="s">
        <v>104</v>
      </c>
      <c r="F101" s="38" t="s">
        <v>16</v>
      </c>
      <c r="G101" s="39" t="s">
        <v>66</v>
      </c>
    </row>
    <row r="102" spans="1:7" ht="15.75" thickBot="1" x14ac:dyDescent="0.3">
      <c r="A102" s="40">
        <v>1</v>
      </c>
      <c r="B102" s="41">
        <v>1.99</v>
      </c>
      <c r="C102" s="41">
        <v>2.1</v>
      </c>
      <c r="D102" s="41">
        <v>0.24</v>
      </c>
      <c r="E102" s="41">
        <v>0.24</v>
      </c>
      <c r="F102" s="41">
        <v>2.04</v>
      </c>
      <c r="G102" s="41">
        <v>1</v>
      </c>
    </row>
    <row r="103" spans="1:7" ht="15.75" thickBot="1" x14ac:dyDescent="0.3">
      <c r="A103" s="40">
        <v>2</v>
      </c>
      <c r="B103" s="42">
        <v>2.1</v>
      </c>
      <c r="C103" s="42">
        <v>2.2000000000000002</v>
      </c>
      <c r="D103" s="42">
        <v>0.15</v>
      </c>
      <c r="E103" s="42">
        <v>0</v>
      </c>
      <c r="F103" s="42">
        <v>2.15</v>
      </c>
      <c r="G103" s="42">
        <v>0</v>
      </c>
    </row>
    <row r="104" spans="1:7" ht="15.75" thickBot="1" x14ac:dyDescent="0.3">
      <c r="A104" s="40">
        <v>3</v>
      </c>
      <c r="B104" s="41">
        <v>2.2000000000000002</v>
      </c>
      <c r="C104" s="41">
        <v>2.31</v>
      </c>
      <c r="D104" s="41">
        <v>0.08</v>
      </c>
      <c r="E104" s="41">
        <v>0.08</v>
      </c>
      <c r="F104" s="41">
        <v>2.2599999999999998</v>
      </c>
      <c r="G104" s="41">
        <v>1</v>
      </c>
    </row>
    <row r="105" spans="1:7" ht="15.75" thickBot="1" x14ac:dyDescent="0.3">
      <c r="A105" s="40">
        <v>4</v>
      </c>
      <c r="B105" s="42">
        <v>2.31</v>
      </c>
      <c r="C105" s="42">
        <v>2.41</v>
      </c>
      <c r="D105" s="42">
        <v>0.03</v>
      </c>
      <c r="E105" s="42">
        <v>0.09</v>
      </c>
      <c r="F105" s="42">
        <v>2.36</v>
      </c>
      <c r="G105" s="42">
        <v>3</v>
      </c>
    </row>
    <row r="106" spans="1:7" ht="15.75" thickBot="1" x14ac:dyDescent="0.3">
      <c r="A106" s="40">
        <v>5</v>
      </c>
      <c r="B106" s="41">
        <v>2.41</v>
      </c>
      <c r="C106" s="41">
        <v>2.52</v>
      </c>
      <c r="D106" s="41">
        <v>0</v>
      </c>
      <c r="E106" s="41">
        <v>0.15</v>
      </c>
      <c r="F106" s="41">
        <v>2.4700000000000002</v>
      </c>
      <c r="G106" s="41">
        <v>37</v>
      </c>
    </row>
    <row r="107" spans="1:7" ht="15.75" thickBot="1" x14ac:dyDescent="0.3">
      <c r="A107" s="40">
        <v>6</v>
      </c>
      <c r="B107" s="42">
        <v>2.52</v>
      </c>
      <c r="C107" s="42">
        <v>2.63</v>
      </c>
      <c r="D107" s="42">
        <v>0</v>
      </c>
      <c r="E107" s="42">
        <v>0.1</v>
      </c>
      <c r="F107" s="42">
        <v>2.57</v>
      </c>
      <c r="G107" s="42">
        <v>51</v>
      </c>
    </row>
    <row r="108" spans="1:7" ht="15.75" thickBot="1" x14ac:dyDescent="0.3">
      <c r="A108" s="40">
        <v>7</v>
      </c>
      <c r="B108" s="41">
        <v>2.63</v>
      </c>
      <c r="C108" s="41">
        <v>2.73</v>
      </c>
      <c r="D108" s="41">
        <v>0.02</v>
      </c>
      <c r="E108" s="41">
        <v>0.09</v>
      </c>
      <c r="F108" s="41">
        <v>2.68</v>
      </c>
      <c r="G108" s="41">
        <v>4</v>
      </c>
    </row>
    <row r="109" spans="1:7" ht="15.75" thickBot="1" x14ac:dyDescent="0.3">
      <c r="A109" s="40">
        <v>8</v>
      </c>
      <c r="B109" s="42">
        <v>2.73</v>
      </c>
      <c r="C109" s="42">
        <v>2.84</v>
      </c>
      <c r="D109" s="42">
        <v>7.0000000000000007E-2</v>
      </c>
      <c r="E109" s="42">
        <v>0.2</v>
      </c>
      <c r="F109" s="42">
        <v>2.79</v>
      </c>
      <c r="G109" s="42">
        <v>3</v>
      </c>
    </row>
    <row r="110" spans="1:7" ht="15.75" thickBot="1" x14ac:dyDescent="0.3">
      <c r="A110" s="43" t="s">
        <v>6</v>
      </c>
      <c r="B110" s="29"/>
      <c r="C110" s="29"/>
      <c r="D110" s="29"/>
      <c r="E110" s="41">
        <v>0.93</v>
      </c>
      <c r="F110" s="29"/>
      <c r="G110" s="41">
        <v>100</v>
      </c>
    </row>
    <row r="111" spans="1:7" x14ac:dyDescent="0.25">
      <c r="A111" s="6"/>
    </row>
    <row r="112" spans="1:7" x14ac:dyDescent="0.25">
      <c r="A112" s="6" t="s">
        <v>105</v>
      </c>
    </row>
    <row r="113" spans="1:6" ht="15.75" thickBot="1" x14ac:dyDescent="0.3">
      <c r="A113" s="6" t="s">
        <v>106</v>
      </c>
    </row>
    <row r="114" spans="1:6" ht="15.75" thickBot="1" x14ac:dyDescent="0.3">
      <c r="A114" s="44" t="s">
        <v>32</v>
      </c>
      <c r="B114" s="45">
        <v>9.2592000000000004E-3</v>
      </c>
    </row>
    <row r="115" spans="1:6" ht="15.75" thickBot="1" x14ac:dyDescent="0.3">
      <c r="A115" s="36" t="s">
        <v>33</v>
      </c>
      <c r="B115" s="35">
        <v>9.6225000000000005E-2</v>
      </c>
    </row>
    <row r="116" spans="1:6" x14ac:dyDescent="0.25">
      <c r="A116" s="6"/>
    </row>
    <row r="117" spans="1:6" x14ac:dyDescent="0.25">
      <c r="A117" s="21" t="s">
        <v>107</v>
      </c>
    </row>
    <row r="118" spans="1:6" ht="15.75" thickBot="1" x14ac:dyDescent="0.3">
      <c r="A118" s="6" t="s">
        <v>108</v>
      </c>
    </row>
    <row r="119" spans="1:6" ht="15.75" thickBot="1" x14ac:dyDescent="0.3">
      <c r="A119" s="30" t="s">
        <v>5</v>
      </c>
      <c r="B119" s="31" t="s">
        <v>83</v>
      </c>
      <c r="C119" s="31" t="s">
        <v>84</v>
      </c>
      <c r="D119" s="31" t="s">
        <v>16</v>
      </c>
      <c r="E119" s="31" t="s">
        <v>66</v>
      </c>
      <c r="F119" s="32" t="s">
        <v>15</v>
      </c>
    </row>
    <row r="120" spans="1:6" ht="15.75" thickBot="1" x14ac:dyDescent="0.3">
      <c r="A120" s="33">
        <v>1</v>
      </c>
      <c r="B120" s="34">
        <v>1.99</v>
      </c>
      <c r="C120" s="34">
        <v>2.1</v>
      </c>
      <c r="D120" s="34">
        <v>2.04</v>
      </c>
      <c r="E120" s="34">
        <v>1</v>
      </c>
      <c r="F120" s="34">
        <v>1</v>
      </c>
    </row>
    <row r="121" spans="1:6" ht="15.75" thickBot="1" x14ac:dyDescent="0.3">
      <c r="A121" s="33">
        <v>2</v>
      </c>
      <c r="B121" s="35">
        <v>2.1</v>
      </c>
      <c r="C121" s="35">
        <v>2.2000000000000002</v>
      </c>
      <c r="D121" s="35">
        <v>2.15</v>
      </c>
      <c r="E121" s="35">
        <v>0</v>
      </c>
      <c r="F121" s="35">
        <v>1</v>
      </c>
    </row>
    <row r="122" spans="1:6" ht="15.75" thickBot="1" x14ac:dyDescent="0.3">
      <c r="A122" s="33">
        <v>3</v>
      </c>
      <c r="B122" s="34">
        <v>2.2000000000000002</v>
      </c>
      <c r="C122" s="34">
        <v>2.31</v>
      </c>
      <c r="D122" s="34">
        <v>2.2599999999999998</v>
      </c>
      <c r="E122" s="34">
        <v>1</v>
      </c>
      <c r="F122" s="34">
        <v>2</v>
      </c>
    </row>
    <row r="123" spans="1:6" ht="15.75" thickBot="1" x14ac:dyDescent="0.3">
      <c r="A123" s="33">
        <v>4</v>
      </c>
      <c r="B123" s="35">
        <v>2.31</v>
      </c>
      <c r="C123" s="35">
        <v>2.41</v>
      </c>
      <c r="D123" s="35">
        <v>2.36</v>
      </c>
      <c r="E123" s="35">
        <v>3</v>
      </c>
      <c r="F123" s="35">
        <v>5</v>
      </c>
    </row>
    <row r="124" spans="1:6" ht="15.75" thickBot="1" x14ac:dyDescent="0.3">
      <c r="A124" s="33">
        <v>5</v>
      </c>
      <c r="B124" s="34">
        <v>2.41</v>
      </c>
      <c r="C124" s="34">
        <v>2.52</v>
      </c>
      <c r="D124" s="34">
        <v>2.4700000000000002</v>
      </c>
      <c r="E124" s="34">
        <v>37</v>
      </c>
      <c r="F124" s="34">
        <v>42</v>
      </c>
    </row>
    <row r="125" spans="1:6" ht="15.75" thickBot="1" x14ac:dyDescent="0.3">
      <c r="A125" s="33">
        <v>6</v>
      </c>
      <c r="B125" s="35">
        <v>2.52</v>
      </c>
      <c r="C125" s="35">
        <v>2.63</v>
      </c>
      <c r="D125" s="35">
        <v>2.57</v>
      </c>
      <c r="E125" s="35">
        <v>51</v>
      </c>
      <c r="F125" s="35">
        <v>93</v>
      </c>
    </row>
    <row r="126" spans="1:6" ht="15.75" thickBot="1" x14ac:dyDescent="0.3">
      <c r="A126" s="33">
        <v>7</v>
      </c>
      <c r="B126" s="34">
        <v>2.63</v>
      </c>
      <c r="C126" s="34">
        <v>2.73</v>
      </c>
      <c r="D126" s="34">
        <v>2.68</v>
      </c>
      <c r="E126" s="34">
        <v>4</v>
      </c>
      <c r="F126" s="34">
        <v>97</v>
      </c>
    </row>
    <row r="127" spans="1:6" ht="15.75" thickBot="1" x14ac:dyDescent="0.3">
      <c r="A127" s="33">
        <v>8</v>
      </c>
      <c r="B127" s="35">
        <v>2.73</v>
      </c>
      <c r="C127" s="35">
        <v>2.84</v>
      </c>
      <c r="D127" s="35">
        <v>2.79</v>
      </c>
      <c r="E127" s="35">
        <v>3</v>
      </c>
      <c r="F127" s="35">
        <v>100</v>
      </c>
    </row>
    <row r="128" spans="1:6" x14ac:dyDescent="0.25">
      <c r="A128" s="6"/>
    </row>
    <row r="129" spans="1:1" x14ac:dyDescent="0.25">
      <c r="A129" s="6" t="s">
        <v>109</v>
      </c>
    </row>
    <row r="130" spans="1:1" x14ac:dyDescent="0.25">
      <c r="A130" s="6" t="s">
        <v>110</v>
      </c>
    </row>
    <row r="132" spans="1:1" x14ac:dyDescent="0.25">
      <c r="A132" s="6" t="s">
        <v>111</v>
      </c>
    </row>
    <row r="133" spans="1:1" x14ac:dyDescent="0.25">
      <c r="A133" s="6" t="s">
        <v>112</v>
      </c>
    </row>
    <row r="134" spans="1:1" x14ac:dyDescent="0.25">
      <c r="A134" s="6" t="s">
        <v>113</v>
      </c>
    </row>
    <row r="135" spans="1:1" ht="81" customHeight="1" x14ac:dyDescent="0.25"/>
    <row r="136" spans="1:1" x14ac:dyDescent="0.25">
      <c r="A136" s="6" t="s">
        <v>114</v>
      </c>
    </row>
    <row r="137" spans="1:1" x14ac:dyDescent="0.25">
      <c r="A137" s="6"/>
    </row>
    <row r="138" spans="1:1" x14ac:dyDescent="0.25">
      <c r="A138" s="6" t="s">
        <v>115</v>
      </c>
    </row>
    <row r="140" spans="1:1" x14ac:dyDescent="0.25">
      <c r="A140" s="6"/>
    </row>
    <row r="141" spans="1:1" x14ac:dyDescent="0.25">
      <c r="A141" s="6"/>
    </row>
    <row r="142" spans="1:1" x14ac:dyDescent="0.25">
      <c r="A142" s="6"/>
    </row>
    <row r="143" spans="1:1" x14ac:dyDescent="0.25">
      <c r="A143" s="6"/>
    </row>
    <row r="144" spans="1:1" x14ac:dyDescent="0.25">
      <c r="A144" s="6"/>
    </row>
    <row r="145" spans="1:7" ht="15.75" thickBot="1" x14ac:dyDescent="0.3">
      <c r="A145" s="6" t="s">
        <v>116</v>
      </c>
    </row>
    <row r="146" spans="1:7" ht="15.75" thickBot="1" x14ac:dyDescent="0.3">
      <c r="A146" s="46" t="s">
        <v>117</v>
      </c>
      <c r="B146" s="47" t="s">
        <v>35</v>
      </c>
      <c r="C146" s="47" t="s">
        <v>118</v>
      </c>
      <c r="D146" s="47" t="s">
        <v>83</v>
      </c>
      <c r="E146" s="47" t="s">
        <v>36</v>
      </c>
      <c r="F146" s="47" t="s">
        <v>119</v>
      </c>
      <c r="G146" s="48" t="s">
        <v>38</v>
      </c>
    </row>
    <row r="147" spans="1:7" ht="15.75" thickBot="1" x14ac:dyDescent="0.3">
      <c r="A147" s="49" t="s">
        <v>120</v>
      </c>
      <c r="B147" s="50">
        <v>10</v>
      </c>
      <c r="C147" s="50">
        <v>5</v>
      </c>
      <c r="D147" s="50">
        <v>2.41</v>
      </c>
      <c r="E147" s="50">
        <v>5</v>
      </c>
      <c r="F147" s="50">
        <v>37</v>
      </c>
      <c r="G147" s="50">
        <v>2.4300000000000002</v>
      </c>
    </row>
    <row r="148" spans="1:7" ht="15.75" thickBot="1" x14ac:dyDescent="0.3">
      <c r="A148" s="49" t="s">
        <v>121</v>
      </c>
      <c r="B148" s="51">
        <v>20</v>
      </c>
      <c r="C148" s="51">
        <v>5</v>
      </c>
      <c r="D148" s="51">
        <v>2.41</v>
      </c>
      <c r="E148" s="51">
        <v>5</v>
      </c>
      <c r="F148" s="51">
        <v>37</v>
      </c>
      <c r="G148" s="51">
        <v>2.46</v>
      </c>
    </row>
    <row r="149" spans="1:7" ht="15.75" thickBot="1" x14ac:dyDescent="0.3">
      <c r="A149" s="49" t="s">
        <v>122</v>
      </c>
      <c r="B149" s="50">
        <v>30</v>
      </c>
      <c r="C149" s="50">
        <v>5</v>
      </c>
      <c r="D149" s="50">
        <v>2.41</v>
      </c>
      <c r="E149" s="50">
        <v>5</v>
      </c>
      <c r="F149" s="50">
        <v>37</v>
      </c>
      <c r="G149" s="50">
        <v>2.4900000000000002</v>
      </c>
    </row>
    <row r="150" spans="1:7" ht="15.75" thickBot="1" x14ac:dyDescent="0.3">
      <c r="A150" s="49" t="s">
        <v>123</v>
      </c>
      <c r="B150" s="51">
        <v>40</v>
      </c>
      <c r="C150" s="51">
        <v>5</v>
      </c>
      <c r="D150" s="51">
        <v>2.41</v>
      </c>
      <c r="E150" s="51">
        <v>5</v>
      </c>
      <c r="F150" s="51">
        <v>37</v>
      </c>
      <c r="G150" s="51">
        <v>2.5099999999999998</v>
      </c>
    </row>
    <row r="151" spans="1:7" ht="15.75" thickBot="1" x14ac:dyDescent="0.3">
      <c r="A151" s="49" t="s">
        <v>124</v>
      </c>
      <c r="B151" s="50">
        <v>50</v>
      </c>
      <c r="C151" s="50">
        <v>6</v>
      </c>
      <c r="D151" s="50">
        <v>2.52</v>
      </c>
      <c r="E151" s="50">
        <v>42</v>
      </c>
      <c r="F151" s="50">
        <v>51</v>
      </c>
      <c r="G151" s="50">
        <v>2.54</v>
      </c>
    </row>
    <row r="152" spans="1:7" ht="15.75" thickBot="1" x14ac:dyDescent="0.3">
      <c r="A152" s="49" t="s">
        <v>125</v>
      </c>
      <c r="B152" s="51">
        <v>60</v>
      </c>
      <c r="C152" s="51">
        <v>6</v>
      </c>
      <c r="D152" s="51">
        <v>2.52</v>
      </c>
      <c r="E152" s="51">
        <v>42</v>
      </c>
      <c r="F152" s="51">
        <v>51</v>
      </c>
      <c r="G152" s="51">
        <v>2.56</v>
      </c>
    </row>
    <row r="153" spans="1:7" ht="15.75" thickBot="1" x14ac:dyDescent="0.3">
      <c r="A153" s="49" t="s">
        <v>126</v>
      </c>
      <c r="B153" s="50">
        <v>70</v>
      </c>
      <c r="C153" s="50">
        <v>6</v>
      </c>
      <c r="D153" s="50">
        <v>2.52</v>
      </c>
      <c r="E153" s="50">
        <v>42</v>
      </c>
      <c r="F153" s="50">
        <v>51</v>
      </c>
      <c r="G153" s="50">
        <v>2.58</v>
      </c>
    </row>
    <row r="154" spans="1:7" ht="15.75" thickBot="1" x14ac:dyDescent="0.3">
      <c r="A154" s="49" t="s">
        <v>127</v>
      </c>
      <c r="B154" s="51">
        <v>80</v>
      </c>
      <c r="C154" s="51">
        <v>6</v>
      </c>
      <c r="D154" s="51">
        <v>2.52</v>
      </c>
      <c r="E154" s="51">
        <v>42</v>
      </c>
      <c r="F154" s="51">
        <v>51</v>
      </c>
      <c r="G154" s="51">
        <v>2.6</v>
      </c>
    </row>
    <row r="155" spans="1:7" ht="15.75" thickBot="1" x14ac:dyDescent="0.3">
      <c r="A155" s="49" t="s">
        <v>128</v>
      </c>
      <c r="B155" s="50">
        <v>90</v>
      </c>
      <c r="C155" s="50">
        <v>6</v>
      </c>
      <c r="D155" s="50">
        <v>2.52</v>
      </c>
      <c r="E155" s="50">
        <v>42</v>
      </c>
      <c r="F155" s="50">
        <v>51</v>
      </c>
      <c r="G155" s="50">
        <v>2.62</v>
      </c>
    </row>
    <row r="156" spans="1:7" x14ac:dyDescent="0.25">
      <c r="A156" s="6"/>
    </row>
    <row r="157" spans="1:7" x14ac:dyDescent="0.25">
      <c r="A157" s="6"/>
    </row>
  </sheetData>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7"/>
  <sheetViews>
    <sheetView topLeftCell="A91" workbookViewId="0">
      <selection activeCell="G3" sqref="G3"/>
    </sheetView>
  </sheetViews>
  <sheetFormatPr baseColWidth="10" defaultRowHeight="15" x14ac:dyDescent="0.25"/>
  <cols>
    <col min="1" max="1" width="70.28515625" customWidth="1"/>
    <col min="2" max="2" width="28.85546875" bestFit="1" customWidth="1"/>
    <col min="3" max="3" width="29.140625" bestFit="1" customWidth="1"/>
  </cols>
  <sheetData>
    <row r="1" spans="1:2" x14ac:dyDescent="0.25">
      <c r="A1" s="52" t="s">
        <v>129</v>
      </c>
    </row>
    <row r="2" spans="1:2" x14ac:dyDescent="0.25">
      <c r="A2" s="52"/>
    </row>
    <row r="3" spans="1:2" ht="237" customHeight="1" x14ac:dyDescent="0.25"/>
    <row r="4" spans="1:2" x14ac:dyDescent="0.25">
      <c r="A4" s="52" t="s">
        <v>130</v>
      </c>
    </row>
    <row r="5" spans="1:2" ht="15.75" thickBot="1" x14ac:dyDescent="0.3">
      <c r="A5" s="52" t="s">
        <v>131</v>
      </c>
    </row>
    <row r="6" spans="1:2" ht="15.75" thickBot="1" x14ac:dyDescent="0.3">
      <c r="A6" s="53" t="s">
        <v>132</v>
      </c>
      <c r="B6" s="54">
        <v>45</v>
      </c>
    </row>
    <row r="7" spans="1:2" ht="15.75" thickBot="1" x14ac:dyDescent="0.3">
      <c r="A7" s="55" t="s">
        <v>133</v>
      </c>
      <c r="B7" s="56">
        <v>25</v>
      </c>
    </row>
    <row r="8" spans="1:2" ht="15.75" thickBot="1" x14ac:dyDescent="0.3">
      <c r="A8" s="55" t="s">
        <v>2</v>
      </c>
      <c r="B8" s="57">
        <v>100</v>
      </c>
    </row>
    <row r="9" spans="1:2" ht="15.75" thickBot="1" x14ac:dyDescent="0.3">
      <c r="A9" s="55" t="s">
        <v>9</v>
      </c>
      <c r="B9" s="56">
        <v>21</v>
      </c>
    </row>
    <row r="10" spans="1:2" ht="15.75" thickBot="1" x14ac:dyDescent="0.3">
      <c r="A10" s="55" t="s">
        <v>7</v>
      </c>
      <c r="B10" s="57">
        <v>7.64</v>
      </c>
    </row>
    <row r="11" spans="1:2" ht="15.75" thickBot="1" x14ac:dyDescent="0.3">
      <c r="A11" s="55" t="s">
        <v>8</v>
      </c>
      <c r="B11" s="58"/>
    </row>
    <row r="12" spans="1:2" ht="15.75" thickBot="1" x14ac:dyDescent="0.3">
      <c r="A12" s="55" t="s">
        <v>3</v>
      </c>
      <c r="B12" s="57">
        <v>3</v>
      </c>
    </row>
    <row r="13" spans="1:2" ht="15.75" thickBot="1" x14ac:dyDescent="0.3">
      <c r="A13" s="55" t="s">
        <v>10</v>
      </c>
      <c r="B13" s="58"/>
    </row>
    <row r="14" spans="1:2" ht="15.75" thickBot="1" x14ac:dyDescent="0.3">
      <c r="A14" s="55" t="s">
        <v>3</v>
      </c>
      <c r="B14" s="59">
        <v>2625</v>
      </c>
    </row>
    <row r="15" spans="1:2" x14ac:dyDescent="0.25">
      <c r="A15" s="52"/>
    </row>
    <row r="16" spans="1:2" x14ac:dyDescent="0.25">
      <c r="A16" s="52" t="s">
        <v>134</v>
      </c>
    </row>
    <row r="17" spans="1:3" ht="15.75" thickBot="1" x14ac:dyDescent="0.3">
      <c r="A17" s="52" t="s">
        <v>135</v>
      </c>
    </row>
    <row r="18" spans="1:3" ht="15.75" thickBot="1" x14ac:dyDescent="0.3">
      <c r="A18" s="60" t="s">
        <v>20</v>
      </c>
      <c r="B18" s="151" t="s">
        <v>136</v>
      </c>
      <c r="C18" s="152"/>
    </row>
    <row r="19" spans="1:3" ht="15.75" thickBot="1" x14ac:dyDescent="0.3">
      <c r="A19" s="61">
        <v>25</v>
      </c>
      <c r="B19" s="62">
        <v>5</v>
      </c>
      <c r="C19" s="148" t="s">
        <v>24</v>
      </c>
    </row>
    <row r="20" spans="1:3" ht="15.75" thickBot="1" x14ac:dyDescent="0.3">
      <c r="A20" s="63">
        <v>26</v>
      </c>
      <c r="B20" s="64">
        <v>5</v>
      </c>
      <c r="C20" s="149"/>
    </row>
    <row r="21" spans="1:3" ht="15.75" thickBot="1" x14ac:dyDescent="0.3">
      <c r="A21" s="61">
        <v>27</v>
      </c>
      <c r="B21" s="62">
        <v>10</v>
      </c>
      <c r="C21" s="150"/>
    </row>
    <row r="22" spans="1:3" ht="15.75" thickBot="1" x14ac:dyDescent="0.3">
      <c r="A22" s="63">
        <v>28</v>
      </c>
      <c r="B22" s="64">
        <v>8</v>
      </c>
      <c r="C22" s="145" t="s">
        <v>25</v>
      </c>
    </row>
    <row r="23" spans="1:3" ht="15.75" thickBot="1" x14ac:dyDescent="0.3">
      <c r="A23" s="61">
        <v>29</v>
      </c>
      <c r="B23" s="62">
        <v>9</v>
      </c>
      <c r="C23" s="146"/>
    </row>
    <row r="24" spans="1:3" ht="15.75" thickBot="1" x14ac:dyDescent="0.3">
      <c r="A24" s="63">
        <v>30</v>
      </c>
      <c r="B24" s="64">
        <v>5</v>
      </c>
      <c r="C24" s="147"/>
    </row>
    <row r="25" spans="1:3" ht="15.75" thickBot="1" x14ac:dyDescent="0.3">
      <c r="A25" s="61">
        <v>31</v>
      </c>
      <c r="B25" s="62">
        <v>8</v>
      </c>
      <c r="C25" s="148" t="s">
        <v>26</v>
      </c>
    </row>
    <row r="26" spans="1:3" ht="15.75" thickBot="1" x14ac:dyDescent="0.3">
      <c r="A26" s="63">
        <v>32</v>
      </c>
      <c r="B26" s="64">
        <v>6</v>
      </c>
      <c r="C26" s="149"/>
    </row>
    <row r="27" spans="1:3" ht="15.75" thickBot="1" x14ac:dyDescent="0.3">
      <c r="A27" s="61">
        <v>33</v>
      </c>
      <c r="B27" s="62">
        <v>5</v>
      </c>
      <c r="C27" s="150"/>
    </row>
    <row r="28" spans="1:3" ht="15.75" thickBot="1" x14ac:dyDescent="0.3">
      <c r="A28" s="63">
        <v>34</v>
      </c>
      <c r="B28" s="64">
        <v>7</v>
      </c>
      <c r="C28" s="145" t="s">
        <v>27</v>
      </c>
    </row>
    <row r="29" spans="1:3" ht="15.75" thickBot="1" x14ac:dyDescent="0.3">
      <c r="A29" s="61">
        <v>35</v>
      </c>
      <c r="B29" s="62">
        <v>11</v>
      </c>
      <c r="C29" s="146"/>
    </row>
    <row r="30" spans="1:3" ht="15.75" thickBot="1" x14ac:dyDescent="0.3">
      <c r="A30" s="63">
        <v>36</v>
      </c>
      <c r="B30" s="64">
        <v>3</v>
      </c>
      <c r="C30" s="147"/>
    </row>
    <row r="31" spans="1:3" ht="15.75" thickBot="1" x14ac:dyDescent="0.3">
      <c r="A31" s="61">
        <v>37</v>
      </c>
      <c r="B31" s="62">
        <v>2</v>
      </c>
      <c r="C31" s="148" t="s">
        <v>28</v>
      </c>
    </row>
    <row r="32" spans="1:3" ht="15.75" thickBot="1" x14ac:dyDescent="0.3">
      <c r="A32" s="63">
        <v>38</v>
      </c>
      <c r="B32" s="64">
        <v>3</v>
      </c>
      <c r="C32" s="149"/>
    </row>
    <row r="33" spans="1:4" ht="15.75" thickBot="1" x14ac:dyDescent="0.3">
      <c r="A33" s="61">
        <v>39</v>
      </c>
      <c r="B33" s="62">
        <v>1</v>
      </c>
      <c r="C33" s="150"/>
    </row>
    <row r="34" spans="1:4" ht="15.75" thickBot="1" x14ac:dyDescent="0.3">
      <c r="A34" s="63">
        <v>40</v>
      </c>
      <c r="B34" s="64">
        <v>1</v>
      </c>
      <c r="C34" s="145" t="s">
        <v>29</v>
      </c>
    </row>
    <row r="35" spans="1:4" ht="15.75" thickBot="1" x14ac:dyDescent="0.3">
      <c r="A35" s="61">
        <v>41</v>
      </c>
      <c r="B35" s="62">
        <v>2</v>
      </c>
      <c r="C35" s="146"/>
    </row>
    <row r="36" spans="1:4" ht="15.75" thickBot="1" x14ac:dyDescent="0.3">
      <c r="A36" s="63">
        <v>42</v>
      </c>
      <c r="B36" s="64">
        <v>2</v>
      </c>
      <c r="C36" s="147"/>
    </row>
    <row r="37" spans="1:4" ht="15.75" thickBot="1" x14ac:dyDescent="0.3">
      <c r="A37" s="61">
        <v>43</v>
      </c>
      <c r="B37" s="62">
        <v>2</v>
      </c>
      <c r="C37" s="148" t="s">
        <v>30</v>
      </c>
    </row>
    <row r="38" spans="1:4" ht="15.75" thickBot="1" x14ac:dyDescent="0.3">
      <c r="A38" s="63">
        <v>44</v>
      </c>
      <c r="B38" s="64">
        <v>2</v>
      </c>
      <c r="C38" s="149"/>
    </row>
    <row r="39" spans="1:4" ht="15.75" thickBot="1" x14ac:dyDescent="0.3">
      <c r="A39" s="61">
        <v>45</v>
      </c>
      <c r="B39" s="62">
        <v>3</v>
      </c>
      <c r="C39" s="150"/>
    </row>
    <row r="40" spans="1:4" ht="15.75" thickBot="1" x14ac:dyDescent="0.3">
      <c r="A40" s="63" t="s">
        <v>6</v>
      </c>
      <c r="B40" s="64">
        <v>100</v>
      </c>
      <c r="C40" s="65"/>
    </row>
    <row r="41" spans="1:4" x14ac:dyDescent="0.25">
      <c r="A41" s="52"/>
    </row>
    <row r="42" spans="1:4" x14ac:dyDescent="0.25">
      <c r="A42" s="66" t="s">
        <v>18</v>
      </c>
    </row>
    <row r="43" spans="1:4" ht="15.75" thickBot="1" x14ac:dyDescent="0.3">
      <c r="A43" s="52" t="s">
        <v>137</v>
      </c>
    </row>
    <row r="44" spans="1:4" ht="15.75" thickBot="1" x14ac:dyDescent="0.3">
      <c r="A44" s="67" t="s">
        <v>5</v>
      </c>
      <c r="B44" s="68" t="s">
        <v>138</v>
      </c>
      <c r="C44" s="68" t="s">
        <v>13</v>
      </c>
      <c r="D44" s="69" t="s">
        <v>16</v>
      </c>
    </row>
    <row r="45" spans="1:4" ht="15.75" thickBot="1" x14ac:dyDescent="0.3">
      <c r="A45" s="70">
        <v>1</v>
      </c>
      <c r="B45" s="71">
        <v>25</v>
      </c>
      <c r="C45" s="71">
        <v>27</v>
      </c>
      <c r="D45" s="71">
        <v>26</v>
      </c>
    </row>
    <row r="46" spans="1:4" ht="15.75" thickBot="1" x14ac:dyDescent="0.3">
      <c r="A46" s="70">
        <v>2</v>
      </c>
      <c r="B46" s="72">
        <v>27</v>
      </c>
      <c r="C46" s="72">
        <v>30</v>
      </c>
      <c r="D46" s="72">
        <v>28.5</v>
      </c>
    </row>
    <row r="47" spans="1:4" ht="15.75" thickBot="1" x14ac:dyDescent="0.3">
      <c r="A47" s="70">
        <v>3</v>
      </c>
      <c r="B47" s="71">
        <v>30</v>
      </c>
      <c r="C47" s="71">
        <v>33</v>
      </c>
      <c r="D47" s="71">
        <v>31.5</v>
      </c>
    </row>
    <row r="48" spans="1:4" ht="15.75" thickBot="1" x14ac:dyDescent="0.3">
      <c r="A48" s="70">
        <v>4</v>
      </c>
      <c r="B48" s="72">
        <v>33</v>
      </c>
      <c r="C48" s="72">
        <v>36</v>
      </c>
      <c r="D48" s="72">
        <v>34.5</v>
      </c>
    </row>
    <row r="49" spans="1:6" ht="15.75" thickBot="1" x14ac:dyDescent="0.3">
      <c r="A49" s="70">
        <v>5</v>
      </c>
      <c r="B49" s="71">
        <v>36</v>
      </c>
      <c r="C49" s="71">
        <v>39</v>
      </c>
      <c r="D49" s="71">
        <v>37.5</v>
      </c>
    </row>
    <row r="50" spans="1:6" ht="15.75" thickBot="1" x14ac:dyDescent="0.3">
      <c r="A50" s="70">
        <v>6</v>
      </c>
      <c r="B50" s="72">
        <v>39</v>
      </c>
      <c r="C50" s="72">
        <v>42</v>
      </c>
      <c r="D50" s="72">
        <v>40.5</v>
      </c>
    </row>
    <row r="51" spans="1:6" ht="15.75" thickBot="1" x14ac:dyDescent="0.3">
      <c r="A51" s="70">
        <v>7</v>
      </c>
      <c r="B51" s="71">
        <v>42</v>
      </c>
      <c r="C51" s="71">
        <v>45</v>
      </c>
      <c r="D51" s="71">
        <v>43.5</v>
      </c>
    </row>
    <row r="52" spans="1:6" x14ac:dyDescent="0.25">
      <c r="A52" s="52"/>
    </row>
    <row r="53" spans="1:6" ht="15.75" thickBot="1" x14ac:dyDescent="0.3">
      <c r="A53" s="52" t="s">
        <v>139</v>
      </c>
    </row>
    <row r="54" spans="1:6" ht="15.75" thickBot="1" x14ac:dyDescent="0.3">
      <c r="A54" s="73" t="s">
        <v>5</v>
      </c>
      <c r="B54" s="74" t="s">
        <v>138</v>
      </c>
      <c r="C54" s="74" t="s">
        <v>13</v>
      </c>
      <c r="D54" s="74" t="s">
        <v>16</v>
      </c>
      <c r="E54" s="74" t="s">
        <v>12</v>
      </c>
      <c r="F54" s="75" t="s">
        <v>17</v>
      </c>
    </row>
    <row r="55" spans="1:6" ht="15.75" thickBot="1" x14ac:dyDescent="0.3">
      <c r="A55" s="76">
        <v>1</v>
      </c>
      <c r="B55" s="77">
        <v>25</v>
      </c>
      <c r="C55" s="77">
        <v>27</v>
      </c>
      <c r="D55" s="77">
        <v>26</v>
      </c>
      <c r="E55" s="77">
        <v>20</v>
      </c>
      <c r="F55" s="77">
        <v>520</v>
      </c>
    </row>
    <row r="56" spans="1:6" ht="15.75" thickBot="1" x14ac:dyDescent="0.3">
      <c r="A56" s="76">
        <v>2</v>
      </c>
      <c r="B56" s="78">
        <v>27</v>
      </c>
      <c r="C56" s="78">
        <v>30</v>
      </c>
      <c r="D56" s="78">
        <v>28.5</v>
      </c>
      <c r="E56" s="78">
        <v>22</v>
      </c>
      <c r="F56" s="78">
        <v>627</v>
      </c>
    </row>
    <row r="57" spans="1:6" ht="15.75" thickBot="1" x14ac:dyDescent="0.3">
      <c r="A57" s="76">
        <v>3</v>
      </c>
      <c r="B57" s="77">
        <v>30</v>
      </c>
      <c r="C57" s="77">
        <v>33</v>
      </c>
      <c r="D57" s="77">
        <v>31.5</v>
      </c>
      <c r="E57" s="77">
        <v>19</v>
      </c>
      <c r="F57" s="77">
        <v>598.5</v>
      </c>
    </row>
    <row r="58" spans="1:6" ht="15.75" thickBot="1" x14ac:dyDescent="0.3">
      <c r="A58" s="76">
        <v>4</v>
      </c>
      <c r="B58" s="78">
        <v>33</v>
      </c>
      <c r="C58" s="78">
        <v>36</v>
      </c>
      <c r="D58" s="78">
        <v>34.5</v>
      </c>
      <c r="E58" s="78">
        <v>21</v>
      </c>
      <c r="F58" s="78">
        <v>724.5</v>
      </c>
    </row>
    <row r="59" spans="1:6" ht="15.75" thickBot="1" x14ac:dyDescent="0.3">
      <c r="A59" s="76">
        <v>5</v>
      </c>
      <c r="B59" s="77">
        <v>36</v>
      </c>
      <c r="C59" s="77">
        <v>39</v>
      </c>
      <c r="D59" s="77">
        <v>37.5</v>
      </c>
      <c r="E59" s="77">
        <v>6</v>
      </c>
      <c r="F59" s="77">
        <v>225</v>
      </c>
    </row>
    <row r="60" spans="1:6" ht="15.75" thickBot="1" x14ac:dyDescent="0.3">
      <c r="A60" s="76">
        <v>6</v>
      </c>
      <c r="B60" s="78">
        <v>39</v>
      </c>
      <c r="C60" s="78">
        <v>42</v>
      </c>
      <c r="D60" s="78">
        <v>40.5</v>
      </c>
      <c r="E60" s="78">
        <v>5</v>
      </c>
      <c r="F60" s="78">
        <v>202.5</v>
      </c>
    </row>
    <row r="61" spans="1:6" ht="15.75" thickBot="1" x14ac:dyDescent="0.3">
      <c r="A61" s="76">
        <v>7</v>
      </c>
      <c r="B61" s="77">
        <v>42</v>
      </c>
      <c r="C61" s="77">
        <v>45</v>
      </c>
      <c r="D61" s="77">
        <v>43.5</v>
      </c>
      <c r="E61" s="77">
        <v>7</v>
      </c>
      <c r="F61" s="77">
        <v>304.5</v>
      </c>
    </row>
    <row r="62" spans="1:6" ht="15.75" thickBot="1" x14ac:dyDescent="0.3">
      <c r="A62" s="76" t="s">
        <v>6</v>
      </c>
      <c r="B62" s="65"/>
      <c r="C62" s="65"/>
      <c r="D62" s="65"/>
      <c r="E62" s="78">
        <v>100</v>
      </c>
      <c r="F62" s="78">
        <v>3202</v>
      </c>
    </row>
    <row r="63" spans="1:6" x14ac:dyDescent="0.25">
      <c r="A63" s="52"/>
    </row>
    <row r="64" spans="1:6" x14ac:dyDescent="0.25">
      <c r="A64" s="52" t="s">
        <v>140</v>
      </c>
    </row>
    <row r="65" spans="1:2" x14ac:dyDescent="0.25">
      <c r="A65" s="66" t="s">
        <v>19</v>
      </c>
    </row>
    <row r="66" spans="1:2" ht="15.75" thickBot="1" x14ac:dyDescent="0.3">
      <c r="A66" s="52" t="s">
        <v>141</v>
      </c>
    </row>
    <row r="67" spans="1:2" ht="15.75" thickBot="1" x14ac:dyDescent="0.3">
      <c r="A67" s="79" t="s">
        <v>20</v>
      </c>
      <c r="B67" s="80" t="s">
        <v>136</v>
      </c>
    </row>
    <row r="68" spans="1:2" ht="15.75" thickBot="1" x14ac:dyDescent="0.3">
      <c r="A68" s="81">
        <v>25</v>
      </c>
      <c r="B68" s="82">
        <v>5</v>
      </c>
    </row>
    <row r="69" spans="1:2" ht="15.75" thickBot="1" x14ac:dyDescent="0.3">
      <c r="A69" s="83">
        <v>26</v>
      </c>
      <c r="B69" s="84">
        <v>5</v>
      </c>
    </row>
    <row r="70" spans="1:2" ht="15.75" thickBot="1" x14ac:dyDescent="0.3">
      <c r="A70" s="81">
        <v>27</v>
      </c>
      <c r="B70" s="82">
        <v>10</v>
      </c>
    </row>
    <row r="71" spans="1:2" ht="15.75" thickBot="1" x14ac:dyDescent="0.3">
      <c r="A71" s="83">
        <v>28</v>
      </c>
      <c r="B71" s="84">
        <v>8</v>
      </c>
    </row>
    <row r="72" spans="1:2" ht="15.75" thickBot="1" x14ac:dyDescent="0.3">
      <c r="A72" s="81">
        <v>29</v>
      </c>
      <c r="B72" s="82">
        <v>9</v>
      </c>
    </row>
    <row r="73" spans="1:2" ht="15.75" thickBot="1" x14ac:dyDescent="0.3">
      <c r="A73" s="83">
        <v>30</v>
      </c>
      <c r="B73" s="84">
        <v>5</v>
      </c>
    </row>
    <row r="74" spans="1:2" ht="15.75" thickBot="1" x14ac:dyDescent="0.3">
      <c r="A74" s="81">
        <v>31</v>
      </c>
      <c r="B74" s="82">
        <v>8</v>
      </c>
    </row>
    <row r="75" spans="1:2" ht="15.75" thickBot="1" x14ac:dyDescent="0.3">
      <c r="A75" s="83">
        <v>32</v>
      </c>
      <c r="B75" s="84">
        <v>6</v>
      </c>
    </row>
    <row r="76" spans="1:2" ht="15.75" thickBot="1" x14ac:dyDescent="0.3">
      <c r="A76" s="81">
        <v>33</v>
      </c>
      <c r="B76" s="82">
        <v>5</v>
      </c>
    </row>
    <row r="77" spans="1:2" ht="15.75" thickBot="1" x14ac:dyDescent="0.3">
      <c r="A77" s="83">
        <v>34</v>
      </c>
      <c r="B77" s="84">
        <v>7</v>
      </c>
    </row>
    <row r="78" spans="1:2" ht="15.75" thickBot="1" x14ac:dyDescent="0.3">
      <c r="A78" s="81">
        <v>35</v>
      </c>
      <c r="B78" s="82">
        <v>11</v>
      </c>
    </row>
    <row r="79" spans="1:2" ht="15.75" thickBot="1" x14ac:dyDescent="0.3">
      <c r="A79" s="83">
        <v>36</v>
      </c>
      <c r="B79" s="84">
        <v>3</v>
      </c>
    </row>
    <row r="80" spans="1:2" ht="15.75" thickBot="1" x14ac:dyDescent="0.3">
      <c r="A80" s="81">
        <v>37</v>
      </c>
      <c r="B80" s="82">
        <v>2</v>
      </c>
    </row>
    <row r="81" spans="1:5" ht="15.75" thickBot="1" x14ac:dyDescent="0.3">
      <c r="A81" s="83">
        <v>38</v>
      </c>
      <c r="B81" s="84">
        <v>3</v>
      </c>
    </row>
    <row r="82" spans="1:5" ht="15.75" thickBot="1" x14ac:dyDescent="0.3">
      <c r="A82" s="81">
        <v>39</v>
      </c>
      <c r="B82" s="82">
        <v>1</v>
      </c>
    </row>
    <row r="83" spans="1:5" ht="15.75" thickBot="1" x14ac:dyDescent="0.3">
      <c r="A83" s="83">
        <v>40</v>
      </c>
      <c r="B83" s="84">
        <v>1</v>
      </c>
    </row>
    <row r="84" spans="1:5" ht="15.75" thickBot="1" x14ac:dyDescent="0.3">
      <c r="A84" s="81">
        <v>41</v>
      </c>
      <c r="B84" s="82">
        <v>2</v>
      </c>
    </row>
    <row r="85" spans="1:5" ht="15.75" thickBot="1" x14ac:dyDescent="0.3">
      <c r="A85" s="83">
        <v>42</v>
      </c>
      <c r="B85" s="84">
        <v>2</v>
      </c>
    </row>
    <row r="86" spans="1:5" ht="15.75" thickBot="1" x14ac:dyDescent="0.3">
      <c r="A86" s="81">
        <v>43</v>
      </c>
      <c r="B86" s="82">
        <v>2</v>
      </c>
    </row>
    <row r="87" spans="1:5" ht="15.75" thickBot="1" x14ac:dyDescent="0.3">
      <c r="A87" s="83">
        <v>44</v>
      </c>
      <c r="B87" s="84">
        <v>2</v>
      </c>
    </row>
    <row r="88" spans="1:5" ht="15.75" thickBot="1" x14ac:dyDescent="0.3">
      <c r="A88" s="81">
        <v>45</v>
      </c>
      <c r="B88" s="82">
        <v>3</v>
      </c>
    </row>
    <row r="89" spans="1:5" ht="15.75" thickBot="1" x14ac:dyDescent="0.3">
      <c r="A89" s="83" t="s">
        <v>6</v>
      </c>
      <c r="B89" s="84">
        <v>100</v>
      </c>
    </row>
    <row r="90" spans="1:5" x14ac:dyDescent="0.25">
      <c r="A90" s="52"/>
    </row>
    <row r="91" spans="1:5" x14ac:dyDescent="0.25">
      <c r="A91" s="52" t="s">
        <v>142</v>
      </c>
    </row>
    <row r="92" spans="1:5" x14ac:dyDescent="0.25">
      <c r="A92" s="66" t="s">
        <v>143</v>
      </c>
    </row>
    <row r="93" spans="1:5" x14ac:dyDescent="0.25">
      <c r="A93" s="52" t="s">
        <v>144</v>
      </c>
    </row>
    <row r="94" spans="1:5" ht="15.75" thickBot="1" x14ac:dyDescent="0.3">
      <c r="A94" s="52" t="s">
        <v>145</v>
      </c>
    </row>
    <row r="95" spans="1:5" ht="15.75" thickBot="1" x14ac:dyDescent="0.3">
      <c r="A95" s="85" t="s">
        <v>5</v>
      </c>
      <c r="B95" s="86" t="s">
        <v>138</v>
      </c>
      <c r="C95" s="86" t="s">
        <v>13</v>
      </c>
      <c r="D95" s="86" t="s">
        <v>12</v>
      </c>
      <c r="E95" s="87" t="s">
        <v>15</v>
      </c>
    </row>
    <row r="96" spans="1:5" ht="15.75" thickBot="1" x14ac:dyDescent="0.3">
      <c r="A96" s="88">
        <v>1</v>
      </c>
      <c r="B96" s="89">
        <v>25</v>
      </c>
      <c r="C96" s="89">
        <v>27</v>
      </c>
      <c r="D96" s="89">
        <v>20</v>
      </c>
      <c r="E96" s="89">
        <v>20</v>
      </c>
    </row>
    <row r="97" spans="1:5" ht="15.75" thickBot="1" x14ac:dyDescent="0.3">
      <c r="A97" s="88">
        <v>2</v>
      </c>
      <c r="B97" s="90">
        <v>27</v>
      </c>
      <c r="C97" s="90">
        <v>30</v>
      </c>
      <c r="D97" s="90">
        <v>22</v>
      </c>
      <c r="E97" s="90">
        <v>42</v>
      </c>
    </row>
    <row r="98" spans="1:5" ht="15.75" thickBot="1" x14ac:dyDescent="0.3">
      <c r="A98" s="88">
        <v>3</v>
      </c>
      <c r="B98" s="89">
        <v>30</v>
      </c>
      <c r="C98" s="89">
        <v>33</v>
      </c>
      <c r="D98" s="89">
        <v>19</v>
      </c>
      <c r="E98" s="89">
        <v>61</v>
      </c>
    </row>
    <row r="99" spans="1:5" ht="15.75" thickBot="1" x14ac:dyDescent="0.3">
      <c r="A99" s="88">
        <v>4</v>
      </c>
      <c r="B99" s="90">
        <v>33</v>
      </c>
      <c r="C99" s="90">
        <v>36</v>
      </c>
      <c r="D99" s="90">
        <v>21</v>
      </c>
      <c r="E99" s="90">
        <v>82</v>
      </c>
    </row>
    <row r="100" spans="1:5" ht="15.75" thickBot="1" x14ac:dyDescent="0.3">
      <c r="A100" s="88">
        <v>5</v>
      </c>
      <c r="B100" s="89">
        <v>36</v>
      </c>
      <c r="C100" s="89">
        <v>39</v>
      </c>
      <c r="D100" s="89">
        <v>6</v>
      </c>
      <c r="E100" s="89">
        <v>88</v>
      </c>
    </row>
    <row r="101" spans="1:5" ht="15.75" thickBot="1" x14ac:dyDescent="0.3">
      <c r="A101" s="88">
        <v>6</v>
      </c>
      <c r="B101" s="90">
        <v>39</v>
      </c>
      <c r="C101" s="90">
        <v>42</v>
      </c>
      <c r="D101" s="90">
        <v>5</v>
      </c>
      <c r="E101" s="90">
        <v>93</v>
      </c>
    </row>
    <row r="102" spans="1:5" ht="15.75" thickBot="1" x14ac:dyDescent="0.3">
      <c r="A102" s="88">
        <v>7</v>
      </c>
      <c r="B102" s="89">
        <v>42</v>
      </c>
      <c r="C102" s="89">
        <v>45</v>
      </c>
      <c r="D102" s="89">
        <v>7</v>
      </c>
      <c r="E102" s="89">
        <v>100</v>
      </c>
    </row>
    <row r="103" spans="1:5" ht="15.75" thickBot="1" x14ac:dyDescent="0.3">
      <c r="A103" s="91" t="s">
        <v>6</v>
      </c>
      <c r="B103" s="58"/>
      <c r="C103" s="58"/>
      <c r="D103" s="90">
        <v>100</v>
      </c>
      <c r="E103" s="58"/>
    </row>
    <row r="104" spans="1:5" x14ac:dyDescent="0.25">
      <c r="A104" s="52"/>
    </row>
    <row r="105" spans="1:5" x14ac:dyDescent="0.25">
      <c r="A105" s="52" t="s">
        <v>146</v>
      </c>
    </row>
    <row r="106" spans="1:5" x14ac:dyDescent="0.25">
      <c r="A106" s="52" t="s">
        <v>147</v>
      </c>
    </row>
    <row r="107" spans="1:5" ht="43.5" customHeight="1" x14ac:dyDescent="0.25"/>
    <row r="108" spans="1:5" x14ac:dyDescent="0.25">
      <c r="A108" s="52" t="s">
        <v>148</v>
      </c>
    </row>
    <row r="109" spans="1:5" x14ac:dyDescent="0.25">
      <c r="A109" s="66" t="s">
        <v>149</v>
      </c>
    </row>
    <row r="110" spans="1:5" x14ac:dyDescent="0.25">
      <c r="A110" s="52" t="s">
        <v>150</v>
      </c>
    </row>
    <row r="111" spans="1:5" x14ac:dyDescent="0.25">
      <c r="A111" s="52" t="s">
        <v>101</v>
      </c>
    </row>
    <row r="112" spans="1:5" ht="15.75" thickBot="1" x14ac:dyDescent="0.3">
      <c r="A112" s="52" t="s">
        <v>151</v>
      </c>
    </row>
    <row r="113" spans="1:7" ht="15.75" thickBot="1" x14ac:dyDescent="0.3">
      <c r="A113" s="92" t="s">
        <v>5</v>
      </c>
      <c r="B113" s="93" t="s">
        <v>133</v>
      </c>
      <c r="C113" s="93" t="s">
        <v>132</v>
      </c>
      <c r="D113" s="93" t="s">
        <v>16</v>
      </c>
      <c r="E113" s="93" t="s">
        <v>66</v>
      </c>
      <c r="F113" s="93" t="s">
        <v>23</v>
      </c>
      <c r="G113" s="94" t="s">
        <v>31</v>
      </c>
    </row>
    <row r="114" spans="1:7" ht="15.75" thickBot="1" x14ac:dyDescent="0.3">
      <c r="A114" s="95">
        <v>1</v>
      </c>
      <c r="B114" s="96">
        <v>25</v>
      </c>
      <c r="C114" s="96">
        <v>27</v>
      </c>
      <c r="D114" s="96">
        <v>26</v>
      </c>
      <c r="E114" s="96">
        <v>20</v>
      </c>
      <c r="F114" s="96">
        <v>27.7</v>
      </c>
      <c r="G114" s="97">
        <v>5540166205</v>
      </c>
    </row>
    <row r="115" spans="1:7" ht="15.75" thickBot="1" x14ac:dyDescent="0.3">
      <c r="A115" s="95">
        <v>2</v>
      </c>
      <c r="B115" s="98">
        <v>27</v>
      </c>
      <c r="C115" s="98">
        <v>30</v>
      </c>
      <c r="D115" s="98">
        <v>28.5</v>
      </c>
      <c r="E115" s="98">
        <v>22</v>
      </c>
      <c r="F115" s="98">
        <v>7.64</v>
      </c>
      <c r="G115" s="99">
        <v>1679709141</v>
      </c>
    </row>
    <row r="116" spans="1:7" ht="15.75" thickBot="1" x14ac:dyDescent="0.3">
      <c r="A116" s="95">
        <v>3</v>
      </c>
      <c r="B116" s="96">
        <v>30</v>
      </c>
      <c r="C116" s="96">
        <v>33</v>
      </c>
      <c r="D116" s="96">
        <v>31.5</v>
      </c>
      <c r="E116" s="96">
        <v>19</v>
      </c>
      <c r="F116" s="96">
        <v>0.06</v>
      </c>
      <c r="G116" s="97">
        <v>1065789474</v>
      </c>
    </row>
    <row r="117" spans="1:7" ht="15.75" thickBot="1" x14ac:dyDescent="0.3">
      <c r="A117" s="95">
        <v>4</v>
      </c>
      <c r="B117" s="98">
        <v>33</v>
      </c>
      <c r="C117" s="98">
        <v>36</v>
      </c>
      <c r="D117" s="98">
        <v>34.5</v>
      </c>
      <c r="E117" s="98">
        <v>21</v>
      </c>
      <c r="F117" s="98">
        <v>10.48</v>
      </c>
      <c r="G117" s="99">
        <v>2200200831</v>
      </c>
    </row>
    <row r="118" spans="1:7" ht="15.75" thickBot="1" x14ac:dyDescent="0.3">
      <c r="A118" s="95">
        <v>5</v>
      </c>
      <c r="B118" s="96">
        <v>36</v>
      </c>
      <c r="C118" s="96">
        <v>39</v>
      </c>
      <c r="D118" s="96">
        <v>37.5</v>
      </c>
      <c r="E118" s="96">
        <v>6</v>
      </c>
      <c r="F118" s="96">
        <v>38.9</v>
      </c>
      <c r="G118" s="97">
        <v>2333891967</v>
      </c>
    </row>
    <row r="119" spans="1:7" ht="15.75" thickBot="1" x14ac:dyDescent="0.3">
      <c r="A119" s="95">
        <v>6</v>
      </c>
      <c r="B119" s="98">
        <v>39</v>
      </c>
      <c r="C119" s="98">
        <v>42</v>
      </c>
      <c r="D119" s="98">
        <v>40.5</v>
      </c>
      <c r="E119" s="98">
        <v>5</v>
      </c>
      <c r="F119" s="98">
        <v>85.32</v>
      </c>
      <c r="G119" s="99">
        <v>4265962604</v>
      </c>
    </row>
    <row r="120" spans="1:7" ht="15.75" thickBot="1" x14ac:dyDescent="0.3">
      <c r="A120" s="95">
        <v>7</v>
      </c>
      <c r="B120" s="96">
        <v>42</v>
      </c>
      <c r="C120" s="96">
        <v>45</v>
      </c>
      <c r="D120" s="96">
        <v>43.5</v>
      </c>
      <c r="E120" s="96">
        <v>7</v>
      </c>
      <c r="F120" s="96">
        <v>149.74</v>
      </c>
      <c r="G120" s="97">
        <v>1048182133</v>
      </c>
    </row>
    <row r="121" spans="1:7" ht="15.75" thickBot="1" x14ac:dyDescent="0.3">
      <c r="A121" s="95" t="s">
        <v>6</v>
      </c>
      <c r="B121" s="65"/>
      <c r="C121" s="65"/>
      <c r="D121" s="65"/>
      <c r="E121" s="98">
        <v>100</v>
      </c>
      <c r="F121" s="65"/>
      <c r="G121" s="99">
        <v>2651240997</v>
      </c>
    </row>
    <row r="122" spans="1:7" x14ac:dyDescent="0.25">
      <c r="A122" s="52"/>
    </row>
    <row r="123" spans="1:7" ht="15.75" thickBot="1" x14ac:dyDescent="0.3">
      <c r="A123" s="52" t="s">
        <v>152</v>
      </c>
    </row>
    <row r="124" spans="1:7" ht="15.75" thickBot="1" x14ac:dyDescent="0.3">
      <c r="A124" s="100" t="s">
        <v>32</v>
      </c>
      <c r="B124" s="101">
        <v>2651240997</v>
      </c>
    </row>
    <row r="125" spans="1:7" ht="15.75" thickBot="1" x14ac:dyDescent="0.3">
      <c r="A125" s="102" t="s">
        <v>153</v>
      </c>
      <c r="B125" s="103">
        <v>5149020292</v>
      </c>
    </row>
    <row r="126" spans="1:7" x14ac:dyDescent="0.25">
      <c r="A126" s="52"/>
    </row>
    <row r="127" spans="1:7" x14ac:dyDescent="0.25">
      <c r="A127" s="66" t="s">
        <v>154</v>
      </c>
    </row>
    <row r="128" spans="1:7" x14ac:dyDescent="0.25">
      <c r="A128" s="52" t="s">
        <v>155</v>
      </c>
    </row>
    <row r="129" spans="1:7" ht="15.75" thickBot="1" x14ac:dyDescent="0.3">
      <c r="A129" s="52" t="s">
        <v>156</v>
      </c>
    </row>
    <row r="130" spans="1:7" ht="15.75" thickBot="1" x14ac:dyDescent="0.3">
      <c r="A130" s="60" t="s">
        <v>34</v>
      </c>
      <c r="B130" s="104" t="s">
        <v>35</v>
      </c>
      <c r="C130" s="104" t="s">
        <v>5</v>
      </c>
      <c r="D130" s="104" t="s">
        <v>157</v>
      </c>
      <c r="E130" s="104" t="s">
        <v>36</v>
      </c>
      <c r="F130" s="104" t="s">
        <v>37</v>
      </c>
      <c r="G130" s="105" t="s">
        <v>38</v>
      </c>
    </row>
    <row r="131" spans="1:7" ht="15.75" thickBot="1" x14ac:dyDescent="0.3">
      <c r="A131" s="106">
        <v>1</v>
      </c>
      <c r="B131" s="57">
        <v>25</v>
      </c>
      <c r="C131" s="57">
        <v>2</v>
      </c>
      <c r="D131" s="57">
        <v>27</v>
      </c>
      <c r="E131" s="57">
        <v>20</v>
      </c>
      <c r="F131" s="57">
        <v>22</v>
      </c>
      <c r="G131" s="57">
        <v>27.68</v>
      </c>
    </row>
    <row r="132" spans="1:7" ht="15.75" thickBot="1" x14ac:dyDescent="0.3">
      <c r="A132" s="106">
        <v>2</v>
      </c>
      <c r="B132" s="56">
        <v>50</v>
      </c>
      <c r="C132" s="56">
        <v>3</v>
      </c>
      <c r="D132" s="56">
        <v>30</v>
      </c>
      <c r="E132" s="56">
        <v>42</v>
      </c>
      <c r="F132" s="56">
        <v>19</v>
      </c>
      <c r="G132" s="56">
        <v>31.26</v>
      </c>
    </row>
    <row r="133" spans="1:7" ht="15.75" thickBot="1" x14ac:dyDescent="0.3">
      <c r="A133" s="106">
        <v>3</v>
      </c>
      <c r="B133" s="57">
        <v>75</v>
      </c>
      <c r="C133" s="57">
        <v>4</v>
      </c>
      <c r="D133" s="57">
        <v>33</v>
      </c>
      <c r="E133" s="57">
        <v>61</v>
      </c>
      <c r="F133" s="57">
        <v>21</v>
      </c>
      <c r="G133" s="57">
        <v>35</v>
      </c>
    </row>
    <row r="134" spans="1:7" x14ac:dyDescent="0.25">
      <c r="A134" s="52"/>
    </row>
    <row r="135" spans="1:7" x14ac:dyDescent="0.25">
      <c r="A135" s="66" t="s">
        <v>117</v>
      </c>
    </row>
    <row r="136" spans="1:7" x14ac:dyDescent="0.25">
      <c r="A136" s="52" t="s">
        <v>158</v>
      </c>
    </row>
    <row r="137" spans="1:7" ht="15.75" thickBot="1" x14ac:dyDescent="0.3">
      <c r="A137" s="52" t="s">
        <v>159</v>
      </c>
    </row>
    <row r="138" spans="1:7" ht="15.75" thickBot="1" x14ac:dyDescent="0.3">
      <c r="A138" s="107" t="s">
        <v>39</v>
      </c>
      <c r="B138" s="108" t="s">
        <v>35</v>
      </c>
      <c r="C138" s="108" t="s">
        <v>5</v>
      </c>
      <c r="D138" s="108" t="s">
        <v>83</v>
      </c>
      <c r="E138" s="108" t="s">
        <v>41</v>
      </c>
      <c r="F138" s="108" t="s">
        <v>37</v>
      </c>
      <c r="G138" s="109"/>
    </row>
    <row r="139" spans="1:7" ht="15.75" thickBot="1" x14ac:dyDescent="0.3">
      <c r="A139" s="110">
        <v>1</v>
      </c>
      <c r="B139" s="62">
        <v>10</v>
      </c>
      <c r="C139" s="62">
        <v>1</v>
      </c>
      <c r="D139" s="62">
        <v>25</v>
      </c>
      <c r="E139" s="62">
        <v>0</v>
      </c>
      <c r="F139" s="62">
        <v>20</v>
      </c>
      <c r="G139" s="62">
        <v>26.5</v>
      </c>
    </row>
    <row r="140" spans="1:7" ht="15.75" thickBot="1" x14ac:dyDescent="0.3">
      <c r="A140" s="110">
        <v>2</v>
      </c>
      <c r="B140" s="64">
        <v>20</v>
      </c>
      <c r="C140" s="64">
        <v>1</v>
      </c>
      <c r="D140" s="64">
        <v>25</v>
      </c>
      <c r="E140" s="64">
        <v>0</v>
      </c>
      <c r="F140" s="64">
        <v>20</v>
      </c>
      <c r="G140" s="64">
        <v>28</v>
      </c>
    </row>
    <row r="141" spans="1:7" ht="15.75" thickBot="1" x14ac:dyDescent="0.3">
      <c r="A141" s="110">
        <v>3</v>
      </c>
      <c r="B141" s="62">
        <v>30</v>
      </c>
      <c r="C141" s="62">
        <v>2</v>
      </c>
      <c r="D141" s="62">
        <v>27</v>
      </c>
      <c r="E141" s="62">
        <v>20</v>
      </c>
      <c r="F141" s="62">
        <v>22</v>
      </c>
      <c r="G141" s="62">
        <v>28.36</v>
      </c>
    </row>
    <row r="142" spans="1:7" ht="15.75" thickBot="1" x14ac:dyDescent="0.3">
      <c r="A142" s="110">
        <v>4</v>
      </c>
      <c r="B142" s="64">
        <v>40</v>
      </c>
      <c r="C142" s="64">
        <v>2</v>
      </c>
      <c r="D142" s="64">
        <v>27</v>
      </c>
      <c r="E142" s="64">
        <v>20</v>
      </c>
      <c r="F142" s="64">
        <v>22</v>
      </c>
      <c r="G142" s="64">
        <v>29.73</v>
      </c>
    </row>
    <row r="143" spans="1:7" ht="15.75" thickBot="1" x14ac:dyDescent="0.3">
      <c r="A143" s="110">
        <v>5</v>
      </c>
      <c r="B143" s="62">
        <v>50</v>
      </c>
      <c r="C143" s="62">
        <v>3</v>
      </c>
      <c r="D143" s="62">
        <v>30</v>
      </c>
      <c r="E143" s="62">
        <v>42</v>
      </c>
      <c r="F143" s="62">
        <v>19</v>
      </c>
      <c r="G143" s="62">
        <v>31.26</v>
      </c>
    </row>
    <row r="144" spans="1:7" ht="15.75" thickBot="1" x14ac:dyDescent="0.3">
      <c r="A144" s="110">
        <v>6</v>
      </c>
      <c r="B144" s="64">
        <v>60</v>
      </c>
      <c r="C144" s="64">
        <v>3</v>
      </c>
      <c r="D144" s="64">
        <v>30</v>
      </c>
      <c r="E144" s="64">
        <v>42</v>
      </c>
      <c r="F144" s="64">
        <v>19</v>
      </c>
      <c r="G144" s="64">
        <v>32.840000000000003</v>
      </c>
    </row>
    <row r="145" spans="1:7" ht="15.75" thickBot="1" x14ac:dyDescent="0.3">
      <c r="A145" s="110">
        <v>7</v>
      </c>
      <c r="B145" s="62">
        <v>70</v>
      </c>
      <c r="C145" s="62">
        <v>4</v>
      </c>
      <c r="D145" s="62">
        <v>33</v>
      </c>
      <c r="E145" s="62">
        <v>61</v>
      </c>
      <c r="F145" s="62">
        <v>21</v>
      </c>
      <c r="G145" s="62">
        <v>34.29</v>
      </c>
    </row>
    <row r="146" spans="1:7" ht="15.75" thickBot="1" x14ac:dyDescent="0.3">
      <c r="A146" s="110">
        <v>8</v>
      </c>
      <c r="B146" s="64">
        <v>80</v>
      </c>
      <c r="C146" s="64">
        <v>4</v>
      </c>
      <c r="D146" s="64">
        <v>33</v>
      </c>
      <c r="E146" s="64">
        <v>61</v>
      </c>
      <c r="F146" s="64">
        <v>21</v>
      </c>
      <c r="G146" s="64">
        <v>35.71</v>
      </c>
    </row>
    <row r="147" spans="1:7" ht="15.75" thickBot="1" x14ac:dyDescent="0.3">
      <c r="A147" s="110">
        <v>9</v>
      </c>
      <c r="B147" s="62">
        <v>90</v>
      </c>
      <c r="C147" s="62">
        <v>6</v>
      </c>
      <c r="D147" s="62">
        <v>39</v>
      </c>
      <c r="E147" s="62">
        <v>88</v>
      </c>
      <c r="F147" s="62">
        <v>5</v>
      </c>
      <c r="G147" s="62">
        <v>40.200000000000003</v>
      </c>
    </row>
  </sheetData>
  <mergeCells count="8">
    <mergeCell ref="C34:C36"/>
    <mergeCell ref="C37:C39"/>
    <mergeCell ref="B18:C18"/>
    <mergeCell ref="C19:C21"/>
    <mergeCell ref="C22:C24"/>
    <mergeCell ref="C25:C27"/>
    <mergeCell ref="C28:C30"/>
    <mergeCell ref="C31:C33"/>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5"/>
  <sheetViews>
    <sheetView topLeftCell="D59" workbookViewId="0">
      <selection activeCell="L10" sqref="L10"/>
    </sheetView>
  </sheetViews>
  <sheetFormatPr baseColWidth="10" defaultRowHeight="15" x14ac:dyDescent="0.25"/>
  <cols>
    <col min="1" max="1" width="18" style="118" bestFit="1" customWidth="1"/>
    <col min="2" max="2" width="16.28515625" style="113" bestFit="1" customWidth="1"/>
    <col min="3" max="3" width="16.28515625" style="113" customWidth="1"/>
    <col min="4" max="4" width="24.85546875" style="118" bestFit="1" customWidth="1"/>
    <col min="5" max="5" width="20.42578125" style="118" customWidth="1"/>
    <col min="6" max="6" width="31" style="118" bestFit="1" customWidth="1"/>
    <col min="7" max="7" width="22.28515625" style="118" bestFit="1" customWidth="1"/>
    <col min="8" max="8" width="22.28515625" style="118" customWidth="1"/>
    <col min="9" max="9" width="17.7109375" style="118" bestFit="1" customWidth="1"/>
    <col min="10" max="10" width="15.140625" style="118" bestFit="1" customWidth="1"/>
    <col min="11" max="16384" width="11.42578125" style="118"/>
  </cols>
  <sheetData>
    <row r="1" spans="1:12" x14ac:dyDescent="0.25">
      <c r="A1" s="118" t="s">
        <v>184</v>
      </c>
      <c r="D1" s="118" t="s">
        <v>185</v>
      </c>
      <c r="I1" s="118" t="s">
        <v>186</v>
      </c>
    </row>
    <row r="2" spans="1:12" x14ac:dyDescent="0.25">
      <c r="A2" s="118" t="s">
        <v>187</v>
      </c>
      <c r="B2" s="3">
        <v>0.13</v>
      </c>
      <c r="C2" s="3"/>
      <c r="D2" s="118" t="s">
        <v>187</v>
      </c>
      <c r="I2" s="118" t="s">
        <v>188</v>
      </c>
      <c r="J2" s="119">
        <v>0.15</v>
      </c>
    </row>
    <row r="3" spans="1:12" x14ac:dyDescent="0.25">
      <c r="A3" s="118" t="s">
        <v>189</v>
      </c>
      <c r="B3" s="120">
        <f>1.0237/100</f>
        <v>1.0237000000000001E-2</v>
      </c>
      <c r="C3" s="120"/>
      <c r="D3" s="118" t="s">
        <v>60</v>
      </c>
      <c r="E3" s="118" t="s">
        <v>190</v>
      </c>
      <c r="F3" s="118" t="s">
        <v>191</v>
      </c>
      <c r="G3" s="118" t="s">
        <v>192</v>
      </c>
      <c r="I3" s="118" t="s">
        <v>193</v>
      </c>
      <c r="J3" s="121">
        <f>1.1715/100</f>
        <v>1.1715E-2</v>
      </c>
    </row>
    <row r="4" spans="1:12" x14ac:dyDescent="0.25">
      <c r="A4" s="118" t="s">
        <v>194</v>
      </c>
      <c r="B4" s="113">
        <v>70000000</v>
      </c>
      <c r="D4" s="122">
        <v>1</v>
      </c>
      <c r="E4" s="123">
        <v>6.5000000000000002E-2</v>
      </c>
      <c r="F4" s="124">
        <f>(1+E4/100)^(30/360)-1</f>
        <v>5.4150536212160816E-5</v>
      </c>
      <c r="G4" s="125">
        <f>F4*12</f>
        <v>6.4980643454592979E-4</v>
      </c>
      <c r="H4" s="125"/>
      <c r="I4" s="118" t="s">
        <v>194</v>
      </c>
      <c r="J4" s="113">
        <v>70000000</v>
      </c>
    </row>
    <row r="5" spans="1:12" x14ac:dyDescent="0.25">
      <c r="A5" s="118" t="s">
        <v>195</v>
      </c>
      <c r="B5" s="113">
        <f>B4*0.3</f>
        <v>21000000</v>
      </c>
      <c r="D5" s="122">
        <v>2</v>
      </c>
      <c r="E5" s="123">
        <f>E4+1%</f>
        <v>7.4999999999999997E-2</v>
      </c>
      <c r="F5" s="124">
        <f t="shared" ref="F5:F18" si="0">(1+E5/100)^(30/360)-1</f>
        <v>6.2478525914011485E-5</v>
      </c>
      <c r="G5" s="125">
        <f t="shared" ref="G5:G18" si="1">F5*12</f>
        <v>7.4974231096813782E-4</v>
      </c>
      <c r="H5" s="125"/>
      <c r="I5" s="118" t="s">
        <v>195</v>
      </c>
      <c r="J5" s="113">
        <f>J4*0.3</f>
        <v>21000000</v>
      </c>
    </row>
    <row r="6" spans="1:12" x14ac:dyDescent="0.25">
      <c r="A6" s="118" t="s">
        <v>196</v>
      </c>
      <c r="B6" s="113">
        <f>B4-B5</f>
        <v>49000000</v>
      </c>
      <c r="D6" s="122">
        <v>3</v>
      </c>
      <c r="E6" s="123">
        <f t="shared" ref="E6:E18" si="2">E5+1%</f>
        <v>8.4999999999999992E-2</v>
      </c>
      <c r="F6" s="124">
        <f t="shared" si="0"/>
        <v>7.0805752823810408E-5</v>
      </c>
      <c r="G6" s="125">
        <f t="shared" si="1"/>
        <v>8.496690338857249E-4</v>
      </c>
      <c r="H6" s="125"/>
      <c r="I6" s="118" t="s">
        <v>196</v>
      </c>
      <c r="J6" s="113">
        <f>J4-J5</f>
        <v>49000000</v>
      </c>
    </row>
    <row r="7" spans="1:12" x14ac:dyDescent="0.25">
      <c r="A7" s="118" t="s">
        <v>197</v>
      </c>
      <c r="B7" s="126">
        <f>ABS(PMT(B3,(15*12),B6))</f>
        <v>597077.5281329049</v>
      </c>
      <c r="C7" s="126"/>
      <c r="D7" s="122">
        <v>4</v>
      </c>
      <c r="E7" s="123">
        <f t="shared" si="2"/>
        <v>9.4999999999999987E-2</v>
      </c>
      <c r="F7" s="124">
        <f t="shared" si="0"/>
        <v>7.9132217087662937E-5</v>
      </c>
      <c r="G7" s="125">
        <f t="shared" si="1"/>
        <v>9.4958660505195525E-4</v>
      </c>
      <c r="H7" s="125"/>
      <c r="I7" s="118" t="s">
        <v>197</v>
      </c>
      <c r="J7" s="113">
        <f>ABS(PMT(J3,120,J6))</f>
        <v>762515.25087393424</v>
      </c>
    </row>
    <row r="8" spans="1:12" x14ac:dyDescent="0.25">
      <c r="A8" s="118" t="s">
        <v>198</v>
      </c>
      <c r="B8" s="127">
        <f>15*12</f>
        <v>180</v>
      </c>
      <c r="C8" s="127"/>
      <c r="D8" s="122">
        <v>5</v>
      </c>
      <c r="E8" s="123">
        <f t="shared" si="2"/>
        <v>0.10499999999999998</v>
      </c>
      <c r="F8" s="124">
        <f t="shared" si="0"/>
        <v>8.7457918851674421E-5</v>
      </c>
      <c r="G8" s="125">
        <f t="shared" si="1"/>
        <v>1.0494950262200931E-3</v>
      </c>
      <c r="H8" s="125"/>
      <c r="I8" s="118" t="s">
        <v>198</v>
      </c>
      <c r="J8" s="118">
        <v>120</v>
      </c>
    </row>
    <row r="9" spans="1:12" x14ac:dyDescent="0.25">
      <c r="A9" s="118" t="s">
        <v>199</v>
      </c>
      <c r="B9" s="113">
        <f>B8*B7</f>
        <v>107473955.06392288</v>
      </c>
      <c r="D9" s="122">
        <v>6</v>
      </c>
      <c r="E9" s="123">
        <f t="shared" si="2"/>
        <v>0.11499999999999998</v>
      </c>
      <c r="F9" s="124">
        <f t="shared" si="0"/>
        <v>9.578285826195021E-5</v>
      </c>
      <c r="G9" s="125">
        <f t="shared" si="1"/>
        <v>1.1493942991434025E-3</v>
      </c>
      <c r="H9" s="125"/>
      <c r="I9" s="118" t="s">
        <v>200</v>
      </c>
      <c r="J9" s="113">
        <f>J8*J7</f>
        <v>91501830.104872108</v>
      </c>
    </row>
    <row r="10" spans="1:12" x14ac:dyDescent="0.25">
      <c r="D10" s="122">
        <v>7</v>
      </c>
      <c r="E10" s="123">
        <f t="shared" si="2"/>
        <v>0.12499999999999997</v>
      </c>
      <c r="F10" s="124">
        <f t="shared" si="0"/>
        <v>1.0410703546392952E-4</v>
      </c>
      <c r="G10" s="125">
        <f t="shared" si="1"/>
        <v>1.2492844255671542E-3</v>
      </c>
      <c r="H10" s="125"/>
    </row>
    <row r="11" spans="1:12" x14ac:dyDescent="0.25">
      <c r="D11" s="122">
        <v>8</v>
      </c>
      <c r="E11" s="123">
        <f t="shared" si="2"/>
        <v>0.13499999999999998</v>
      </c>
      <c r="F11" s="124">
        <f t="shared" si="0"/>
        <v>1.1243045060393975E-4</v>
      </c>
      <c r="G11" s="125">
        <f t="shared" si="1"/>
        <v>1.349165407247277E-3</v>
      </c>
      <c r="H11" s="125"/>
    </row>
    <row r="12" spans="1:12" x14ac:dyDescent="0.25">
      <c r="D12" s="122">
        <v>9</v>
      </c>
      <c r="E12" s="123">
        <f t="shared" si="2"/>
        <v>0.14499999999999999</v>
      </c>
      <c r="F12" s="124">
        <f t="shared" si="0"/>
        <v>1.2075310382786419E-4</v>
      </c>
      <c r="G12" s="125">
        <f t="shared" si="1"/>
        <v>1.4490372459343703E-3</v>
      </c>
      <c r="H12" s="125"/>
    </row>
    <row r="13" spans="1:12" x14ac:dyDescent="0.25">
      <c r="D13" s="122">
        <v>10</v>
      </c>
      <c r="E13" s="123">
        <f t="shared" si="2"/>
        <v>0.155</v>
      </c>
      <c r="F13" s="124">
        <f t="shared" si="0"/>
        <v>1.2907499528136412E-4</v>
      </c>
      <c r="G13" s="125">
        <f t="shared" si="1"/>
        <v>1.5488999433763695E-3</v>
      </c>
      <c r="H13" s="125"/>
      <c r="I13" s="118" t="s">
        <v>201</v>
      </c>
    </row>
    <row r="14" spans="1:12" x14ac:dyDescent="0.25">
      <c r="D14" s="122">
        <v>11</v>
      </c>
      <c r="E14" s="123">
        <f t="shared" si="2"/>
        <v>0.16500000000000001</v>
      </c>
      <c r="F14" s="124">
        <f t="shared" si="0"/>
        <v>1.373961251101008E-4</v>
      </c>
      <c r="G14" s="125">
        <f t="shared" si="1"/>
        <v>1.6487535013212096E-3</v>
      </c>
      <c r="H14" s="125"/>
    </row>
    <row r="15" spans="1:12" x14ac:dyDescent="0.25">
      <c r="D15" s="122">
        <v>12</v>
      </c>
      <c r="E15" s="123">
        <f t="shared" si="2"/>
        <v>0.17500000000000002</v>
      </c>
      <c r="F15" s="124">
        <f t="shared" si="0"/>
        <v>1.4571649345995752E-4</v>
      </c>
      <c r="G15" s="125">
        <f t="shared" si="1"/>
        <v>1.7485979215194902E-3</v>
      </c>
      <c r="H15" s="125"/>
      <c r="I15" s="154" t="s">
        <v>202</v>
      </c>
      <c r="J15" s="154"/>
      <c r="K15" s="154"/>
      <c r="L15" s="154"/>
    </row>
    <row r="16" spans="1:12" x14ac:dyDescent="0.25">
      <c r="D16" s="122">
        <v>13</v>
      </c>
      <c r="E16" s="123">
        <f t="shared" si="2"/>
        <v>0.18500000000000003</v>
      </c>
      <c r="F16" s="124">
        <f t="shared" si="0"/>
        <v>1.5403610047681759E-4</v>
      </c>
      <c r="G16" s="125">
        <f t="shared" si="1"/>
        <v>1.8484332057218111E-3</v>
      </c>
      <c r="H16" s="125"/>
      <c r="I16" s="154"/>
      <c r="J16" s="154"/>
      <c r="K16" s="154"/>
      <c r="L16" s="154"/>
    </row>
    <row r="17" spans="3:12" x14ac:dyDescent="0.25">
      <c r="D17" s="122">
        <v>14</v>
      </c>
      <c r="E17" s="123">
        <f t="shared" si="2"/>
        <v>0.19500000000000003</v>
      </c>
      <c r="F17" s="124">
        <f t="shared" si="0"/>
        <v>1.623549463058982E-4</v>
      </c>
      <c r="G17" s="125">
        <f t="shared" si="1"/>
        <v>1.9482593556707783E-3</v>
      </c>
      <c r="H17" s="125"/>
      <c r="I17" s="154"/>
      <c r="J17" s="154"/>
      <c r="K17" s="154"/>
      <c r="L17" s="154"/>
    </row>
    <row r="18" spans="3:12" x14ac:dyDescent="0.25">
      <c r="D18" s="122">
        <v>15</v>
      </c>
      <c r="E18" s="123">
        <f t="shared" si="2"/>
        <v>0.20500000000000004</v>
      </c>
      <c r="F18" s="124">
        <f t="shared" si="0"/>
        <v>1.7067303109308263E-4</v>
      </c>
      <c r="G18" s="125">
        <f t="shared" si="1"/>
        <v>2.0480763731169915E-3</v>
      </c>
      <c r="H18" s="125"/>
      <c r="I18" s="154"/>
      <c r="J18" s="154"/>
      <c r="K18" s="154"/>
      <c r="L18" s="154"/>
    </row>
    <row r="19" spans="3:12" x14ac:dyDescent="0.25">
      <c r="I19" s="154"/>
      <c r="J19" s="154"/>
      <c r="K19" s="154"/>
      <c r="L19" s="154"/>
    </row>
    <row r="23" spans="3:12" x14ac:dyDescent="0.25">
      <c r="C23" s="128" t="s">
        <v>60</v>
      </c>
      <c r="D23" s="118" t="s">
        <v>181</v>
      </c>
      <c r="E23" s="118" t="s">
        <v>203</v>
      </c>
      <c r="F23" s="118" t="s">
        <v>204</v>
      </c>
      <c r="G23" s="118" t="s">
        <v>205</v>
      </c>
      <c r="H23" s="118" t="s">
        <v>206</v>
      </c>
      <c r="I23" s="118" t="s">
        <v>207</v>
      </c>
    </row>
    <row r="24" spans="3:12" x14ac:dyDescent="0.25">
      <c r="C24" s="128"/>
      <c r="D24" s="118">
        <v>0</v>
      </c>
      <c r="I24" s="113">
        <v>35000000</v>
      </c>
    </row>
    <row r="25" spans="3:12" x14ac:dyDescent="0.25">
      <c r="C25" s="153">
        <v>1</v>
      </c>
      <c r="D25" s="118">
        <v>1</v>
      </c>
      <c r="E25" s="112">
        <f>$F$4</f>
        <v>5.4150536212160816E-5</v>
      </c>
      <c r="F25" s="129">
        <v>196063.5</v>
      </c>
      <c r="G25" s="129">
        <f>I24*E25</f>
        <v>1895.2687674256285</v>
      </c>
      <c r="H25" s="129">
        <f>F25-G25</f>
        <v>194168.23123257438</v>
      </c>
      <c r="I25" s="113">
        <f>I24-H25</f>
        <v>34805831.768767424</v>
      </c>
      <c r="J25" s="113">
        <f>H25</f>
        <v>194168.23123257438</v>
      </c>
    </row>
    <row r="26" spans="3:12" x14ac:dyDescent="0.25">
      <c r="C26" s="153"/>
      <c r="D26" s="118">
        <v>2</v>
      </c>
      <c r="E26" s="112">
        <f t="shared" ref="E26:E36" si="3">$F$4</f>
        <v>5.4150536212160816E-5</v>
      </c>
      <c r="F26" s="129">
        <v>196063.5</v>
      </c>
      <c r="G26" s="129">
        <f t="shared" ref="G26:G89" si="4">I25*E26</f>
        <v>1884.7544535890177</v>
      </c>
      <c r="H26" s="129">
        <f t="shared" ref="H26:H89" si="5">F26-G26</f>
        <v>194178.745546411</v>
      </c>
      <c r="I26" s="113">
        <f t="shared" ref="I26:I89" si="6">I25-H26</f>
        <v>34611653.023221016</v>
      </c>
      <c r="J26" s="113">
        <f>J25+H26</f>
        <v>388346.97677898535</v>
      </c>
    </row>
    <row r="27" spans="3:12" x14ac:dyDescent="0.25">
      <c r="C27" s="153"/>
      <c r="D27" s="118">
        <v>3</v>
      </c>
      <c r="E27" s="112">
        <f t="shared" si="3"/>
        <v>5.4150536212160816E-5</v>
      </c>
      <c r="F27" s="129">
        <v>196063.5</v>
      </c>
      <c r="G27" s="129">
        <f t="shared" si="4"/>
        <v>1874.2395703966749</v>
      </c>
      <c r="H27" s="129">
        <f t="shared" si="5"/>
        <v>194189.26042960334</v>
      </c>
      <c r="I27" s="113">
        <f t="shared" si="6"/>
        <v>34417463.76279141</v>
      </c>
      <c r="J27" s="113">
        <f t="shared" ref="J27:J90" si="7">J26+H27</f>
        <v>582536.23720858875</v>
      </c>
    </row>
    <row r="28" spans="3:12" x14ac:dyDescent="0.25">
      <c r="C28" s="153"/>
      <c r="D28" s="118">
        <v>4</v>
      </c>
      <c r="E28" s="112">
        <f t="shared" si="3"/>
        <v>5.4150536212160816E-5</v>
      </c>
      <c r="F28" s="129">
        <v>196063.5</v>
      </c>
      <c r="G28" s="129">
        <f t="shared" si="4"/>
        <v>1863.724117817769</v>
      </c>
      <c r="H28" s="129">
        <f t="shared" si="5"/>
        <v>194199.77588218224</v>
      </c>
      <c r="I28" s="113">
        <f t="shared" si="6"/>
        <v>34223263.986909226</v>
      </c>
      <c r="J28" s="113">
        <f t="shared" si="7"/>
        <v>776736.01309077092</v>
      </c>
    </row>
    <row r="29" spans="3:12" x14ac:dyDescent="0.25">
      <c r="C29" s="153"/>
      <c r="D29" s="118">
        <v>5</v>
      </c>
      <c r="E29" s="112">
        <f t="shared" si="3"/>
        <v>5.4150536212160816E-5</v>
      </c>
      <c r="F29" s="129">
        <v>196063.5</v>
      </c>
      <c r="G29" s="129">
        <f t="shared" si="4"/>
        <v>1853.2080958214672</v>
      </c>
      <c r="H29" s="129">
        <f t="shared" si="5"/>
        <v>194210.29190417854</v>
      </c>
      <c r="I29" s="113">
        <f t="shared" si="6"/>
        <v>34029053.695005044</v>
      </c>
      <c r="J29" s="113">
        <f t="shared" si="7"/>
        <v>970946.30499494949</v>
      </c>
    </row>
    <row r="30" spans="3:12" x14ac:dyDescent="0.25">
      <c r="C30" s="153"/>
      <c r="D30" s="118">
        <v>6</v>
      </c>
      <c r="E30" s="112">
        <f t="shared" si="3"/>
        <v>5.4150536212160816E-5</v>
      </c>
      <c r="F30" s="129">
        <v>196063.5</v>
      </c>
      <c r="G30" s="129">
        <f t="shared" si="4"/>
        <v>1842.6915043769354</v>
      </c>
      <c r="H30" s="129">
        <f t="shared" si="5"/>
        <v>194220.80849562306</v>
      </c>
      <c r="I30" s="113">
        <f t="shared" si="6"/>
        <v>33834832.886509418</v>
      </c>
      <c r="J30" s="113">
        <f t="shared" si="7"/>
        <v>1165167.1134905727</v>
      </c>
    </row>
    <row r="31" spans="3:12" x14ac:dyDescent="0.25">
      <c r="C31" s="153"/>
      <c r="D31" s="118">
        <v>7</v>
      </c>
      <c r="E31" s="112">
        <f t="shared" si="3"/>
        <v>5.4150536212160816E-5</v>
      </c>
      <c r="F31" s="129">
        <v>196063.5</v>
      </c>
      <c r="G31" s="129">
        <f t="shared" si="4"/>
        <v>1832.174343453338</v>
      </c>
      <c r="H31" s="129">
        <f t="shared" si="5"/>
        <v>194231.32565654666</v>
      </c>
      <c r="I31" s="113">
        <f t="shared" si="6"/>
        <v>33640601.56085287</v>
      </c>
      <c r="J31" s="113">
        <f t="shared" si="7"/>
        <v>1359398.4391471194</v>
      </c>
    </row>
    <row r="32" spans="3:12" x14ac:dyDescent="0.25">
      <c r="C32" s="153"/>
      <c r="D32" s="118">
        <v>8</v>
      </c>
      <c r="E32" s="112">
        <f t="shared" si="3"/>
        <v>5.4150536212160816E-5</v>
      </c>
      <c r="F32" s="129">
        <v>196063.5</v>
      </c>
      <c r="G32" s="129">
        <f t="shared" si="4"/>
        <v>1821.6566130198371</v>
      </c>
      <c r="H32" s="129">
        <f t="shared" si="5"/>
        <v>194241.84338698015</v>
      </c>
      <c r="I32" s="113">
        <f t="shared" si="6"/>
        <v>33446359.717465889</v>
      </c>
      <c r="J32" s="113">
        <f t="shared" si="7"/>
        <v>1553640.2825340996</v>
      </c>
    </row>
    <row r="33" spans="3:10" x14ac:dyDescent="0.25">
      <c r="C33" s="153"/>
      <c r="D33" s="118">
        <v>9</v>
      </c>
      <c r="E33" s="112">
        <f t="shared" si="3"/>
        <v>5.4150536212160816E-5</v>
      </c>
      <c r="F33" s="129">
        <v>196063.5</v>
      </c>
      <c r="G33" s="129">
        <f t="shared" si="4"/>
        <v>1811.1383130455933</v>
      </c>
      <c r="H33" s="129">
        <f t="shared" si="5"/>
        <v>194252.36168695442</v>
      </c>
      <c r="I33" s="113">
        <f t="shared" si="6"/>
        <v>33252107.355778933</v>
      </c>
      <c r="J33" s="113">
        <f t="shared" si="7"/>
        <v>1747892.6442210542</v>
      </c>
    </row>
    <row r="34" spans="3:10" x14ac:dyDescent="0.25">
      <c r="C34" s="153"/>
      <c r="D34" s="118">
        <v>10</v>
      </c>
      <c r="E34" s="112">
        <f t="shared" si="3"/>
        <v>5.4150536212160816E-5</v>
      </c>
      <c r="F34" s="129">
        <v>196063.5</v>
      </c>
      <c r="G34" s="129">
        <f t="shared" si="4"/>
        <v>1800.619443499766</v>
      </c>
      <c r="H34" s="129">
        <f t="shared" si="5"/>
        <v>194262.88055650023</v>
      </c>
      <c r="I34" s="113">
        <f t="shared" si="6"/>
        <v>33057844.475222431</v>
      </c>
      <c r="J34" s="113">
        <f t="shared" si="7"/>
        <v>1942155.5247775544</v>
      </c>
    </row>
    <row r="35" spans="3:10" x14ac:dyDescent="0.25">
      <c r="C35" s="153"/>
      <c r="D35" s="118">
        <v>11</v>
      </c>
      <c r="E35" s="112">
        <f t="shared" si="3"/>
        <v>5.4150536212160816E-5</v>
      </c>
      <c r="F35" s="129">
        <v>196063.5</v>
      </c>
      <c r="G35" s="129">
        <f t="shared" si="4"/>
        <v>1790.1000043515126</v>
      </c>
      <c r="H35" s="129">
        <f t="shared" si="5"/>
        <v>194273.39999564848</v>
      </c>
      <c r="I35" s="113">
        <f t="shared" si="6"/>
        <v>32863571.075226784</v>
      </c>
      <c r="J35" s="113">
        <f t="shared" si="7"/>
        <v>2136428.9247732027</v>
      </c>
    </row>
    <row r="36" spans="3:10" x14ac:dyDescent="0.25">
      <c r="C36" s="153"/>
      <c r="D36" s="118">
        <v>12</v>
      </c>
      <c r="E36" s="112">
        <f t="shared" si="3"/>
        <v>5.4150536212160816E-5</v>
      </c>
      <c r="F36" s="129">
        <v>196063.5</v>
      </c>
      <c r="G36" s="129">
        <f t="shared" si="4"/>
        <v>1779.5799955699888</v>
      </c>
      <c r="H36" s="129">
        <f t="shared" si="5"/>
        <v>194283.92000443002</v>
      </c>
      <c r="I36" s="113">
        <f t="shared" si="6"/>
        <v>32669287.155222353</v>
      </c>
      <c r="J36" s="113">
        <f t="shared" si="7"/>
        <v>2330712.844777633</v>
      </c>
    </row>
    <row r="37" spans="3:10" x14ac:dyDescent="0.25">
      <c r="C37" s="153">
        <v>2</v>
      </c>
      <c r="D37" s="118">
        <v>1</v>
      </c>
      <c r="E37" s="112">
        <f>$F$5</f>
        <v>6.2478525914011485E-5</v>
      </c>
      <c r="F37" s="129">
        <v>196063.5</v>
      </c>
      <c r="G37" s="129">
        <f t="shared" si="4"/>
        <v>2041.1289041198422</v>
      </c>
      <c r="H37" s="129">
        <f t="shared" si="5"/>
        <v>194022.37109588017</v>
      </c>
      <c r="I37" s="113">
        <f t="shared" si="6"/>
        <v>32475264.784126472</v>
      </c>
      <c r="J37" s="113">
        <f t="shared" si="7"/>
        <v>2524735.2158735134</v>
      </c>
    </row>
    <row r="38" spans="3:10" x14ac:dyDescent="0.25">
      <c r="C38" s="153"/>
      <c r="D38" s="118">
        <v>2</v>
      </c>
      <c r="E38" s="112">
        <f t="shared" ref="E38:E48" si="8">$F$5</f>
        <v>6.2478525914011485E-5</v>
      </c>
      <c r="F38" s="129">
        <v>196063.5</v>
      </c>
      <c r="G38" s="129">
        <f t="shared" si="4"/>
        <v>2029.0066723794303</v>
      </c>
      <c r="H38" s="129">
        <f t="shared" si="5"/>
        <v>194034.49332762056</v>
      </c>
      <c r="I38" s="113">
        <f t="shared" si="6"/>
        <v>32281230.29079885</v>
      </c>
      <c r="J38" s="113">
        <f t="shared" si="7"/>
        <v>2718769.7092011338</v>
      </c>
    </row>
    <row r="39" spans="3:10" x14ac:dyDescent="0.25">
      <c r="C39" s="153"/>
      <c r="D39" s="118">
        <v>3</v>
      </c>
      <c r="E39" s="112">
        <f t="shared" si="8"/>
        <v>6.2478525914011485E-5</v>
      </c>
      <c r="F39" s="129">
        <v>196063.5</v>
      </c>
      <c r="G39" s="129">
        <f t="shared" si="4"/>
        <v>2016.8836832598486</v>
      </c>
      <c r="H39" s="129">
        <f t="shared" si="5"/>
        <v>194046.61631674014</v>
      </c>
      <c r="I39" s="113">
        <f t="shared" si="6"/>
        <v>32087183.674482111</v>
      </c>
      <c r="J39" s="113">
        <f t="shared" si="7"/>
        <v>2912816.3255178737</v>
      </c>
    </row>
    <row r="40" spans="3:10" x14ac:dyDescent="0.25">
      <c r="C40" s="153"/>
      <c r="D40" s="118">
        <v>4</v>
      </c>
      <c r="E40" s="112">
        <f t="shared" si="8"/>
        <v>6.2478525914011485E-5</v>
      </c>
      <c r="F40" s="129">
        <v>196063.5</v>
      </c>
      <c r="G40" s="129">
        <f t="shared" si="4"/>
        <v>2004.7599367137768</v>
      </c>
      <c r="H40" s="129">
        <f t="shared" si="5"/>
        <v>194058.74006328621</v>
      </c>
      <c r="I40" s="113">
        <f t="shared" si="6"/>
        <v>31893124.934418824</v>
      </c>
      <c r="J40" s="113">
        <f t="shared" si="7"/>
        <v>3106875.0655811601</v>
      </c>
    </row>
    <row r="41" spans="3:10" x14ac:dyDescent="0.25">
      <c r="C41" s="153"/>
      <c r="D41" s="118">
        <v>5</v>
      </c>
      <c r="E41" s="112">
        <f t="shared" si="8"/>
        <v>6.2478525914011485E-5</v>
      </c>
      <c r="F41" s="129">
        <v>196063.5</v>
      </c>
      <c r="G41" s="129">
        <f t="shared" si="4"/>
        <v>1992.6354326938922</v>
      </c>
      <c r="H41" s="129">
        <f t="shared" si="5"/>
        <v>194070.8645673061</v>
      </c>
      <c r="I41" s="113">
        <f t="shared" si="6"/>
        <v>31699054.069851518</v>
      </c>
      <c r="J41" s="113">
        <f t="shared" si="7"/>
        <v>3300945.930148466</v>
      </c>
    </row>
    <row r="42" spans="3:10" x14ac:dyDescent="0.25">
      <c r="C42" s="153"/>
      <c r="D42" s="118">
        <v>6</v>
      </c>
      <c r="E42" s="112">
        <f t="shared" si="8"/>
        <v>6.2478525914011485E-5</v>
      </c>
      <c r="F42" s="129">
        <v>196063.5</v>
      </c>
      <c r="G42" s="129">
        <f t="shared" si="4"/>
        <v>1980.5101711528694</v>
      </c>
      <c r="H42" s="129">
        <f t="shared" si="5"/>
        <v>194082.98982884714</v>
      </c>
      <c r="I42" s="113">
        <f t="shared" si="6"/>
        <v>31504971.08002267</v>
      </c>
      <c r="J42" s="113">
        <f t="shared" si="7"/>
        <v>3495028.9199773134</v>
      </c>
    </row>
    <row r="43" spans="3:10" x14ac:dyDescent="0.25">
      <c r="C43" s="153"/>
      <c r="D43" s="118">
        <v>7</v>
      </c>
      <c r="E43" s="112">
        <f t="shared" si="8"/>
        <v>6.2478525914011485E-5</v>
      </c>
      <c r="F43" s="129">
        <v>196063.5</v>
      </c>
      <c r="G43" s="129">
        <f t="shared" si="4"/>
        <v>1968.3841520433789</v>
      </c>
      <c r="H43" s="129">
        <f t="shared" si="5"/>
        <v>194095.11584795662</v>
      </c>
      <c r="I43" s="113">
        <f t="shared" si="6"/>
        <v>31310875.964174714</v>
      </c>
      <c r="J43" s="113">
        <f t="shared" si="7"/>
        <v>3689124.0358252702</v>
      </c>
    </row>
    <row r="44" spans="3:10" x14ac:dyDescent="0.25">
      <c r="C44" s="153"/>
      <c r="D44" s="118">
        <v>8</v>
      </c>
      <c r="E44" s="112">
        <f t="shared" si="8"/>
        <v>6.2478525914011485E-5</v>
      </c>
      <c r="F44" s="129">
        <v>196063.5</v>
      </c>
      <c r="G44" s="129">
        <f t="shared" si="4"/>
        <v>1956.2573753180891</v>
      </c>
      <c r="H44" s="129">
        <f t="shared" si="5"/>
        <v>194107.24262468191</v>
      </c>
      <c r="I44" s="113">
        <f t="shared" si="6"/>
        <v>31116768.721550032</v>
      </c>
      <c r="J44" s="113">
        <f t="shared" si="7"/>
        <v>3883231.2784499521</v>
      </c>
    </row>
    <row r="45" spans="3:10" x14ac:dyDescent="0.25">
      <c r="C45" s="153"/>
      <c r="D45" s="118">
        <v>9</v>
      </c>
      <c r="E45" s="112">
        <f t="shared" si="8"/>
        <v>6.2478525914011485E-5</v>
      </c>
      <c r="F45" s="129">
        <v>196063.5</v>
      </c>
      <c r="G45" s="129">
        <f t="shared" si="4"/>
        <v>1944.1298409296658</v>
      </c>
      <c r="H45" s="129">
        <f t="shared" si="5"/>
        <v>194119.37015907033</v>
      </c>
      <c r="I45" s="113">
        <f t="shared" si="6"/>
        <v>30922649.351390962</v>
      </c>
      <c r="J45" s="113">
        <f t="shared" si="7"/>
        <v>4077350.6486090226</v>
      </c>
    </row>
    <row r="46" spans="3:10" x14ac:dyDescent="0.25">
      <c r="C46" s="153"/>
      <c r="D46" s="118">
        <v>10</v>
      </c>
      <c r="E46" s="112">
        <f t="shared" si="8"/>
        <v>6.2478525914011485E-5</v>
      </c>
      <c r="F46" s="129">
        <v>196063.5</v>
      </c>
      <c r="G46" s="129">
        <f t="shared" si="4"/>
        <v>1932.0015488307706</v>
      </c>
      <c r="H46" s="129">
        <f t="shared" si="5"/>
        <v>194131.49845116923</v>
      </c>
      <c r="I46" s="113">
        <f t="shared" si="6"/>
        <v>30728517.852939792</v>
      </c>
      <c r="J46" s="113">
        <f t="shared" si="7"/>
        <v>4271482.1470601922</v>
      </c>
    </row>
    <row r="47" spans="3:10" x14ac:dyDescent="0.25">
      <c r="C47" s="153"/>
      <c r="D47" s="118">
        <v>11</v>
      </c>
      <c r="E47" s="112">
        <f t="shared" si="8"/>
        <v>6.2478525914011485E-5</v>
      </c>
      <c r="F47" s="129">
        <v>196063.5</v>
      </c>
      <c r="G47" s="129">
        <f t="shared" si="4"/>
        <v>1919.8724989740633</v>
      </c>
      <c r="H47" s="129">
        <f t="shared" si="5"/>
        <v>194143.62750102594</v>
      </c>
      <c r="I47" s="113">
        <f t="shared" si="6"/>
        <v>30534374.225438766</v>
      </c>
      <c r="J47" s="113">
        <f t="shared" si="7"/>
        <v>4465625.774561218</v>
      </c>
    </row>
    <row r="48" spans="3:10" x14ac:dyDescent="0.25">
      <c r="C48" s="153"/>
      <c r="D48" s="118">
        <v>12</v>
      </c>
      <c r="E48" s="112">
        <f t="shared" si="8"/>
        <v>6.2478525914011485E-5</v>
      </c>
      <c r="F48" s="129">
        <v>196063.5</v>
      </c>
      <c r="G48" s="129">
        <f t="shared" si="4"/>
        <v>1907.7426913122003</v>
      </c>
      <c r="H48" s="129">
        <f t="shared" si="5"/>
        <v>194155.75730868781</v>
      </c>
      <c r="I48" s="113">
        <f t="shared" si="6"/>
        <v>30340218.468130078</v>
      </c>
      <c r="J48" s="113">
        <f t="shared" si="7"/>
        <v>4659781.531869906</v>
      </c>
    </row>
    <row r="49" spans="3:10" x14ac:dyDescent="0.25">
      <c r="C49" s="153">
        <v>3</v>
      </c>
      <c r="D49" s="118">
        <v>1</v>
      </c>
      <c r="E49" s="112">
        <f>$F$6</f>
        <v>7.0805752823810408E-5</v>
      </c>
      <c r="F49" s="129">
        <v>196063.5</v>
      </c>
      <c r="G49" s="129">
        <f t="shared" si="4"/>
        <v>2148.2620094748258</v>
      </c>
      <c r="H49" s="129">
        <f t="shared" si="5"/>
        <v>193915.23799052517</v>
      </c>
      <c r="I49" s="113">
        <f t="shared" si="6"/>
        <v>30146303.230139554</v>
      </c>
      <c r="J49" s="113">
        <f t="shared" si="7"/>
        <v>4853696.7698604316</v>
      </c>
    </row>
    <row r="50" spans="3:10" x14ac:dyDescent="0.25">
      <c r="C50" s="153"/>
      <c r="D50" s="118">
        <v>2</v>
      </c>
      <c r="E50" s="112">
        <f t="shared" ref="E50:E60" si="9">$F$6</f>
        <v>7.0805752823810408E-5</v>
      </c>
      <c r="F50" s="129">
        <v>196063.5</v>
      </c>
      <c r="G50" s="129">
        <f t="shared" si="4"/>
        <v>2134.5316950648985</v>
      </c>
      <c r="H50" s="129">
        <f t="shared" si="5"/>
        <v>193928.96830493512</v>
      </c>
      <c r="I50" s="113">
        <f t="shared" si="6"/>
        <v>29952374.261834618</v>
      </c>
      <c r="J50" s="113">
        <f t="shared" si="7"/>
        <v>5047625.7381653665</v>
      </c>
    </row>
    <row r="51" spans="3:10" x14ac:dyDescent="0.25">
      <c r="C51" s="153"/>
      <c r="D51" s="118">
        <v>3</v>
      </c>
      <c r="E51" s="112">
        <f t="shared" si="9"/>
        <v>7.0805752823810408E-5</v>
      </c>
      <c r="F51" s="129">
        <v>196063.5</v>
      </c>
      <c r="G51" s="129">
        <f t="shared" si="4"/>
        <v>2120.8004084697227</v>
      </c>
      <c r="H51" s="129">
        <f t="shared" si="5"/>
        <v>193942.69959153028</v>
      </c>
      <c r="I51" s="113">
        <f t="shared" si="6"/>
        <v>29758431.562243089</v>
      </c>
      <c r="J51" s="113">
        <f t="shared" si="7"/>
        <v>5241568.437756897</v>
      </c>
    </row>
    <row r="52" spans="3:10" x14ac:dyDescent="0.25">
      <c r="C52" s="153"/>
      <c r="D52" s="118">
        <v>4</v>
      </c>
      <c r="E52" s="112">
        <f t="shared" si="9"/>
        <v>7.0805752823810408E-5</v>
      </c>
      <c r="F52" s="129">
        <v>196063.5</v>
      </c>
      <c r="G52" s="129">
        <f t="shared" si="4"/>
        <v>2107.0681496204625</v>
      </c>
      <c r="H52" s="129">
        <f t="shared" si="5"/>
        <v>193956.43185037954</v>
      </c>
      <c r="I52" s="113">
        <f t="shared" si="6"/>
        <v>29564475.130392708</v>
      </c>
      <c r="J52" s="113">
        <f t="shared" si="7"/>
        <v>5435524.8696072763</v>
      </c>
    </row>
    <row r="53" spans="3:10" x14ac:dyDescent="0.25">
      <c r="C53" s="153"/>
      <c r="D53" s="118">
        <v>5</v>
      </c>
      <c r="E53" s="112">
        <f t="shared" si="9"/>
        <v>7.0805752823810408E-5</v>
      </c>
      <c r="F53" s="129">
        <v>196063.5</v>
      </c>
      <c r="G53" s="129">
        <f t="shared" si="4"/>
        <v>2093.3349184482759</v>
      </c>
      <c r="H53" s="129">
        <f t="shared" si="5"/>
        <v>193970.16508155174</v>
      </c>
      <c r="I53" s="113">
        <f t="shared" si="6"/>
        <v>29370504.965311155</v>
      </c>
      <c r="J53" s="113">
        <f t="shared" si="7"/>
        <v>5629495.0346888276</v>
      </c>
    </row>
    <row r="54" spans="3:10" x14ac:dyDescent="0.25">
      <c r="C54" s="153"/>
      <c r="D54" s="118">
        <v>6</v>
      </c>
      <c r="E54" s="112">
        <f t="shared" si="9"/>
        <v>7.0805752823810408E-5</v>
      </c>
      <c r="F54" s="129">
        <v>196063.5</v>
      </c>
      <c r="G54" s="129">
        <f t="shared" si="4"/>
        <v>2079.6007148843178</v>
      </c>
      <c r="H54" s="129">
        <f t="shared" si="5"/>
        <v>193983.89928511568</v>
      </c>
      <c r="I54" s="113">
        <f t="shared" si="6"/>
        <v>29176521.066026039</v>
      </c>
      <c r="J54" s="113">
        <f t="shared" si="7"/>
        <v>5823478.9339739429</v>
      </c>
    </row>
    <row r="55" spans="3:10" x14ac:dyDescent="0.25">
      <c r="C55" s="153"/>
      <c r="D55" s="118">
        <v>7</v>
      </c>
      <c r="E55" s="112">
        <f t="shared" si="9"/>
        <v>7.0805752823810408E-5</v>
      </c>
      <c r="F55" s="129">
        <v>196063.5</v>
      </c>
      <c r="G55" s="129">
        <f t="shared" si="4"/>
        <v>2065.8655388597372</v>
      </c>
      <c r="H55" s="129">
        <f t="shared" si="5"/>
        <v>193997.63446114026</v>
      </c>
      <c r="I55" s="113">
        <f t="shared" si="6"/>
        <v>28982523.431564897</v>
      </c>
      <c r="J55" s="113">
        <f t="shared" si="7"/>
        <v>6017476.5684350831</v>
      </c>
    </row>
    <row r="56" spans="3:10" x14ac:dyDescent="0.25">
      <c r="C56" s="153"/>
      <c r="D56" s="118">
        <v>8</v>
      </c>
      <c r="E56" s="112">
        <f t="shared" si="9"/>
        <v>7.0805752823810408E-5</v>
      </c>
      <c r="F56" s="129">
        <v>196063.5</v>
      </c>
      <c r="G56" s="129">
        <f t="shared" si="4"/>
        <v>2052.1293903056776</v>
      </c>
      <c r="H56" s="129">
        <f t="shared" si="5"/>
        <v>194011.37060969434</v>
      </c>
      <c r="I56" s="113">
        <f t="shared" si="6"/>
        <v>28788512.060955204</v>
      </c>
      <c r="J56" s="113">
        <f t="shared" si="7"/>
        <v>6211487.9390447773</v>
      </c>
    </row>
    <row r="57" spans="3:10" x14ac:dyDescent="0.25">
      <c r="C57" s="153"/>
      <c r="D57" s="118">
        <v>9</v>
      </c>
      <c r="E57" s="112">
        <f t="shared" si="9"/>
        <v>7.0805752823810408E-5</v>
      </c>
      <c r="F57" s="129">
        <v>196063.5</v>
      </c>
      <c r="G57" s="129">
        <f t="shared" si="4"/>
        <v>2038.3922691532789</v>
      </c>
      <c r="H57" s="129">
        <f t="shared" si="5"/>
        <v>194025.10773084674</v>
      </c>
      <c r="I57" s="113">
        <f t="shared" si="6"/>
        <v>28594486.953224357</v>
      </c>
      <c r="J57" s="113">
        <f t="shared" si="7"/>
        <v>6405513.0467756242</v>
      </c>
    </row>
    <row r="58" spans="3:10" x14ac:dyDescent="0.25">
      <c r="C58" s="153"/>
      <c r="D58" s="118">
        <v>10</v>
      </c>
      <c r="E58" s="112">
        <f t="shared" si="9"/>
        <v>7.0805752823810408E-5</v>
      </c>
      <c r="F58" s="129">
        <v>196063.5</v>
      </c>
      <c r="G58" s="129">
        <f t="shared" si="4"/>
        <v>2024.6541753336753</v>
      </c>
      <c r="H58" s="129">
        <f t="shared" si="5"/>
        <v>194038.84582466632</v>
      </c>
      <c r="I58" s="113">
        <f t="shared" si="6"/>
        <v>28400448.107399691</v>
      </c>
      <c r="J58" s="113">
        <f t="shared" si="7"/>
        <v>6599551.8926002905</v>
      </c>
    </row>
    <row r="59" spans="3:10" x14ac:dyDescent="0.25">
      <c r="C59" s="153"/>
      <c r="D59" s="118">
        <v>11</v>
      </c>
      <c r="E59" s="112">
        <f t="shared" si="9"/>
        <v>7.0805752823810408E-5</v>
      </c>
      <c r="F59" s="129">
        <v>196063.5</v>
      </c>
      <c r="G59" s="129">
        <f t="shared" si="4"/>
        <v>2010.9151087779967</v>
      </c>
      <c r="H59" s="129">
        <f t="shared" si="5"/>
        <v>194052.58489122201</v>
      </c>
      <c r="I59" s="113">
        <f t="shared" si="6"/>
        <v>28206395.522508468</v>
      </c>
      <c r="J59" s="113">
        <f t="shared" si="7"/>
        <v>6793604.4774915129</v>
      </c>
    </row>
    <row r="60" spans="3:10" x14ac:dyDescent="0.25">
      <c r="C60" s="153"/>
      <c r="D60" s="118">
        <v>12</v>
      </c>
      <c r="E60" s="112">
        <f t="shared" si="9"/>
        <v>7.0805752823810408E-5</v>
      </c>
      <c r="F60" s="129">
        <v>196063.5</v>
      </c>
      <c r="G60" s="129">
        <f t="shared" si="4"/>
        <v>1997.1750694173672</v>
      </c>
      <c r="H60" s="129">
        <f t="shared" si="5"/>
        <v>194066.32493058263</v>
      </c>
      <c r="I60" s="113">
        <f t="shared" si="6"/>
        <v>28012329.197577886</v>
      </c>
      <c r="J60" s="113">
        <f t="shared" si="7"/>
        <v>6987670.8024220951</v>
      </c>
    </row>
    <row r="61" spans="3:10" x14ac:dyDescent="0.25">
      <c r="C61" s="153">
        <v>4</v>
      </c>
      <c r="D61" s="118">
        <v>1</v>
      </c>
      <c r="E61" s="112">
        <f>$F$7</f>
        <v>7.9132217087662937E-5</v>
      </c>
      <c r="F61" s="129">
        <v>196063.5</v>
      </c>
      <c r="G61" s="129">
        <f t="shared" si="4"/>
        <v>2216.6777151938122</v>
      </c>
      <c r="H61" s="129">
        <f t="shared" si="5"/>
        <v>193846.8222848062</v>
      </c>
      <c r="I61" s="113">
        <f t="shared" si="6"/>
        <v>27818482.37529308</v>
      </c>
      <c r="J61" s="113">
        <f t="shared" si="7"/>
        <v>7181517.6247069016</v>
      </c>
    </row>
    <row r="62" spans="3:10" x14ac:dyDescent="0.25">
      <c r="C62" s="153"/>
      <c r="D62" s="118">
        <v>2</v>
      </c>
      <c r="E62" s="112">
        <f t="shared" ref="E62:E72" si="10">$F$7</f>
        <v>7.9132217087662937E-5</v>
      </c>
      <c r="F62" s="129">
        <v>196063.5</v>
      </c>
      <c r="G62" s="129">
        <f t="shared" si="4"/>
        <v>2201.3381863710174</v>
      </c>
      <c r="H62" s="129">
        <f t="shared" si="5"/>
        <v>193862.16181362898</v>
      </c>
      <c r="I62" s="113">
        <f t="shared" si="6"/>
        <v>27624620.213479452</v>
      </c>
      <c r="J62" s="113">
        <f t="shared" si="7"/>
        <v>7375379.7865205305</v>
      </c>
    </row>
    <row r="63" spans="3:10" x14ac:dyDescent="0.25">
      <c r="C63" s="153"/>
      <c r="D63" s="118">
        <v>3</v>
      </c>
      <c r="E63" s="112">
        <f t="shared" si="10"/>
        <v>7.9132217087662937E-5</v>
      </c>
      <c r="F63" s="129">
        <v>196063.5</v>
      </c>
      <c r="G63" s="129">
        <f t="shared" si="4"/>
        <v>2185.9974436972975</v>
      </c>
      <c r="H63" s="129">
        <f t="shared" si="5"/>
        <v>193877.5025563027</v>
      </c>
      <c r="I63" s="113">
        <f t="shared" si="6"/>
        <v>27430742.71092315</v>
      </c>
      <c r="J63" s="113">
        <f t="shared" si="7"/>
        <v>7569257.2890768331</v>
      </c>
    </row>
    <row r="64" spans="3:10" x14ac:dyDescent="0.25">
      <c r="C64" s="153"/>
      <c r="D64" s="118">
        <v>4</v>
      </c>
      <c r="E64" s="112">
        <f t="shared" si="10"/>
        <v>7.9132217087662937E-5</v>
      </c>
      <c r="F64" s="129">
        <v>196063.5</v>
      </c>
      <c r="G64" s="129">
        <f t="shared" si="4"/>
        <v>2170.6554870765985</v>
      </c>
      <c r="H64" s="129">
        <f t="shared" si="5"/>
        <v>193892.84451292339</v>
      </c>
      <c r="I64" s="113">
        <f t="shared" si="6"/>
        <v>27236849.866410226</v>
      </c>
      <c r="J64" s="113">
        <f t="shared" si="7"/>
        <v>7763150.1335897567</v>
      </c>
    </row>
    <row r="65" spans="3:10" x14ac:dyDescent="0.25">
      <c r="C65" s="153"/>
      <c r="D65" s="118">
        <v>5</v>
      </c>
      <c r="E65" s="112">
        <f t="shared" si="10"/>
        <v>7.9132217087662937E-5</v>
      </c>
      <c r="F65" s="129">
        <v>196063.5</v>
      </c>
      <c r="G65" s="129">
        <f t="shared" si="4"/>
        <v>2155.3123164128574</v>
      </c>
      <c r="H65" s="129">
        <f t="shared" si="5"/>
        <v>193908.18768358714</v>
      </c>
      <c r="I65" s="113">
        <f t="shared" si="6"/>
        <v>27042941.67872664</v>
      </c>
      <c r="J65" s="113">
        <f t="shared" si="7"/>
        <v>7957058.3212733436</v>
      </c>
    </row>
    <row r="66" spans="3:10" x14ac:dyDescent="0.25">
      <c r="C66" s="153"/>
      <c r="D66" s="118">
        <v>6</v>
      </c>
      <c r="E66" s="112">
        <f t="shared" si="10"/>
        <v>7.9132217087662937E-5</v>
      </c>
      <c r="F66" s="129">
        <v>196063.5</v>
      </c>
      <c r="G66" s="129">
        <f t="shared" si="4"/>
        <v>2139.9679316100046</v>
      </c>
      <c r="H66" s="129">
        <f t="shared" si="5"/>
        <v>193923.53206838999</v>
      </c>
      <c r="I66" s="113">
        <f t="shared" si="6"/>
        <v>26849018.146658249</v>
      </c>
      <c r="J66" s="113">
        <f t="shared" si="7"/>
        <v>8150981.853341734</v>
      </c>
    </row>
    <row r="67" spans="3:10" x14ac:dyDescent="0.25">
      <c r="C67" s="153"/>
      <c r="D67" s="118">
        <v>7</v>
      </c>
      <c r="E67" s="112">
        <f t="shared" si="10"/>
        <v>7.9132217087662937E-5</v>
      </c>
      <c r="F67" s="129">
        <v>196063.5</v>
      </c>
      <c r="G67" s="129">
        <f t="shared" si="4"/>
        <v>2124.622332571962</v>
      </c>
      <c r="H67" s="129">
        <f t="shared" si="5"/>
        <v>193938.87766742805</v>
      </c>
      <c r="I67" s="113">
        <f t="shared" si="6"/>
        <v>26655079.268990822</v>
      </c>
      <c r="J67" s="113">
        <f t="shared" si="7"/>
        <v>8344920.731009162</v>
      </c>
    </row>
    <row r="68" spans="3:10" x14ac:dyDescent="0.25">
      <c r="C68" s="153"/>
      <c r="D68" s="118">
        <v>8</v>
      </c>
      <c r="E68" s="112">
        <f t="shared" si="10"/>
        <v>7.9132217087662937E-5</v>
      </c>
      <c r="F68" s="129">
        <v>196063.5</v>
      </c>
      <c r="G68" s="129">
        <f t="shared" si="4"/>
        <v>2109.2755192026457</v>
      </c>
      <c r="H68" s="129">
        <f t="shared" si="5"/>
        <v>193954.22448079736</v>
      </c>
      <c r="I68" s="113">
        <f t="shared" si="6"/>
        <v>26461125.044510026</v>
      </c>
      <c r="J68" s="113">
        <f t="shared" si="7"/>
        <v>8538874.9554899596</v>
      </c>
    </row>
    <row r="69" spans="3:10" x14ac:dyDescent="0.25">
      <c r="C69" s="153"/>
      <c r="D69" s="118">
        <v>9</v>
      </c>
      <c r="E69" s="112">
        <f t="shared" si="10"/>
        <v>7.9132217087662937E-5</v>
      </c>
      <c r="F69" s="129">
        <v>196063.5</v>
      </c>
      <c r="G69" s="129">
        <f t="shared" si="4"/>
        <v>2093.927491405962</v>
      </c>
      <c r="H69" s="129">
        <f t="shared" si="5"/>
        <v>193969.57250859405</v>
      </c>
      <c r="I69" s="113">
        <f t="shared" si="6"/>
        <v>26267155.47200143</v>
      </c>
      <c r="J69" s="113">
        <f t="shared" si="7"/>
        <v>8732844.5279985536</v>
      </c>
    </row>
    <row r="70" spans="3:10" x14ac:dyDescent="0.25">
      <c r="C70" s="153"/>
      <c r="D70" s="118">
        <v>10</v>
      </c>
      <c r="E70" s="112">
        <f t="shared" si="10"/>
        <v>7.9132217087662937E-5</v>
      </c>
      <c r="F70" s="129">
        <v>196063.5</v>
      </c>
      <c r="G70" s="129">
        <f t="shared" si="4"/>
        <v>2078.5782490858105</v>
      </c>
      <c r="H70" s="129">
        <f t="shared" si="5"/>
        <v>193984.92175091419</v>
      </c>
      <c r="I70" s="113">
        <f t="shared" si="6"/>
        <v>26073170.550250515</v>
      </c>
      <c r="J70" s="113">
        <f t="shared" si="7"/>
        <v>8926829.4497494679</v>
      </c>
    </row>
    <row r="71" spans="3:10" x14ac:dyDescent="0.25">
      <c r="C71" s="153"/>
      <c r="D71" s="118">
        <v>11</v>
      </c>
      <c r="E71" s="112">
        <f t="shared" si="10"/>
        <v>7.9132217087662937E-5</v>
      </c>
      <c r="F71" s="129">
        <v>196063.5</v>
      </c>
      <c r="G71" s="129">
        <f t="shared" si="4"/>
        <v>2063.2277921460841</v>
      </c>
      <c r="H71" s="129">
        <f t="shared" si="5"/>
        <v>194000.27220785391</v>
      </c>
      <c r="I71" s="113">
        <f t="shared" si="6"/>
        <v>25879170.278042663</v>
      </c>
      <c r="J71" s="113">
        <f t="shared" si="7"/>
        <v>9120829.7219573222</v>
      </c>
    </row>
    <row r="72" spans="3:10" x14ac:dyDescent="0.25">
      <c r="C72" s="153"/>
      <c r="D72" s="118">
        <v>12</v>
      </c>
      <c r="E72" s="112">
        <f t="shared" si="10"/>
        <v>7.9132217087662937E-5</v>
      </c>
      <c r="F72" s="129">
        <v>196063.5</v>
      </c>
      <c r="G72" s="129">
        <f t="shared" si="4"/>
        <v>2047.8761204906664</v>
      </c>
      <c r="H72" s="129">
        <f t="shared" si="5"/>
        <v>194015.62387950934</v>
      </c>
      <c r="I72" s="113">
        <f t="shared" si="6"/>
        <v>25685154.654163152</v>
      </c>
      <c r="J72" s="113">
        <f t="shared" si="7"/>
        <v>9314845.3458368313</v>
      </c>
    </row>
    <row r="73" spans="3:10" x14ac:dyDescent="0.25">
      <c r="C73" s="153">
        <v>5</v>
      </c>
      <c r="D73" s="118">
        <v>1</v>
      </c>
      <c r="E73" s="112">
        <f>$F$8</f>
        <v>8.7457918851674421E-5</v>
      </c>
      <c r="F73" s="129">
        <v>196063.5</v>
      </c>
      <c r="G73" s="129">
        <f t="shared" si="4"/>
        <v>2246.3701714365084</v>
      </c>
      <c r="H73" s="129">
        <f t="shared" si="5"/>
        <v>193817.12982856348</v>
      </c>
      <c r="I73" s="113">
        <f t="shared" si="6"/>
        <v>25491337.524334587</v>
      </c>
      <c r="J73" s="113">
        <f t="shared" si="7"/>
        <v>9508662.4756653942</v>
      </c>
    </row>
    <row r="74" spans="3:10" x14ac:dyDescent="0.25">
      <c r="C74" s="153"/>
      <c r="D74" s="118">
        <v>2</v>
      </c>
      <c r="E74" s="112">
        <f t="shared" ref="E74:E83" si="11">$F$8</f>
        <v>8.7457918851674421E-5</v>
      </c>
      <c r="F74" s="129">
        <v>196063.5</v>
      </c>
      <c r="G74" s="129">
        <f t="shared" si="4"/>
        <v>2229.4193286238974</v>
      </c>
      <c r="H74" s="129">
        <f t="shared" si="5"/>
        <v>193834.08067137611</v>
      </c>
      <c r="I74" s="113">
        <f t="shared" si="6"/>
        <v>25297503.44366321</v>
      </c>
      <c r="J74" s="113">
        <f t="shared" si="7"/>
        <v>9702496.5563367698</v>
      </c>
    </row>
    <row r="75" spans="3:10" x14ac:dyDescent="0.25">
      <c r="C75" s="153"/>
      <c r="D75" s="118">
        <v>3</v>
      </c>
      <c r="E75" s="112">
        <f t="shared" si="11"/>
        <v>8.7457918851674421E-5</v>
      </c>
      <c r="F75" s="129">
        <v>196063.5</v>
      </c>
      <c r="G75" s="129">
        <f t="shared" si="4"/>
        <v>2212.4670033258512</v>
      </c>
      <c r="H75" s="129">
        <f t="shared" si="5"/>
        <v>193851.03299667416</v>
      </c>
      <c r="I75" s="113">
        <f t="shared" si="6"/>
        <v>25103652.410666537</v>
      </c>
      <c r="J75" s="113">
        <f t="shared" si="7"/>
        <v>9896347.5893334448</v>
      </c>
    </row>
    <row r="76" spans="3:10" x14ac:dyDescent="0.25">
      <c r="C76" s="153"/>
      <c r="D76" s="118">
        <v>4</v>
      </c>
      <c r="E76" s="112">
        <f t="shared" si="11"/>
        <v>8.7457918851674421E-5</v>
      </c>
      <c r="F76" s="129">
        <v>196063.5</v>
      </c>
      <c r="G76" s="129">
        <f t="shared" si="4"/>
        <v>2195.513195412715</v>
      </c>
      <c r="H76" s="129">
        <f t="shared" si="5"/>
        <v>193867.98680458727</v>
      </c>
      <c r="I76" s="113">
        <f t="shared" si="6"/>
        <v>24909784.423861951</v>
      </c>
      <c r="J76" s="113">
        <f t="shared" si="7"/>
        <v>10090215.576138033</v>
      </c>
    </row>
    <row r="77" spans="3:10" x14ac:dyDescent="0.25">
      <c r="C77" s="153"/>
      <c r="D77" s="118">
        <v>5</v>
      </c>
      <c r="E77" s="112">
        <f t="shared" si="11"/>
        <v>8.7457918851674421E-5</v>
      </c>
      <c r="F77" s="129">
        <v>196063.5</v>
      </c>
      <c r="G77" s="129">
        <f t="shared" si="4"/>
        <v>2178.5579047548222</v>
      </c>
      <c r="H77" s="129">
        <f t="shared" si="5"/>
        <v>193884.94209524518</v>
      </c>
      <c r="I77" s="113">
        <f t="shared" si="6"/>
        <v>24715899.481766704</v>
      </c>
      <c r="J77" s="113">
        <f t="shared" si="7"/>
        <v>10284100.518233277</v>
      </c>
    </row>
    <row r="78" spans="3:10" x14ac:dyDescent="0.25">
      <c r="C78" s="153"/>
      <c r="D78" s="118">
        <v>6</v>
      </c>
      <c r="E78" s="112">
        <f t="shared" si="11"/>
        <v>8.7457918851674421E-5</v>
      </c>
      <c r="F78" s="129">
        <v>196063.5</v>
      </c>
      <c r="G78" s="129">
        <f t="shared" si="4"/>
        <v>2161.6011312224941</v>
      </c>
      <c r="H78" s="129">
        <f t="shared" si="5"/>
        <v>193901.8988687775</v>
      </c>
      <c r="I78" s="113">
        <f t="shared" si="6"/>
        <v>24521997.582897928</v>
      </c>
      <c r="J78" s="113">
        <f t="shared" si="7"/>
        <v>10478002.417102054</v>
      </c>
    </row>
    <row r="79" spans="3:10" x14ac:dyDescent="0.25">
      <c r="C79" s="153"/>
      <c r="D79" s="118">
        <v>7</v>
      </c>
      <c r="E79" s="112">
        <f t="shared" si="11"/>
        <v>8.7457918851674421E-5</v>
      </c>
      <c r="F79" s="129">
        <v>196063.5</v>
      </c>
      <c r="G79" s="129">
        <f t="shared" si="4"/>
        <v>2144.6428746860433</v>
      </c>
      <c r="H79" s="129">
        <f t="shared" si="5"/>
        <v>193918.85712531395</v>
      </c>
      <c r="I79" s="113">
        <f t="shared" si="6"/>
        <v>24328078.725772612</v>
      </c>
      <c r="J79" s="113">
        <f t="shared" si="7"/>
        <v>10671921.274227368</v>
      </c>
    </row>
    <row r="80" spans="3:10" x14ac:dyDescent="0.25">
      <c r="C80" s="153"/>
      <c r="D80" s="118">
        <v>8</v>
      </c>
      <c r="E80" s="112">
        <f t="shared" si="11"/>
        <v>8.7457918851674421E-5</v>
      </c>
      <c r="F80" s="129">
        <v>196063.5</v>
      </c>
      <c r="G80" s="129">
        <f t="shared" si="4"/>
        <v>2127.6831350157681</v>
      </c>
      <c r="H80" s="129">
        <f t="shared" si="5"/>
        <v>193935.81686498423</v>
      </c>
      <c r="I80" s="113">
        <f t="shared" si="6"/>
        <v>24134142.908907626</v>
      </c>
      <c r="J80" s="113">
        <f t="shared" si="7"/>
        <v>10865857.091092352</v>
      </c>
    </row>
    <row r="81" spans="3:10" x14ac:dyDescent="0.25">
      <c r="C81" s="153"/>
      <c r="D81" s="118">
        <v>9</v>
      </c>
      <c r="E81" s="112">
        <f t="shared" si="11"/>
        <v>8.7457918851674421E-5</v>
      </c>
      <c r="F81" s="129">
        <v>196063.5</v>
      </c>
      <c r="G81" s="129">
        <f t="shared" si="4"/>
        <v>2110.7219120819568</v>
      </c>
      <c r="H81" s="129">
        <f t="shared" si="5"/>
        <v>193952.77808791804</v>
      </c>
      <c r="I81" s="113">
        <f t="shared" si="6"/>
        <v>23940190.130819708</v>
      </c>
      <c r="J81" s="113">
        <f t="shared" si="7"/>
        <v>11059809.86918027</v>
      </c>
    </row>
    <row r="82" spans="3:10" x14ac:dyDescent="0.25">
      <c r="C82" s="153"/>
      <c r="D82" s="118">
        <v>10</v>
      </c>
      <c r="E82" s="112">
        <f t="shared" si="11"/>
        <v>8.7457918851674421E-5</v>
      </c>
      <c r="F82" s="129">
        <v>196063.5</v>
      </c>
      <c r="G82" s="129">
        <f t="shared" si="4"/>
        <v>2093.7592057548868</v>
      </c>
      <c r="H82" s="129">
        <f t="shared" si="5"/>
        <v>193969.74079424512</v>
      </c>
      <c r="I82" s="113">
        <f t="shared" si="6"/>
        <v>23746220.390025463</v>
      </c>
      <c r="J82" s="113">
        <f t="shared" si="7"/>
        <v>11253779.609974515</v>
      </c>
    </row>
    <row r="83" spans="3:10" x14ac:dyDescent="0.25">
      <c r="C83" s="153"/>
      <c r="D83" s="118">
        <v>11</v>
      </c>
      <c r="E83" s="112">
        <f t="shared" si="11"/>
        <v>8.7457918851674421E-5</v>
      </c>
      <c r="F83" s="129">
        <v>196063.5</v>
      </c>
      <c r="G83" s="129">
        <f t="shared" si="4"/>
        <v>2076.7950159048237</v>
      </c>
      <c r="H83" s="129">
        <f t="shared" si="5"/>
        <v>193986.70498409518</v>
      </c>
      <c r="I83" s="113">
        <f t="shared" si="6"/>
        <v>23552233.685041368</v>
      </c>
      <c r="J83" s="113">
        <f t="shared" si="7"/>
        <v>11447766.31495861</v>
      </c>
    </row>
    <row r="84" spans="3:10" x14ac:dyDescent="0.25">
      <c r="C84" s="153"/>
      <c r="D84" s="118">
        <v>12</v>
      </c>
      <c r="E84" s="112">
        <f>$F$8</f>
        <v>8.7457918851674421E-5</v>
      </c>
      <c r="F84" s="129">
        <v>196063.5</v>
      </c>
      <c r="G84" s="129">
        <f t="shared" si="4"/>
        <v>2059.8293424020208</v>
      </c>
      <c r="H84" s="129">
        <f t="shared" si="5"/>
        <v>194003.67065759798</v>
      </c>
      <c r="I84" s="113">
        <f t="shared" si="6"/>
        <v>23358230.014383771</v>
      </c>
      <c r="J84" s="113">
        <f t="shared" si="7"/>
        <v>11641769.985616207</v>
      </c>
    </row>
    <row r="85" spans="3:10" x14ac:dyDescent="0.25">
      <c r="C85" s="153">
        <v>6</v>
      </c>
      <c r="D85" s="118">
        <v>1</v>
      </c>
      <c r="E85" s="112">
        <f t="shared" ref="E85:E96" si="12">$F$9</f>
        <v>9.578285826195021E-5</v>
      </c>
      <c r="F85" s="129">
        <v>196063.5</v>
      </c>
      <c r="G85" s="129">
        <f t="shared" si="4"/>
        <v>2237.3180347177517</v>
      </c>
      <c r="H85" s="129">
        <f t="shared" si="5"/>
        <v>193826.18196528225</v>
      </c>
      <c r="I85" s="113">
        <f t="shared" si="6"/>
        <v>23164403.832418486</v>
      </c>
      <c r="J85" s="113">
        <f t="shared" si="7"/>
        <v>11835596.167581489</v>
      </c>
    </row>
    <row r="86" spans="3:10" x14ac:dyDescent="0.25">
      <c r="C86" s="153"/>
      <c r="D86" s="118">
        <v>2</v>
      </c>
      <c r="E86" s="112">
        <f t="shared" si="12"/>
        <v>9.578285826195021E-5</v>
      </c>
      <c r="F86" s="129">
        <v>196063.5</v>
      </c>
      <c r="G86" s="129">
        <f t="shared" si="4"/>
        <v>2218.752809003116</v>
      </c>
      <c r="H86" s="129">
        <f t="shared" si="5"/>
        <v>193844.74719099689</v>
      </c>
      <c r="I86" s="113">
        <f t="shared" si="6"/>
        <v>22970559.085227489</v>
      </c>
      <c r="J86" s="113">
        <f t="shared" si="7"/>
        <v>12029440.914772486</v>
      </c>
    </row>
    <row r="87" spans="3:10" x14ac:dyDescent="0.25">
      <c r="C87" s="153"/>
      <c r="D87" s="118">
        <v>3</v>
      </c>
      <c r="E87" s="112">
        <f t="shared" si="12"/>
        <v>9.578285826195021E-5</v>
      </c>
      <c r="F87" s="129">
        <v>196063.5</v>
      </c>
      <c r="G87" s="129">
        <f t="shared" si="4"/>
        <v>2200.1858050580972</v>
      </c>
      <c r="H87" s="129">
        <f t="shared" si="5"/>
        <v>193863.31419494189</v>
      </c>
      <c r="I87" s="113">
        <f t="shared" si="6"/>
        <v>22776695.771032549</v>
      </c>
      <c r="J87" s="113">
        <f t="shared" si="7"/>
        <v>12223304.228967428</v>
      </c>
    </row>
    <row r="88" spans="3:10" x14ac:dyDescent="0.25">
      <c r="C88" s="153"/>
      <c r="D88" s="118">
        <v>4</v>
      </c>
      <c r="E88" s="112">
        <f t="shared" si="12"/>
        <v>9.578285826195021E-5</v>
      </c>
      <c r="F88" s="129">
        <v>196063.5</v>
      </c>
      <c r="G88" s="129">
        <f t="shared" si="4"/>
        <v>2181.6170227123716</v>
      </c>
      <c r="H88" s="129">
        <f t="shared" si="5"/>
        <v>193881.88297728763</v>
      </c>
      <c r="I88" s="113">
        <f t="shared" si="6"/>
        <v>22582813.888055261</v>
      </c>
      <c r="J88" s="113">
        <f t="shared" si="7"/>
        <v>12417186.111944716</v>
      </c>
    </row>
    <row r="89" spans="3:10" x14ac:dyDescent="0.25">
      <c r="C89" s="153"/>
      <c r="D89" s="118">
        <v>5</v>
      </c>
      <c r="E89" s="112">
        <f t="shared" si="12"/>
        <v>9.578285826195021E-5</v>
      </c>
      <c r="F89" s="129">
        <v>196063.5</v>
      </c>
      <c r="G89" s="129">
        <f t="shared" si="4"/>
        <v>2163.0464617955977</v>
      </c>
      <c r="H89" s="129">
        <f t="shared" si="5"/>
        <v>193900.4535382044</v>
      </c>
      <c r="I89" s="113">
        <f t="shared" si="6"/>
        <v>22388913.434517056</v>
      </c>
      <c r="J89" s="113">
        <f t="shared" si="7"/>
        <v>12611086.56548292</v>
      </c>
    </row>
    <row r="90" spans="3:10" x14ac:dyDescent="0.25">
      <c r="C90" s="153"/>
      <c r="D90" s="118">
        <v>6</v>
      </c>
      <c r="E90" s="112">
        <f t="shared" si="12"/>
        <v>9.578285826195021E-5</v>
      </c>
      <c r="F90" s="129">
        <v>196063.5</v>
      </c>
      <c r="G90" s="129">
        <f t="shared" ref="G90:G153" si="13">I89*E90</f>
        <v>2144.4741221374202</v>
      </c>
      <c r="H90" s="129">
        <f t="shared" ref="H90:H153" si="14">F90-G90</f>
        <v>193919.02587786259</v>
      </c>
      <c r="I90" s="113">
        <f t="shared" ref="I90:I153" si="15">I89-H90</f>
        <v>22194994.408639193</v>
      </c>
      <c r="J90" s="113">
        <f t="shared" si="7"/>
        <v>12805005.591360783</v>
      </c>
    </row>
    <row r="91" spans="3:10" x14ac:dyDescent="0.25">
      <c r="C91" s="153"/>
      <c r="D91" s="118">
        <v>7</v>
      </c>
      <c r="E91" s="112">
        <f t="shared" si="12"/>
        <v>9.578285826195021E-5</v>
      </c>
      <c r="F91" s="129">
        <v>196063.5</v>
      </c>
      <c r="G91" s="129">
        <f t="shared" si="13"/>
        <v>2125.9000035674653</v>
      </c>
      <c r="H91" s="129">
        <f t="shared" si="14"/>
        <v>193937.59999643255</v>
      </c>
      <c r="I91" s="113">
        <f t="shared" si="15"/>
        <v>22001056.80864276</v>
      </c>
      <c r="J91" s="113">
        <f t="shared" ref="J91:J154" si="16">J90+H91</f>
        <v>12998943.191357216</v>
      </c>
    </row>
    <row r="92" spans="3:10" x14ac:dyDescent="0.25">
      <c r="C92" s="153"/>
      <c r="D92" s="118">
        <v>8</v>
      </c>
      <c r="E92" s="112">
        <f t="shared" si="12"/>
        <v>9.578285826195021E-5</v>
      </c>
      <c r="F92" s="129">
        <v>196063.5</v>
      </c>
      <c r="G92" s="129">
        <f t="shared" si="13"/>
        <v>2107.3241059153443</v>
      </c>
      <c r="H92" s="129">
        <f t="shared" si="14"/>
        <v>193956.17589408465</v>
      </c>
      <c r="I92" s="113">
        <f t="shared" si="15"/>
        <v>21807100.632748675</v>
      </c>
      <c r="J92" s="113">
        <f t="shared" si="16"/>
        <v>13192899.367251301</v>
      </c>
    </row>
    <row r="93" spans="3:10" x14ac:dyDescent="0.25">
      <c r="C93" s="153"/>
      <c r="D93" s="118">
        <v>9</v>
      </c>
      <c r="E93" s="112">
        <f t="shared" si="12"/>
        <v>9.578285826195021E-5</v>
      </c>
      <c r="F93" s="129">
        <v>196063.5</v>
      </c>
      <c r="G93" s="129">
        <f t="shared" si="13"/>
        <v>2088.7464290106509</v>
      </c>
      <c r="H93" s="129">
        <f t="shared" si="14"/>
        <v>193974.75357098936</v>
      </c>
      <c r="I93" s="113">
        <f t="shared" si="15"/>
        <v>21613125.879177686</v>
      </c>
      <c r="J93" s="113">
        <f t="shared" si="16"/>
        <v>13386874.12082229</v>
      </c>
    </row>
    <row r="94" spans="3:10" x14ac:dyDescent="0.25">
      <c r="C94" s="153"/>
      <c r="D94" s="118">
        <v>10</v>
      </c>
      <c r="E94" s="112">
        <f t="shared" si="12"/>
        <v>9.578285826195021E-5</v>
      </c>
      <c r="F94" s="129">
        <v>196063.5</v>
      </c>
      <c r="G94" s="129">
        <f t="shared" si="13"/>
        <v>2070.1669726829641</v>
      </c>
      <c r="H94" s="129">
        <f t="shared" si="14"/>
        <v>193993.33302731704</v>
      </c>
      <c r="I94" s="113">
        <f t="shared" si="15"/>
        <v>21419132.546150368</v>
      </c>
      <c r="J94" s="113">
        <f t="shared" si="16"/>
        <v>13580867.453849606</v>
      </c>
    </row>
    <row r="95" spans="3:10" x14ac:dyDescent="0.25">
      <c r="C95" s="153"/>
      <c r="D95" s="118">
        <v>11</v>
      </c>
      <c r="E95" s="112">
        <f t="shared" si="12"/>
        <v>9.578285826195021E-5</v>
      </c>
      <c r="F95" s="129">
        <v>196063.5</v>
      </c>
      <c r="G95" s="129">
        <f t="shared" si="13"/>
        <v>2051.5857367618455</v>
      </c>
      <c r="H95" s="129">
        <f t="shared" si="14"/>
        <v>194011.91426323814</v>
      </c>
      <c r="I95" s="113">
        <f t="shared" si="15"/>
        <v>21225120.63188713</v>
      </c>
      <c r="J95" s="113">
        <f t="shared" si="16"/>
        <v>13774879.368112843</v>
      </c>
    </row>
    <row r="96" spans="3:10" x14ac:dyDescent="0.25">
      <c r="C96" s="153"/>
      <c r="D96" s="118">
        <v>12</v>
      </c>
      <c r="E96" s="112">
        <f t="shared" si="12"/>
        <v>9.578285826195021E-5</v>
      </c>
      <c r="F96" s="129">
        <v>196063.5</v>
      </c>
      <c r="G96" s="129">
        <f t="shared" si="13"/>
        <v>2033.0027210768401</v>
      </c>
      <c r="H96" s="129">
        <f t="shared" si="14"/>
        <v>194030.49727892317</v>
      </c>
      <c r="I96" s="113">
        <f t="shared" si="15"/>
        <v>21031090.134608209</v>
      </c>
      <c r="J96" s="113">
        <f t="shared" si="16"/>
        <v>13968909.865391767</v>
      </c>
    </row>
    <row r="97" spans="3:10" x14ac:dyDescent="0.25">
      <c r="C97" s="153">
        <v>7</v>
      </c>
      <c r="D97" s="118">
        <v>1</v>
      </c>
      <c r="E97" s="112">
        <f t="shared" ref="E97:E108" si="17">$F$10</f>
        <v>1.0410703546392952E-4</v>
      </c>
      <c r="F97" s="129">
        <v>196063.5</v>
      </c>
      <c r="G97" s="129">
        <f t="shared" si="13"/>
        <v>2189.4844464887551</v>
      </c>
      <c r="H97" s="129">
        <f t="shared" si="14"/>
        <v>193874.01555351124</v>
      </c>
      <c r="I97" s="113">
        <f t="shared" si="15"/>
        <v>20837216.119054697</v>
      </c>
      <c r="J97" s="113">
        <f t="shared" si="16"/>
        <v>14162783.880945278</v>
      </c>
    </row>
    <row r="98" spans="3:10" x14ac:dyDescent="0.25">
      <c r="C98" s="153"/>
      <c r="D98" s="118">
        <v>2</v>
      </c>
      <c r="E98" s="112">
        <f t="shared" si="17"/>
        <v>1.0410703546392952E-4</v>
      </c>
      <c r="F98" s="129">
        <v>196063.5</v>
      </c>
      <c r="G98" s="129">
        <f t="shared" si="13"/>
        <v>2169.3007974759912</v>
      </c>
      <c r="H98" s="129">
        <f t="shared" si="14"/>
        <v>193894.199202524</v>
      </c>
      <c r="I98" s="113">
        <f t="shared" si="15"/>
        <v>20643321.919852175</v>
      </c>
      <c r="J98" s="113">
        <f t="shared" si="16"/>
        <v>14356678.080147803</v>
      </c>
    </row>
    <row r="99" spans="3:10" x14ac:dyDescent="0.25">
      <c r="C99" s="153"/>
      <c r="D99" s="118">
        <v>3</v>
      </c>
      <c r="E99" s="112">
        <f t="shared" si="17"/>
        <v>1.0410703546392952E-4</v>
      </c>
      <c r="F99" s="129">
        <v>196063.5</v>
      </c>
      <c r="G99" s="129">
        <f t="shared" si="13"/>
        <v>2149.1150472033642</v>
      </c>
      <c r="H99" s="129">
        <f t="shared" si="14"/>
        <v>193914.38495279662</v>
      </c>
      <c r="I99" s="113">
        <f t="shared" si="15"/>
        <v>20449407.534899376</v>
      </c>
      <c r="J99" s="113">
        <f t="shared" si="16"/>
        <v>14550592.465100599</v>
      </c>
    </row>
    <row r="100" spans="3:10" x14ac:dyDescent="0.25">
      <c r="C100" s="153"/>
      <c r="D100" s="118">
        <v>4</v>
      </c>
      <c r="E100" s="112">
        <f t="shared" si="17"/>
        <v>1.0410703546392952E-4</v>
      </c>
      <c r="F100" s="129">
        <v>196063.5</v>
      </c>
      <c r="G100" s="129">
        <f t="shared" si="13"/>
        <v>2128.9271954521168</v>
      </c>
      <c r="H100" s="129">
        <f t="shared" si="14"/>
        <v>193934.57280454788</v>
      </c>
      <c r="I100" s="113">
        <f t="shared" si="15"/>
        <v>20255472.962094828</v>
      </c>
      <c r="J100" s="113">
        <f t="shared" si="16"/>
        <v>14744527.037905147</v>
      </c>
    </row>
    <row r="101" spans="3:10" x14ac:dyDescent="0.25">
      <c r="C101" s="153"/>
      <c r="D101" s="118">
        <v>5</v>
      </c>
      <c r="E101" s="112">
        <f t="shared" si="17"/>
        <v>1.0410703546392952E-4</v>
      </c>
      <c r="F101" s="129">
        <v>196063.5</v>
      </c>
      <c r="G101" s="129">
        <f t="shared" si="13"/>
        <v>2108.7372420034717</v>
      </c>
      <c r="H101" s="129">
        <f t="shared" si="14"/>
        <v>193954.76275799653</v>
      </c>
      <c r="I101" s="113">
        <f t="shared" si="15"/>
        <v>20061518.199336831</v>
      </c>
      <c r="J101" s="113">
        <f t="shared" si="16"/>
        <v>14938481.800663143</v>
      </c>
    </row>
    <row r="102" spans="3:10" x14ac:dyDescent="0.25">
      <c r="C102" s="153"/>
      <c r="D102" s="118">
        <v>6</v>
      </c>
      <c r="E102" s="112">
        <f t="shared" si="17"/>
        <v>1.0410703546392952E-4</v>
      </c>
      <c r="F102" s="129">
        <v>196063.5</v>
      </c>
      <c r="G102" s="129">
        <f t="shared" si="13"/>
        <v>2088.545186638627</v>
      </c>
      <c r="H102" s="129">
        <f t="shared" si="14"/>
        <v>193974.95481336137</v>
      </c>
      <c r="I102" s="113">
        <f t="shared" si="15"/>
        <v>19867543.244523469</v>
      </c>
      <c r="J102" s="113">
        <f t="shared" si="16"/>
        <v>15132456.755476505</v>
      </c>
    </row>
    <row r="103" spans="3:10" x14ac:dyDescent="0.25">
      <c r="C103" s="153"/>
      <c r="D103" s="118">
        <v>7</v>
      </c>
      <c r="E103" s="112">
        <f t="shared" si="17"/>
        <v>1.0410703546392952E-4</v>
      </c>
      <c r="F103" s="129">
        <v>196063.5</v>
      </c>
      <c r="G103" s="129">
        <f t="shared" si="13"/>
        <v>2068.3510291387583</v>
      </c>
      <c r="H103" s="129">
        <f t="shared" si="14"/>
        <v>193995.14897086125</v>
      </c>
      <c r="I103" s="113">
        <f t="shared" si="15"/>
        <v>19673548.095552608</v>
      </c>
      <c r="J103" s="113">
        <f t="shared" si="16"/>
        <v>15326451.904447366</v>
      </c>
    </row>
    <row r="104" spans="3:10" x14ac:dyDescent="0.25">
      <c r="C104" s="153"/>
      <c r="D104" s="118">
        <v>8</v>
      </c>
      <c r="E104" s="112">
        <f t="shared" si="17"/>
        <v>1.0410703546392952E-4</v>
      </c>
      <c r="F104" s="129">
        <v>196063.5</v>
      </c>
      <c r="G104" s="129">
        <f t="shared" si="13"/>
        <v>2048.1547692850186</v>
      </c>
      <c r="H104" s="129">
        <f t="shared" si="14"/>
        <v>194015.34523071497</v>
      </c>
      <c r="I104" s="113">
        <f t="shared" si="15"/>
        <v>19479532.750321895</v>
      </c>
      <c r="J104" s="113">
        <f t="shared" si="16"/>
        <v>15520467.249678081</v>
      </c>
    </row>
    <row r="105" spans="3:10" x14ac:dyDescent="0.25">
      <c r="C105" s="153"/>
      <c r="D105" s="118">
        <v>9</v>
      </c>
      <c r="E105" s="112">
        <f t="shared" si="17"/>
        <v>1.0410703546392952E-4</v>
      </c>
      <c r="F105" s="129">
        <v>196063.5</v>
      </c>
      <c r="G105" s="129">
        <f t="shared" si="13"/>
        <v>2027.956406858538</v>
      </c>
      <c r="H105" s="129">
        <f t="shared" si="14"/>
        <v>194035.54359314145</v>
      </c>
      <c r="I105" s="113">
        <f t="shared" si="15"/>
        <v>19285497.206728753</v>
      </c>
      <c r="J105" s="113">
        <f t="shared" si="16"/>
        <v>15714502.793271223</v>
      </c>
    </row>
    <row r="106" spans="3:10" x14ac:dyDescent="0.25">
      <c r="C106" s="153"/>
      <c r="D106" s="118">
        <v>10</v>
      </c>
      <c r="E106" s="112">
        <f t="shared" si="17"/>
        <v>1.0410703546392952E-4</v>
      </c>
      <c r="F106" s="129">
        <v>196063.5</v>
      </c>
      <c r="G106" s="129">
        <f t="shared" si="13"/>
        <v>2007.755941640424</v>
      </c>
      <c r="H106" s="129">
        <f t="shared" si="14"/>
        <v>194055.74405835959</v>
      </c>
      <c r="I106" s="113">
        <f t="shared" si="15"/>
        <v>19091441.462670393</v>
      </c>
      <c r="J106" s="113">
        <f t="shared" si="16"/>
        <v>15908558.537329582</v>
      </c>
    </row>
    <row r="107" spans="3:10" x14ac:dyDescent="0.25">
      <c r="C107" s="153"/>
      <c r="D107" s="118">
        <v>11</v>
      </c>
      <c r="E107" s="112">
        <f t="shared" si="17"/>
        <v>1.0410703546392952E-4</v>
      </c>
      <c r="F107" s="129">
        <v>196063.5</v>
      </c>
      <c r="G107" s="129">
        <f t="shared" si="13"/>
        <v>1987.5533734117612</v>
      </c>
      <c r="H107" s="129">
        <f t="shared" si="14"/>
        <v>194075.94662658824</v>
      </c>
      <c r="I107" s="113">
        <f t="shared" si="15"/>
        <v>18897365.516043805</v>
      </c>
      <c r="J107" s="113">
        <f t="shared" si="16"/>
        <v>16102634.483956171</v>
      </c>
    </row>
    <row r="108" spans="3:10" x14ac:dyDescent="0.25">
      <c r="C108" s="153"/>
      <c r="D108" s="118">
        <v>12</v>
      </c>
      <c r="E108" s="112">
        <f t="shared" si="17"/>
        <v>1.0410703546392952E-4</v>
      </c>
      <c r="F108" s="129">
        <v>196063.5</v>
      </c>
      <c r="G108" s="129">
        <f t="shared" si="13"/>
        <v>1967.3487019536112</v>
      </c>
      <c r="H108" s="129">
        <f t="shared" si="14"/>
        <v>194096.1512980464</v>
      </c>
      <c r="I108" s="113">
        <f t="shared" si="15"/>
        <v>18703269.364745758</v>
      </c>
      <c r="J108" s="113">
        <f t="shared" si="16"/>
        <v>16296730.635254217</v>
      </c>
    </row>
    <row r="109" spans="3:10" x14ac:dyDescent="0.25">
      <c r="C109" s="153">
        <v>8</v>
      </c>
      <c r="D109" s="118">
        <v>1</v>
      </c>
      <c r="E109" s="112">
        <f>$F$11</f>
        <v>1.1243045060393975E-4</v>
      </c>
      <c r="F109" s="129">
        <v>196063.5</v>
      </c>
      <c r="G109" s="129">
        <f t="shared" si="13"/>
        <v>2102.8170024452274</v>
      </c>
      <c r="H109" s="129">
        <f t="shared" si="14"/>
        <v>193960.68299755477</v>
      </c>
      <c r="I109" s="113">
        <f t="shared" si="15"/>
        <v>18509308.681748204</v>
      </c>
      <c r="J109" s="113">
        <f t="shared" si="16"/>
        <v>16490691.318251772</v>
      </c>
    </row>
    <row r="110" spans="3:10" x14ac:dyDescent="0.25">
      <c r="C110" s="153"/>
      <c r="D110" s="118">
        <v>2</v>
      </c>
      <c r="E110" s="112">
        <f t="shared" ref="E110:E120" si="18">$F$11</f>
        <v>1.1243045060393975E-4</v>
      </c>
      <c r="F110" s="129">
        <v>196063.5</v>
      </c>
      <c r="G110" s="129">
        <f t="shared" si="13"/>
        <v>2081.0099154563645</v>
      </c>
      <c r="H110" s="129">
        <f t="shared" si="14"/>
        <v>193982.49008454365</v>
      </c>
      <c r="I110" s="113">
        <f t="shared" si="15"/>
        <v>18315326.19166366</v>
      </c>
      <c r="J110" s="113">
        <f t="shared" si="16"/>
        <v>16684673.808336316</v>
      </c>
    </row>
    <row r="111" spans="3:10" x14ac:dyDescent="0.25">
      <c r="C111" s="153"/>
      <c r="D111" s="118">
        <v>3</v>
      </c>
      <c r="E111" s="112">
        <f t="shared" si="18"/>
        <v>1.1243045060393975E-4</v>
      </c>
      <c r="F111" s="129">
        <v>196063.5</v>
      </c>
      <c r="G111" s="129">
        <f t="shared" si="13"/>
        <v>2059.2003766868852</v>
      </c>
      <c r="H111" s="129">
        <f t="shared" si="14"/>
        <v>194004.29962331313</v>
      </c>
      <c r="I111" s="113">
        <f t="shared" si="15"/>
        <v>18121321.892040346</v>
      </c>
      <c r="J111" s="113">
        <f t="shared" si="16"/>
        <v>16878678.107959628</v>
      </c>
    </row>
    <row r="112" spans="3:10" x14ac:dyDescent="0.25">
      <c r="C112" s="153"/>
      <c r="D112" s="118">
        <v>4</v>
      </c>
      <c r="E112" s="112">
        <f t="shared" si="18"/>
        <v>1.1243045060393975E-4</v>
      </c>
      <c r="F112" s="129">
        <v>196063.5</v>
      </c>
      <c r="G112" s="129">
        <f t="shared" si="13"/>
        <v>2037.3883858611341</v>
      </c>
      <c r="H112" s="129">
        <f t="shared" si="14"/>
        <v>194026.11161413888</v>
      </c>
      <c r="I112" s="113">
        <f t="shared" si="15"/>
        <v>17927295.780426208</v>
      </c>
      <c r="J112" s="113">
        <f t="shared" si="16"/>
        <v>17072704.219573766</v>
      </c>
    </row>
    <row r="113" spans="3:10" x14ac:dyDescent="0.25">
      <c r="C113" s="153"/>
      <c r="D113" s="118">
        <v>5</v>
      </c>
      <c r="E113" s="112">
        <f t="shared" si="18"/>
        <v>1.1243045060393975E-4</v>
      </c>
      <c r="F113" s="129">
        <v>196063.5</v>
      </c>
      <c r="G113" s="129">
        <f t="shared" si="13"/>
        <v>2015.5739427034262</v>
      </c>
      <c r="H113" s="129">
        <f t="shared" si="14"/>
        <v>194047.92605729657</v>
      </c>
      <c r="I113" s="113">
        <f t="shared" si="15"/>
        <v>17733247.85436891</v>
      </c>
      <c r="J113" s="113">
        <f t="shared" si="16"/>
        <v>17266752.145631064</v>
      </c>
    </row>
    <row r="114" spans="3:10" x14ac:dyDescent="0.25">
      <c r="C114" s="153"/>
      <c r="D114" s="118">
        <v>6</v>
      </c>
      <c r="E114" s="112">
        <f t="shared" si="18"/>
        <v>1.1243045060393975E-4</v>
      </c>
      <c r="F114" s="129">
        <v>196063.5</v>
      </c>
      <c r="G114" s="129">
        <f t="shared" si="13"/>
        <v>1993.7570469380444</v>
      </c>
      <c r="H114" s="129">
        <f t="shared" si="14"/>
        <v>194069.74295306194</v>
      </c>
      <c r="I114" s="113">
        <f t="shared" si="15"/>
        <v>17539178.111415848</v>
      </c>
      <c r="J114" s="113">
        <f t="shared" si="16"/>
        <v>17460821.888584126</v>
      </c>
    </row>
    <row r="115" spans="3:10" x14ac:dyDescent="0.25">
      <c r="C115" s="153"/>
      <c r="D115" s="118">
        <v>7</v>
      </c>
      <c r="E115" s="112">
        <f t="shared" si="18"/>
        <v>1.1243045060393975E-4</v>
      </c>
      <c r="F115" s="129">
        <v>196063.5</v>
      </c>
      <c r="G115" s="129">
        <f t="shared" si="13"/>
        <v>1971.9376982892406</v>
      </c>
      <c r="H115" s="129">
        <f t="shared" si="14"/>
        <v>194091.56230171077</v>
      </c>
      <c r="I115" s="113">
        <f t="shared" si="15"/>
        <v>17345086.549114138</v>
      </c>
      <c r="J115" s="113">
        <f t="shared" si="16"/>
        <v>17654913.450885836</v>
      </c>
    </row>
    <row r="116" spans="3:10" x14ac:dyDescent="0.25">
      <c r="C116" s="153"/>
      <c r="D116" s="118">
        <v>8</v>
      </c>
      <c r="E116" s="112">
        <f t="shared" si="18"/>
        <v>1.1243045060393975E-4</v>
      </c>
      <c r="F116" s="129">
        <v>196063.5</v>
      </c>
      <c r="G116" s="129">
        <f t="shared" si="13"/>
        <v>1950.1158964812369</v>
      </c>
      <c r="H116" s="129">
        <f t="shared" si="14"/>
        <v>194113.38410351877</v>
      </c>
      <c r="I116" s="113">
        <f t="shared" si="15"/>
        <v>17150973.16501062</v>
      </c>
      <c r="J116" s="113">
        <f t="shared" si="16"/>
        <v>17849026.834989354</v>
      </c>
    </row>
    <row r="117" spans="3:10" x14ac:dyDescent="0.25">
      <c r="C117" s="153"/>
      <c r="D117" s="118">
        <v>9</v>
      </c>
      <c r="E117" s="112">
        <f t="shared" si="18"/>
        <v>1.1243045060393975E-4</v>
      </c>
      <c r="F117" s="129">
        <v>196063.5</v>
      </c>
      <c r="G117" s="129">
        <f t="shared" si="13"/>
        <v>1928.2916412382226</v>
      </c>
      <c r="H117" s="129">
        <f t="shared" si="14"/>
        <v>194135.20835876177</v>
      </c>
      <c r="I117" s="113">
        <f t="shared" si="15"/>
        <v>16956837.956651859</v>
      </c>
      <c r="J117" s="113">
        <f t="shared" si="16"/>
        <v>18043162.043348115</v>
      </c>
    </row>
    <row r="118" spans="3:10" x14ac:dyDescent="0.25">
      <c r="C118" s="153"/>
      <c r="D118" s="118">
        <v>10</v>
      </c>
      <c r="E118" s="112">
        <f t="shared" si="18"/>
        <v>1.1243045060393975E-4</v>
      </c>
      <c r="F118" s="129">
        <v>196063.5</v>
      </c>
      <c r="G118" s="129">
        <f t="shared" si="13"/>
        <v>1906.4649322843575</v>
      </c>
      <c r="H118" s="129">
        <f t="shared" si="14"/>
        <v>194157.03506771565</v>
      </c>
      <c r="I118" s="113">
        <f t="shared" si="15"/>
        <v>16762680.921584144</v>
      </c>
      <c r="J118" s="113">
        <f t="shared" si="16"/>
        <v>18237319.07841583</v>
      </c>
    </row>
    <row r="119" spans="3:10" x14ac:dyDescent="0.25">
      <c r="C119" s="153"/>
      <c r="D119" s="118">
        <v>11</v>
      </c>
      <c r="E119" s="112">
        <f t="shared" si="18"/>
        <v>1.1243045060393975E-4</v>
      </c>
      <c r="F119" s="129">
        <v>196063.5</v>
      </c>
      <c r="G119" s="129">
        <f t="shared" si="13"/>
        <v>1884.6357693437694</v>
      </c>
      <c r="H119" s="129">
        <f t="shared" si="14"/>
        <v>194178.86423065624</v>
      </c>
      <c r="I119" s="113">
        <f t="shared" si="15"/>
        <v>16568502.057353487</v>
      </c>
      <c r="J119" s="113">
        <f t="shared" si="16"/>
        <v>18431497.942646485</v>
      </c>
    </row>
    <row r="120" spans="3:10" x14ac:dyDescent="0.25">
      <c r="C120" s="153"/>
      <c r="D120" s="118">
        <v>12</v>
      </c>
      <c r="E120" s="112">
        <f t="shared" si="18"/>
        <v>1.1243045060393975E-4</v>
      </c>
      <c r="F120" s="129">
        <v>196063.5</v>
      </c>
      <c r="G120" s="129">
        <f t="shared" si="13"/>
        <v>1862.8041521405553</v>
      </c>
      <c r="H120" s="129">
        <f t="shared" si="14"/>
        <v>194200.69584785943</v>
      </c>
      <c r="I120" s="113">
        <f t="shared" si="15"/>
        <v>16374301.361505628</v>
      </c>
      <c r="J120" s="113">
        <f t="shared" si="16"/>
        <v>18625698.638494343</v>
      </c>
    </row>
    <row r="121" spans="3:10" x14ac:dyDescent="0.25">
      <c r="C121" s="153">
        <v>9</v>
      </c>
      <c r="D121" s="118">
        <v>1</v>
      </c>
      <c r="E121" s="112">
        <f>$F$12</f>
        <v>1.2075310382786419E-4</v>
      </c>
      <c r="F121" s="129">
        <v>196063.5</v>
      </c>
      <c r="G121" s="129">
        <f t="shared" si="13"/>
        <v>1977.2477124146271</v>
      </c>
      <c r="H121" s="129">
        <f t="shared" si="14"/>
        <v>194086.25228758538</v>
      </c>
      <c r="I121" s="113">
        <f t="shared" si="15"/>
        <v>16180215.109218042</v>
      </c>
      <c r="J121" s="113">
        <f t="shared" si="16"/>
        <v>18819784.890781928</v>
      </c>
    </row>
    <row r="122" spans="3:10" x14ac:dyDescent="0.25">
      <c r="C122" s="153"/>
      <c r="D122" s="118">
        <v>2</v>
      </c>
      <c r="E122" s="112">
        <f t="shared" ref="E122:E132" si="19">$F$12</f>
        <v>1.2075310382786419E-4</v>
      </c>
      <c r="F122" s="129">
        <v>196063.5</v>
      </c>
      <c r="G122" s="129">
        <f t="shared" si="13"/>
        <v>1953.8111950405832</v>
      </c>
      <c r="H122" s="129">
        <f t="shared" si="14"/>
        <v>194109.68880495941</v>
      </c>
      <c r="I122" s="113">
        <f t="shared" si="15"/>
        <v>15986105.420413082</v>
      </c>
      <c r="J122" s="113">
        <f t="shared" si="16"/>
        <v>19013894.579586886</v>
      </c>
    </row>
    <row r="123" spans="3:10" x14ac:dyDescent="0.25">
      <c r="C123" s="153"/>
      <c r="D123" s="118">
        <v>3</v>
      </c>
      <c r="E123" s="112">
        <f t="shared" si="19"/>
        <v>1.2075310382786419E-4</v>
      </c>
      <c r="F123" s="129">
        <v>196063.5</v>
      </c>
      <c r="G123" s="129">
        <f t="shared" si="13"/>
        <v>1930.3718476343236</v>
      </c>
      <c r="H123" s="129">
        <f t="shared" si="14"/>
        <v>194133.12815236568</v>
      </c>
      <c r="I123" s="113">
        <f t="shared" si="15"/>
        <v>15791972.292260718</v>
      </c>
      <c r="J123" s="113">
        <f t="shared" si="16"/>
        <v>19208027.707739253</v>
      </c>
    </row>
    <row r="124" spans="3:10" x14ac:dyDescent="0.25">
      <c r="C124" s="153"/>
      <c r="D124" s="118">
        <v>4</v>
      </c>
      <c r="E124" s="112">
        <f t="shared" si="19"/>
        <v>1.2075310382786419E-4</v>
      </c>
      <c r="F124" s="129">
        <v>196063.5</v>
      </c>
      <c r="G124" s="129">
        <f t="shared" si="13"/>
        <v>1906.9296698541129</v>
      </c>
      <c r="H124" s="129">
        <f t="shared" si="14"/>
        <v>194156.57033014589</v>
      </c>
      <c r="I124" s="113">
        <f t="shared" si="15"/>
        <v>15597815.721930571</v>
      </c>
      <c r="J124" s="113">
        <f t="shared" si="16"/>
        <v>19402184.278069399</v>
      </c>
    </row>
    <row r="125" spans="3:10" x14ac:dyDescent="0.25">
      <c r="C125" s="153"/>
      <c r="D125" s="118">
        <v>5</v>
      </c>
      <c r="E125" s="112">
        <f t="shared" si="19"/>
        <v>1.2075310382786419E-4</v>
      </c>
      <c r="F125" s="129">
        <v>196063.5</v>
      </c>
      <c r="G125" s="129">
        <f t="shared" si="13"/>
        <v>1883.4846613581747</v>
      </c>
      <c r="H125" s="129">
        <f t="shared" si="14"/>
        <v>194180.01533864182</v>
      </c>
      <c r="I125" s="113">
        <f t="shared" si="15"/>
        <v>15403635.706591928</v>
      </c>
      <c r="J125" s="113">
        <f t="shared" si="16"/>
        <v>19596364.29340804</v>
      </c>
    </row>
    <row r="126" spans="3:10" x14ac:dyDescent="0.25">
      <c r="C126" s="153"/>
      <c r="D126" s="118">
        <v>6</v>
      </c>
      <c r="E126" s="112">
        <f t="shared" si="19"/>
        <v>1.2075310382786419E-4</v>
      </c>
      <c r="F126" s="129">
        <v>196063.5</v>
      </c>
      <c r="G126" s="129">
        <f t="shared" si="13"/>
        <v>1860.0368218046913</v>
      </c>
      <c r="H126" s="129">
        <f t="shared" si="14"/>
        <v>194203.46317819532</v>
      </c>
      <c r="I126" s="113">
        <f t="shared" si="15"/>
        <v>15209432.243413733</v>
      </c>
      <c r="J126" s="113">
        <f t="shared" si="16"/>
        <v>19790567.756586235</v>
      </c>
    </row>
    <row r="127" spans="3:10" x14ac:dyDescent="0.25">
      <c r="C127" s="153"/>
      <c r="D127" s="118">
        <v>7</v>
      </c>
      <c r="E127" s="112">
        <f t="shared" si="19"/>
        <v>1.2075310382786419E-4</v>
      </c>
      <c r="F127" s="129">
        <v>196063.5</v>
      </c>
      <c r="G127" s="129">
        <f t="shared" si="13"/>
        <v>1836.5861508518039</v>
      </c>
      <c r="H127" s="129">
        <f t="shared" si="14"/>
        <v>194226.9138491482</v>
      </c>
      <c r="I127" s="113">
        <f t="shared" si="15"/>
        <v>15015205.329564584</v>
      </c>
      <c r="J127" s="113">
        <f t="shared" si="16"/>
        <v>19984794.670435384</v>
      </c>
    </row>
    <row r="128" spans="3:10" x14ac:dyDescent="0.25">
      <c r="C128" s="153"/>
      <c r="D128" s="118">
        <v>8</v>
      </c>
      <c r="E128" s="112">
        <f t="shared" si="19"/>
        <v>1.2075310382786419E-4</v>
      </c>
      <c r="F128" s="129">
        <v>196063.5</v>
      </c>
      <c r="G128" s="129">
        <f t="shared" si="13"/>
        <v>1813.132648157612</v>
      </c>
      <c r="H128" s="129">
        <f t="shared" si="14"/>
        <v>194250.36735184237</v>
      </c>
      <c r="I128" s="113">
        <f t="shared" si="15"/>
        <v>14820954.962212741</v>
      </c>
      <c r="J128" s="113">
        <f t="shared" si="16"/>
        <v>20179045.037787225</v>
      </c>
    </row>
    <row r="129" spans="3:10" x14ac:dyDescent="0.25">
      <c r="C129" s="153"/>
      <c r="D129" s="118">
        <v>9</v>
      </c>
      <c r="E129" s="112">
        <f t="shared" si="19"/>
        <v>1.2075310382786419E-4</v>
      </c>
      <c r="F129" s="129">
        <v>196063.5</v>
      </c>
      <c r="G129" s="129">
        <f t="shared" si="13"/>
        <v>1789.6763133801742</v>
      </c>
      <c r="H129" s="129">
        <f t="shared" si="14"/>
        <v>194273.82368661981</v>
      </c>
      <c r="I129" s="113">
        <f t="shared" si="15"/>
        <v>14626681.138526121</v>
      </c>
      <c r="J129" s="113">
        <f t="shared" si="16"/>
        <v>20373318.861473843</v>
      </c>
    </row>
    <row r="130" spans="3:10" x14ac:dyDescent="0.25">
      <c r="C130" s="153"/>
      <c r="D130" s="118">
        <v>10</v>
      </c>
      <c r="E130" s="112">
        <f t="shared" si="19"/>
        <v>1.2075310382786419E-4</v>
      </c>
      <c r="F130" s="129">
        <v>196063.5</v>
      </c>
      <c r="G130" s="129">
        <f t="shared" si="13"/>
        <v>1766.2171461775076</v>
      </c>
      <c r="H130" s="129">
        <f t="shared" si="14"/>
        <v>194297.28285382249</v>
      </c>
      <c r="I130" s="113">
        <f t="shared" si="15"/>
        <v>14432383.855672298</v>
      </c>
      <c r="J130" s="113">
        <f t="shared" si="16"/>
        <v>20567616.144327667</v>
      </c>
    </row>
    <row r="131" spans="3:10" x14ac:dyDescent="0.25">
      <c r="C131" s="153"/>
      <c r="D131" s="118">
        <v>11</v>
      </c>
      <c r="E131" s="112">
        <f t="shared" si="19"/>
        <v>1.2075310382786419E-4</v>
      </c>
      <c r="F131" s="129">
        <v>196063.5</v>
      </c>
      <c r="G131" s="129">
        <f t="shared" si="13"/>
        <v>1742.755146207588</v>
      </c>
      <c r="H131" s="129">
        <f t="shared" si="14"/>
        <v>194320.74485379242</v>
      </c>
      <c r="I131" s="113">
        <f t="shared" si="15"/>
        <v>14238063.110818505</v>
      </c>
      <c r="J131" s="113">
        <f t="shared" si="16"/>
        <v>20761936.889181457</v>
      </c>
    </row>
    <row r="132" spans="3:10" x14ac:dyDescent="0.25">
      <c r="C132" s="153"/>
      <c r="D132" s="118">
        <v>12</v>
      </c>
      <c r="E132" s="112">
        <f t="shared" si="19"/>
        <v>1.2075310382786419E-4</v>
      </c>
      <c r="F132" s="129">
        <v>196063.5</v>
      </c>
      <c r="G132" s="129">
        <f t="shared" si="13"/>
        <v>1719.2903131283501</v>
      </c>
      <c r="H132" s="129">
        <f t="shared" si="14"/>
        <v>194344.20968687165</v>
      </c>
      <c r="I132" s="113">
        <f t="shared" si="15"/>
        <v>14043718.901131634</v>
      </c>
      <c r="J132" s="113">
        <f t="shared" si="16"/>
        <v>20956281.098868329</v>
      </c>
    </row>
    <row r="133" spans="3:10" x14ac:dyDescent="0.25">
      <c r="C133" s="153">
        <v>10</v>
      </c>
      <c r="D133" s="118">
        <v>1</v>
      </c>
      <c r="E133" s="112">
        <f>$F$13</f>
        <v>1.2907499528136412E-4</v>
      </c>
      <c r="F133" s="129">
        <v>196063.5</v>
      </c>
      <c r="G133" s="129">
        <f t="shared" si="13"/>
        <v>1812.6929508963699</v>
      </c>
      <c r="H133" s="129">
        <f t="shared" si="14"/>
        <v>194250.80704910363</v>
      </c>
      <c r="I133" s="113">
        <f t="shared" si="15"/>
        <v>13849468.094082531</v>
      </c>
      <c r="J133" s="113">
        <f t="shared" si="16"/>
        <v>21150531.905917432</v>
      </c>
    </row>
    <row r="134" spans="3:10" x14ac:dyDescent="0.25">
      <c r="C134" s="153"/>
      <c r="D134" s="118">
        <v>2</v>
      </c>
      <c r="E134" s="112">
        <f t="shared" ref="E134:E144" si="20">$F$13</f>
        <v>1.2907499528136412E-4</v>
      </c>
      <c r="F134" s="129">
        <v>196063.5</v>
      </c>
      <c r="G134" s="129">
        <f t="shared" si="13"/>
        <v>1787.6200288931057</v>
      </c>
      <c r="H134" s="129">
        <f t="shared" si="14"/>
        <v>194275.87997110689</v>
      </c>
      <c r="I134" s="113">
        <f t="shared" si="15"/>
        <v>13655192.214111423</v>
      </c>
      <c r="J134" s="113">
        <f t="shared" si="16"/>
        <v>21344807.785888538</v>
      </c>
    </row>
    <row r="135" spans="3:10" x14ac:dyDescent="0.25">
      <c r="C135" s="153"/>
      <c r="D135" s="118">
        <v>3</v>
      </c>
      <c r="E135" s="112">
        <f t="shared" si="20"/>
        <v>1.2907499528136412E-4</v>
      </c>
      <c r="F135" s="129">
        <v>196063.5</v>
      </c>
      <c r="G135" s="129">
        <f t="shared" si="13"/>
        <v>1762.543870602552</v>
      </c>
      <c r="H135" s="129">
        <f t="shared" si="14"/>
        <v>194300.95612939744</v>
      </c>
      <c r="I135" s="113">
        <f t="shared" si="15"/>
        <v>13460891.257982025</v>
      </c>
      <c r="J135" s="113">
        <f t="shared" si="16"/>
        <v>21539108.742017936</v>
      </c>
    </row>
    <row r="136" spans="3:10" x14ac:dyDescent="0.25">
      <c r="C136" s="153"/>
      <c r="D136" s="118">
        <v>4</v>
      </c>
      <c r="E136" s="112">
        <f t="shared" si="20"/>
        <v>1.2907499528136412E-4</v>
      </c>
      <c r="F136" s="129">
        <v>196063.5</v>
      </c>
      <c r="G136" s="129">
        <f t="shared" si="13"/>
        <v>1737.4644756069854</v>
      </c>
      <c r="H136" s="129">
        <f t="shared" si="14"/>
        <v>194326.03552439302</v>
      </c>
      <c r="I136" s="113">
        <f t="shared" si="15"/>
        <v>13266565.222457632</v>
      </c>
      <c r="J136" s="113">
        <f t="shared" si="16"/>
        <v>21733434.77754233</v>
      </c>
    </row>
    <row r="137" spans="3:10" x14ac:dyDescent="0.25">
      <c r="C137" s="153"/>
      <c r="D137" s="118">
        <v>5</v>
      </c>
      <c r="E137" s="112">
        <f t="shared" si="20"/>
        <v>1.2907499528136412E-4</v>
      </c>
      <c r="F137" s="129">
        <v>196063.5</v>
      </c>
      <c r="G137" s="129">
        <f t="shared" si="13"/>
        <v>1712.3818434886282</v>
      </c>
      <c r="H137" s="129">
        <f t="shared" si="14"/>
        <v>194351.11815651137</v>
      </c>
      <c r="I137" s="113">
        <f t="shared" si="15"/>
        <v>13072214.104301121</v>
      </c>
      <c r="J137" s="113">
        <f t="shared" si="16"/>
        <v>21927785.895698842</v>
      </c>
    </row>
    <row r="138" spans="3:10" x14ac:dyDescent="0.25">
      <c r="C138" s="153"/>
      <c r="D138" s="118">
        <v>6</v>
      </c>
      <c r="E138" s="112">
        <f t="shared" si="20"/>
        <v>1.2907499528136412E-4</v>
      </c>
      <c r="F138" s="129">
        <v>196063.5</v>
      </c>
      <c r="G138" s="129">
        <f t="shared" si="13"/>
        <v>1687.2959738296488</v>
      </c>
      <c r="H138" s="129">
        <f t="shared" si="14"/>
        <v>194376.20402617034</v>
      </c>
      <c r="I138" s="113">
        <f t="shared" si="15"/>
        <v>12877837.900274951</v>
      </c>
      <c r="J138" s="113">
        <f t="shared" si="16"/>
        <v>22122162.099725012</v>
      </c>
    </row>
    <row r="139" spans="3:10" x14ac:dyDescent="0.25">
      <c r="C139" s="153"/>
      <c r="D139" s="118">
        <v>7</v>
      </c>
      <c r="E139" s="112">
        <f t="shared" si="20"/>
        <v>1.2907499528136412E-4</v>
      </c>
      <c r="F139" s="129">
        <v>196063.5</v>
      </c>
      <c r="G139" s="129">
        <f t="shared" si="13"/>
        <v>1662.2068662121615</v>
      </c>
      <c r="H139" s="129">
        <f t="shared" si="14"/>
        <v>194401.29313378784</v>
      </c>
      <c r="I139" s="113">
        <f t="shared" si="15"/>
        <v>12683436.607141163</v>
      </c>
      <c r="J139" s="113">
        <f t="shared" si="16"/>
        <v>22316563.3928588</v>
      </c>
    </row>
    <row r="140" spans="3:10" x14ac:dyDescent="0.25">
      <c r="C140" s="153"/>
      <c r="D140" s="118">
        <v>8</v>
      </c>
      <c r="E140" s="112">
        <f t="shared" si="20"/>
        <v>1.2907499528136412E-4</v>
      </c>
      <c r="F140" s="129">
        <v>196063.5</v>
      </c>
      <c r="G140" s="129">
        <f t="shared" si="13"/>
        <v>1637.1145202182267</v>
      </c>
      <c r="H140" s="129">
        <f t="shared" si="14"/>
        <v>194426.38547978178</v>
      </c>
      <c r="I140" s="113">
        <f t="shared" si="15"/>
        <v>12489010.221661381</v>
      </c>
      <c r="J140" s="113">
        <f t="shared" si="16"/>
        <v>22510989.778338581</v>
      </c>
    </row>
    <row r="141" spans="3:10" x14ac:dyDescent="0.25">
      <c r="C141" s="153"/>
      <c r="D141" s="118">
        <v>9</v>
      </c>
      <c r="E141" s="112">
        <f t="shared" si="20"/>
        <v>1.2907499528136412E-4</v>
      </c>
      <c r="F141" s="129">
        <v>196063.5</v>
      </c>
      <c r="G141" s="129">
        <f t="shared" si="13"/>
        <v>1612.0189354298511</v>
      </c>
      <c r="H141" s="129">
        <f t="shared" si="14"/>
        <v>194451.48106457014</v>
      </c>
      <c r="I141" s="113">
        <f t="shared" si="15"/>
        <v>12294558.740596812</v>
      </c>
      <c r="J141" s="113">
        <f t="shared" si="16"/>
        <v>22705441.259403151</v>
      </c>
    </row>
    <row r="142" spans="3:10" x14ac:dyDescent="0.25">
      <c r="C142" s="153"/>
      <c r="D142" s="118">
        <v>10</v>
      </c>
      <c r="E142" s="112">
        <f t="shared" si="20"/>
        <v>1.2907499528136412E-4</v>
      </c>
      <c r="F142" s="129">
        <v>196063.5</v>
      </c>
      <c r="G142" s="129">
        <f t="shared" si="13"/>
        <v>1586.9201114289876</v>
      </c>
      <c r="H142" s="129">
        <f t="shared" si="14"/>
        <v>194476.57988857102</v>
      </c>
      <c r="I142" s="113">
        <f t="shared" si="15"/>
        <v>12100082.160708241</v>
      </c>
      <c r="J142" s="113">
        <f t="shared" si="16"/>
        <v>22899917.839291722</v>
      </c>
    </row>
    <row r="143" spans="3:10" x14ac:dyDescent="0.25">
      <c r="C143" s="153"/>
      <c r="D143" s="118">
        <v>11</v>
      </c>
      <c r="E143" s="112">
        <f t="shared" si="20"/>
        <v>1.2907499528136412E-4</v>
      </c>
      <c r="F143" s="129">
        <v>196063.5</v>
      </c>
      <c r="G143" s="129">
        <f t="shared" si="13"/>
        <v>1561.8180477975345</v>
      </c>
      <c r="H143" s="129">
        <f t="shared" si="14"/>
        <v>194501.68195220246</v>
      </c>
      <c r="I143" s="113">
        <f t="shared" si="15"/>
        <v>11905580.478756038</v>
      </c>
      <c r="J143" s="113">
        <f t="shared" si="16"/>
        <v>23094419.521243922</v>
      </c>
    </row>
    <row r="144" spans="3:10" x14ac:dyDescent="0.25">
      <c r="C144" s="153"/>
      <c r="D144" s="118">
        <v>12</v>
      </c>
      <c r="E144" s="112">
        <f t="shared" si="20"/>
        <v>1.2907499528136412E-4</v>
      </c>
      <c r="F144" s="129">
        <v>196063.5</v>
      </c>
      <c r="G144" s="129">
        <f t="shared" si="13"/>
        <v>1536.7127441173366</v>
      </c>
      <c r="H144" s="129">
        <f t="shared" si="14"/>
        <v>194526.78725588266</v>
      </c>
      <c r="I144" s="113">
        <f t="shared" si="15"/>
        <v>11711053.691500155</v>
      </c>
      <c r="J144" s="113">
        <f t="shared" si="16"/>
        <v>23288946.308499806</v>
      </c>
    </row>
    <row r="145" spans="3:10" x14ac:dyDescent="0.25">
      <c r="C145" s="153">
        <v>11</v>
      </c>
      <c r="D145" s="118">
        <v>1</v>
      </c>
      <c r="E145" s="112">
        <f>$F$14</f>
        <v>1.373961251101008E-4</v>
      </c>
      <c r="F145" s="129">
        <v>196063.5</v>
      </c>
      <c r="G145" s="129">
        <f t="shared" si="13"/>
        <v>1609.0533981684632</v>
      </c>
      <c r="H145" s="129">
        <f t="shared" si="14"/>
        <v>194454.44660183153</v>
      </c>
      <c r="I145" s="113">
        <f t="shared" si="15"/>
        <v>11516599.244898323</v>
      </c>
      <c r="J145" s="113">
        <f t="shared" si="16"/>
        <v>23483400.755101636</v>
      </c>
    </row>
    <row r="146" spans="3:10" x14ac:dyDescent="0.25">
      <c r="C146" s="153"/>
      <c r="D146" s="118">
        <v>2</v>
      </c>
      <c r="E146" s="112">
        <f t="shared" ref="E146:E156" si="21">$F$14</f>
        <v>1.373961251101008E-4</v>
      </c>
      <c r="F146" s="129">
        <v>196063.5</v>
      </c>
      <c r="G146" s="129">
        <f t="shared" si="13"/>
        <v>1582.3361106949424</v>
      </c>
      <c r="H146" s="129">
        <f t="shared" si="14"/>
        <v>194481.16388930505</v>
      </c>
      <c r="I146" s="113">
        <f t="shared" si="15"/>
        <v>11322118.081009017</v>
      </c>
      <c r="J146" s="113">
        <f t="shared" si="16"/>
        <v>23677881.91899094</v>
      </c>
    </row>
    <row r="147" spans="3:10" x14ac:dyDescent="0.25">
      <c r="C147" s="153"/>
      <c r="D147" s="118">
        <v>3</v>
      </c>
      <c r="E147" s="112">
        <f t="shared" si="21"/>
        <v>1.373961251101008E-4</v>
      </c>
      <c r="F147" s="129">
        <v>196063.5</v>
      </c>
      <c r="G147" s="129">
        <f t="shared" si="13"/>
        <v>1555.6151523696492</v>
      </c>
      <c r="H147" s="129">
        <f t="shared" si="14"/>
        <v>194507.88484763034</v>
      </c>
      <c r="I147" s="113">
        <f t="shared" si="15"/>
        <v>11127610.196161387</v>
      </c>
      <c r="J147" s="113">
        <f t="shared" si="16"/>
        <v>23872389.80383857</v>
      </c>
    </row>
    <row r="148" spans="3:10" x14ac:dyDescent="0.25">
      <c r="C148" s="153"/>
      <c r="D148" s="118">
        <v>4</v>
      </c>
      <c r="E148" s="112">
        <f t="shared" si="21"/>
        <v>1.373961251101008E-4</v>
      </c>
      <c r="F148" s="129">
        <v>196063.5</v>
      </c>
      <c r="G148" s="129">
        <f t="shared" si="13"/>
        <v>1528.8905226882232</v>
      </c>
      <c r="H148" s="129">
        <f t="shared" si="14"/>
        <v>194534.60947731178</v>
      </c>
      <c r="I148" s="113">
        <f t="shared" si="15"/>
        <v>10933075.586684076</v>
      </c>
      <c r="J148" s="113">
        <f t="shared" si="16"/>
        <v>24066924.413315881</v>
      </c>
    </row>
    <row r="149" spans="3:10" x14ac:dyDescent="0.25">
      <c r="C149" s="153"/>
      <c r="D149" s="118">
        <v>5</v>
      </c>
      <c r="E149" s="112">
        <f t="shared" si="21"/>
        <v>1.373961251101008E-4</v>
      </c>
      <c r="F149" s="129">
        <v>196063.5</v>
      </c>
      <c r="G149" s="129">
        <f t="shared" si="13"/>
        <v>1502.1622211462341</v>
      </c>
      <c r="H149" s="129">
        <f t="shared" si="14"/>
        <v>194561.33777885378</v>
      </c>
      <c r="I149" s="113">
        <f t="shared" si="15"/>
        <v>10738514.248905223</v>
      </c>
      <c r="J149" s="113">
        <f t="shared" si="16"/>
        <v>24261485.751094736</v>
      </c>
    </row>
    <row r="150" spans="3:10" x14ac:dyDescent="0.25">
      <c r="C150" s="153"/>
      <c r="D150" s="118">
        <v>6</v>
      </c>
      <c r="E150" s="112">
        <f t="shared" si="21"/>
        <v>1.373961251101008E-4</v>
      </c>
      <c r="F150" s="129">
        <v>196063.5</v>
      </c>
      <c r="G150" s="129">
        <f t="shared" si="13"/>
        <v>1475.4302472391821</v>
      </c>
      <c r="H150" s="129">
        <f t="shared" si="14"/>
        <v>194588.06975276081</v>
      </c>
      <c r="I150" s="113">
        <f t="shared" si="15"/>
        <v>10543926.179152463</v>
      </c>
      <c r="J150" s="113">
        <f t="shared" si="16"/>
        <v>24456073.820847496</v>
      </c>
    </row>
    <row r="151" spans="3:10" x14ac:dyDescent="0.25">
      <c r="C151" s="153"/>
      <c r="D151" s="118">
        <v>7</v>
      </c>
      <c r="E151" s="112">
        <f t="shared" si="21"/>
        <v>1.373961251101008E-4</v>
      </c>
      <c r="F151" s="129">
        <v>196063.5</v>
      </c>
      <c r="G151" s="129">
        <f t="shared" si="13"/>
        <v>1448.6946004624988</v>
      </c>
      <c r="H151" s="129">
        <f t="shared" si="14"/>
        <v>194614.80539953749</v>
      </c>
      <c r="I151" s="113">
        <f t="shared" si="15"/>
        <v>10349311.373752926</v>
      </c>
      <c r="J151" s="113">
        <f t="shared" si="16"/>
        <v>24650688.626247033</v>
      </c>
    </row>
    <row r="152" spans="3:10" x14ac:dyDescent="0.25">
      <c r="C152" s="153"/>
      <c r="D152" s="118">
        <v>8</v>
      </c>
      <c r="E152" s="112">
        <f t="shared" si="21"/>
        <v>1.373961251101008E-4</v>
      </c>
      <c r="F152" s="129">
        <v>196063.5</v>
      </c>
      <c r="G152" s="129">
        <f t="shared" si="13"/>
        <v>1421.9552803115462</v>
      </c>
      <c r="H152" s="129">
        <f t="shared" si="14"/>
        <v>194641.54471968845</v>
      </c>
      <c r="I152" s="113">
        <f t="shared" si="15"/>
        <v>10154669.829033237</v>
      </c>
      <c r="J152" s="113">
        <f t="shared" si="16"/>
        <v>24845330.170966722</v>
      </c>
    </row>
    <row r="153" spans="3:10" x14ac:dyDescent="0.25">
      <c r="C153" s="153"/>
      <c r="D153" s="118">
        <v>9</v>
      </c>
      <c r="E153" s="112">
        <f t="shared" si="21"/>
        <v>1.373961251101008E-4</v>
      </c>
      <c r="F153" s="129">
        <v>196063.5</v>
      </c>
      <c r="G153" s="129">
        <f t="shared" si="13"/>
        <v>1395.2122862816166</v>
      </c>
      <c r="H153" s="129">
        <f t="shared" si="14"/>
        <v>194668.2877137184</v>
      </c>
      <c r="I153" s="113">
        <f t="shared" si="15"/>
        <v>9960001.5413195193</v>
      </c>
      <c r="J153" s="113">
        <f t="shared" si="16"/>
        <v>25039998.45868044</v>
      </c>
    </row>
    <row r="154" spans="3:10" x14ac:dyDescent="0.25">
      <c r="C154" s="153"/>
      <c r="D154" s="118">
        <v>10</v>
      </c>
      <c r="E154" s="112">
        <f t="shared" si="21"/>
        <v>1.373961251101008E-4</v>
      </c>
      <c r="F154" s="129">
        <v>196063.5</v>
      </c>
      <c r="G154" s="129">
        <f t="shared" ref="G154:G204" si="22">I153*E154</f>
        <v>1368.4656178679334</v>
      </c>
      <c r="H154" s="129">
        <f t="shared" ref="H154:H204" si="23">F154-G154</f>
        <v>194695.03438213206</v>
      </c>
      <c r="I154" s="113">
        <f t="shared" ref="I154:I204" si="24">I153-H154</f>
        <v>9765306.5069373865</v>
      </c>
      <c r="J154" s="113">
        <f t="shared" si="16"/>
        <v>25234693.493062571</v>
      </c>
    </row>
    <row r="155" spans="3:10" x14ac:dyDescent="0.25">
      <c r="C155" s="153"/>
      <c r="D155" s="118">
        <v>11</v>
      </c>
      <c r="E155" s="112">
        <f t="shared" si="21"/>
        <v>1.373961251101008E-4</v>
      </c>
      <c r="F155" s="129">
        <v>196063.5</v>
      </c>
      <c r="G155" s="129">
        <f t="shared" si="22"/>
        <v>1341.7152745656506</v>
      </c>
      <c r="H155" s="129">
        <f t="shared" si="23"/>
        <v>194721.78472543435</v>
      </c>
      <c r="I155" s="113">
        <f t="shared" si="24"/>
        <v>9570584.7222119514</v>
      </c>
      <c r="J155" s="113">
        <f t="shared" ref="J155:J204" si="25">J154+H155</f>
        <v>25429415.277788006</v>
      </c>
    </row>
    <row r="156" spans="3:10" x14ac:dyDescent="0.25">
      <c r="C156" s="153"/>
      <c r="D156" s="118">
        <v>12</v>
      </c>
      <c r="E156" s="112">
        <f t="shared" si="21"/>
        <v>1.373961251101008E-4</v>
      </c>
      <c r="F156" s="129">
        <v>196063.5</v>
      </c>
      <c r="G156" s="129">
        <f t="shared" si="22"/>
        <v>1314.9612558698525</v>
      </c>
      <c r="H156" s="129">
        <f t="shared" si="23"/>
        <v>194748.53874413014</v>
      </c>
      <c r="I156" s="113">
        <f t="shared" si="24"/>
        <v>9375836.1834678221</v>
      </c>
      <c r="J156" s="113">
        <f t="shared" si="25"/>
        <v>25624163.816532135</v>
      </c>
    </row>
    <row r="157" spans="3:10" x14ac:dyDescent="0.25">
      <c r="C157" s="153">
        <v>12</v>
      </c>
      <c r="D157" s="118">
        <v>1</v>
      </c>
      <c r="E157" s="112">
        <f>$F$15</f>
        <v>1.4571649345995752E-4</v>
      </c>
      <c r="F157" s="129">
        <v>196063.5</v>
      </c>
      <c r="G157" s="129">
        <f t="shared" si="22"/>
        <v>1366.2139719099221</v>
      </c>
      <c r="H157" s="129">
        <f t="shared" si="23"/>
        <v>194697.28602809008</v>
      </c>
      <c r="I157" s="113">
        <f t="shared" si="24"/>
        <v>9181138.8974397313</v>
      </c>
      <c r="J157" s="113">
        <f t="shared" si="25"/>
        <v>25818861.102560226</v>
      </c>
    </row>
    <row r="158" spans="3:10" x14ac:dyDescent="0.25">
      <c r="C158" s="153"/>
      <c r="D158" s="118">
        <v>2</v>
      </c>
      <c r="E158" s="112">
        <f t="shared" ref="E158:E168" si="26">$F$15</f>
        <v>1.4571649345995752E-4</v>
      </c>
      <c r="F158" s="129">
        <v>196063.5</v>
      </c>
      <c r="G158" s="129">
        <f t="shared" si="22"/>
        <v>1337.8433661037382</v>
      </c>
      <c r="H158" s="129">
        <f t="shared" si="23"/>
        <v>194725.65663389626</v>
      </c>
      <c r="I158" s="113">
        <f t="shared" si="24"/>
        <v>8986413.2408058345</v>
      </c>
      <c r="J158" s="113">
        <f t="shared" si="25"/>
        <v>26013586.759194121</v>
      </c>
    </row>
    <row r="159" spans="3:10" x14ac:dyDescent="0.25">
      <c r="C159" s="153"/>
      <c r="D159" s="118">
        <v>3</v>
      </c>
      <c r="E159" s="112">
        <f t="shared" si="26"/>
        <v>1.4571649345995752E-4</v>
      </c>
      <c r="F159" s="129">
        <v>196063.5</v>
      </c>
      <c r="G159" s="129">
        <f t="shared" si="22"/>
        <v>1309.4686262323589</v>
      </c>
      <c r="H159" s="129">
        <f t="shared" si="23"/>
        <v>194754.03137376765</v>
      </c>
      <c r="I159" s="113">
        <f t="shared" si="24"/>
        <v>8791659.2094320673</v>
      </c>
      <c r="J159" s="113">
        <f t="shared" si="25"/>
        <v>26208340.79056789</v>
      </c>
    </row>
    <row r="160" spans="3:10" x14ac:dyDescent="0.25">
      <c r="C160" s="153"/>
      <c r="D160" s="118">
        <v>4</v>
      </c>
      <c r="E160" s="112">
        <f t="shared" si="26"/>
        <v>1.4571649345995752E-4</v>
      </c>
      <c r="F160" s="129">
        <v>196063.5</v>
      </c>
      <c r="G160" s="129">
        <f t="shared" si="22"/>
        <v>1281.0897516933831</v>
      </c>
      <c r="H160" s="129">
        <f t="shared" si="23"/>
        <v>194782.41024830661</v>
      </c>
      <c r="I160" s="113">
        <f t="shared" si="24"/>
        <v>8596876.7991837598</v>
      </c>
      <c r="J160" s="113">
        <f t="shared" si="25"/>
        <v>26403123.200816195</v>
      </c>
    </row>
    <row r="161" spans="3:10" x14ac:dyDescent="0.25">
      <c r="C161" s="153"/>
      <c r="D161" s="118">
        <v>5</v>
      </c>
      <c r="E161" s="112">
        <f t="shared" si="26"/>
        <v>1.4571649345995752E-4</v>
      </c>
      <c r="F161" s="129">
        <v>196063.5</v>
      </c>
      <c r="G161" s="129">
        <f t="shared" si="22"/>
        <v>1252.7067418843208</v>
      </c>
      <c r="H161" s="129">
        <f t="shared" si="23"/>
        <v>194810.79325811568</v>
      </c>
      <c r="I161" s="113">
        <f t="shared" si="24"/>
        <v>8402066.0059256442</v>
      </c>
      <c r="J161" s="113">
        <f t="shared" si="25"/>
        <v>26597933.994074311</v>
      </c>
    </row>
    <row r="162" spans="3:10" x14ac:dyDescent="0.25">
      <c r="C162" s="153"/>
      <c r="D162" s="118">
        <v>6</v>
      </c>
      <c r="E162" s="112">
        <f t="shared" si="26"/>
        <v>1.4571649345995752E-4</v>
      </c>
      <c r="F162" s="129">
        <v>196063.5</v>
      </c>
      <c r="G162" s="129">
        <f t="shared" si="22"/>
        <v>1224.3195962025954</v>
      </c>
      <c r="H162" s="129">
        <f t="shared" si="23"/>
        <v>194839.18040379739</v>
      </c>
      <c r="I162" s="113">
        <f t="shared" si="24"/>
        <v>8207226.8255218472</v>
      </c>
      <c r="J162" s="113">
        <f t="shared" si="25"/>
        <v>26792773.17447811</v>
      </c>
    </row>
    <row r="163" spans="3:10" x14ac:dyDescent="0.25">
      <c r="C163" s="153"/>
      <c r="D163" s="118">
        <v>7</v>
      </c>
      <c r="E163" s="112">
        <f t="shared" si="26"/>
        <v>1.4571649345995752E-4</v>
      </c>
      <c r="F163" s="129">
        <v>196063.5</v>
      </c>
      <c r="G163" s="129">
        <f t="shared" si="22"/>
        <v>1195.9283140455423</v>
      </c>
      <c r="H163" s="129">
        <f t="shared" si="23"/>
        <v>194867.57168595446</v>
      </c>
      <c r="I163" s="113">
        <f t="shared" si="24"/>
        <v>8012359.2538358923</v>
      </c>
      <c r="J163" s="113">
        <f t="shared" si="25"/>
        <v>26987640.746164065</v>
      </c>
    </row>
    <row r="164" spans="3:10" x14ac:dyDescent="0.25">
      <c r="C164" s="153"/>
      <c r="D164" s="118">
        <v>8</v>
      </c>
      <c r="E164" s="112">
        <f t="shared" si="26"/>
        <v>1.4571649345995752E-4</v>
      </c>
      <c r="F164" s="129">
        <v>196063.5</v>
      </c>
      <c r="G164" s="129">
        <f t="shared" si="22"/>
        <v>1167.5328948104079</v>
      </c>
      <c r="H164" s="129">
        <f t="shared" si="23"/>
        <v>194895.9671051896</v>
      </c>
      <c r="I164" s="113">
        <f t="shared" si="24"/>
        <v>7817463.286730703</v>
      </c>
      <c r="J164" s="113">
        <f t="shared" si="25"/>
        <v>27182536.713269256</v>
      </c>
    </row>
    <row r="165" spans="3:10" x14ac:dyDescent="0.25">
      <c r="C165" s="153"/>
      <c r="D165" s="118">
        <v>9</v>
      </c>
      <c r="E165" s="112">
        <f t="shared" si="26"/>
        <v>1.4571649345995752E-4</v>
      </c>
      <c r="F165" s="129">
        <v>196063.5</v>
      </c>
      <c r="G165" s="129">
        <f t="shared" si="22"/>
        <v>1139.1333378943525</v>
      </c>
      <c r="H165" s="129">
        <f t="shared" si="23"/>
        <v>194924.36666210566</v>
      </c>
      <c r="I165" s="113">
        <f t="shared" si="24"/>
        <v>7622538.9200685974</v>
      </c>
      <c r="J165" s="113">
        <f t="shared" si="25"/>
        <v>27377461.079931363</v>
      </c>
    </row>
    <row r="166" spans="3:10" x14ac:dyDescent="0.25">
      <c r="C166" s="153"/>
      <c r="D166" s="118">
        <v>10</v>
      </c>
      <c r="E166" s="112">
        <f t="shared" si="26"/>
        <v>1.4571649345995752E-4</v>
      </c>
      <c r="F166" s="129">
        <v>196063.5</v>
      </c>
      <c r="G166" s="129">
        <f t="shared" si="22"/>
        <v>1110.7296426944474</v>
      </c>
      <c r="H166" s="129">
        <f t="shared" si="23"/>
        <v>194952.77035730556</v>
      </c>
      <c r="I166" s="113">
        <f t="shared" si="24"/>
        <v>7427586.1497112922</v>
      </c>
      <c r="J166" s="113">
        <f t="shared" si="25"/>
        <v>27572413.850288671</v>
      </c>
    </row>
    <row r="167" spans="3:10" x14ac:dyDescent="0.25">
      <c r="C167" s="153"/>
      <c r="D167" s="118">
        <v>11</v>
      </c>
      <c r="E167" s="112">
        <f t="shared" si="26"/>
        <v>1.4571649345995752E-4</v>
      </c>
      <c r="F167" s="129">
        <v>196063.5</v>
      </c>
      <c r="G167" s="129">
        <f t="shared" si="22"/>
        <v>1082.3218086076765</v>
      </c>
      <c r="H167" s="129">
        <f t="shared" si="23"/>
        <v>194981.17819139233</v>
      </c>
      <c r="I167" s="113">
        <f t="shared" si="24"/>
        <v>7232604.9715198996</v>
      </c>
      <c r="J167" s="113">
        <f t="shared" si="25"/>
        <v>27767395.028480064</v>
      </c>
    </row>
    <row r="168" spans="3:10" x14ac:dyDescent="0.25">
      <c r="C168" s="153"/>
      <c r="D168" s="118">
        <v>12</v>
      </c>
      <c r="E168" s="112">
        <f t="shared" si="26"/>
        <v>1.4571649345995752E-4</v>
      </c>
      <c r="F168" s="129">
        <v>196063.5</v>
      </c>
      <c r="G168" s="129">
        <f t="shared" si="22"/>
        <v>1053.9098350309357</v>
      </c>
      <c r="H168" s="129">
        <f t="shared" si="23"/>
        <v>195009.59016496906</v>
      </c>
      <c r="I168" s="113">
        <f t="shared" si="24"/>
        <v>7037595.3813549308</v>
      </c>
      <c r="J168" s="113">
        <f t="shared" si="25"/>
        <v>27962404.618645035</v>
      </c>
    </row>
    <row r="169" spans="3:10" x14ac:dyDescent="0.25">
      <c r="C169" s="153">
        <v>13</v>
      </c>
      <c r="D169" s="118">
        <v>1</v>
      </c>
      <c r="E169" s="112">
        <f>$F$16</f>
        <v>1.5403610047681759E-4</v>
      </c>
      <c r="F169" s="129">
        <v>196063.5</v>
      </c>
      <c r="G169" s="129">
        <f t="shared" si="22"/>
        <v>1084.0437492775757</v>
      </c>
      <c r="H169" s="129">
        <f t="shared" si="23"/>
        <v>194979.45625072243</v>
      </c>
      <c r="I169" s="113">
        <f t="shared" si="24"/>
        <v>6842615.9251042083</v>
      </c>
      <c r="J169" s="113">
        <f t="shared" si="25"/>
        <v>28157384.074895758</v>
      </c>
    </row>
    <row r="170" spans="3:10" x14ac:dyDescent="0.25">
      <c r="C170" s="153"/>
      <c r="D170" s="118">
        <v>2</v>
      </c>
      <c r="E170" s="112">
        <f t="shared" ref="E170:E180" si="27">$F$16</f>
        <v>1.5403610047681759E-4</v>
      </c>
      <c r="F170" s="129">
        <v>196063.5</v>
      </c>
      <c r="G170" s="129">
        <f t="shared" si="22"/>
        <v>1054.0098741636241</v>
      </c>
      <c r="H170" s="129">
        <f t="shared" si="23"/>
        <v>195009.49012583637</v>
      </c>
      <c r="I170" s="113">
        <f t="shared" si="24"/>
        <v>6647606.4349783715</v>
      </c>
      <c r="J170" s="113">
        <f t="shared" si="25"/>
        <v>28352393.565021593</v>
      </c>
    </row>
    <row r="171" spans="3:10" x14ac:dyDescent="0.25">
      <c r="C171" s="153"/>
      <c r="D171" s="118">
        <v>3</v>
      </c>
      <c r="E171" s="112">
        <f t="shared" si="27"/>
        <v>1.5403610047681759E-4</v>
      </c>
      <c r="F171" s="129">
        <v>196063.5</v>
      </c>
      <c r="G171" s="129">
        <f t="shared" si="22"/>
        <v>1023.9713727486676</v>
      </c>
      <c r="H171" s="129">
        <f t="shared" si="23"/>
        <v>195039.52862725133</v>
      </c>
      <c r="I171" s="113">
        <f t="shared" si="24"/>
        <v>6452566.9063511202</v>
      </c>
      <c r="J171" s="113">
        <f t="shared" si="25"/>
        <v>28547433.093648843</v>
      </c>
    </row>
    <row r="172" spans="3:10" x14ac:dyDescent="0.25">
      <c r="C172" s="153"/>
      <c r="D172" s="118">
        <v>4</v>
      </c>
      <c r="E172" s="112">
        <f t="shared" si="27"/>
        <v>1.5403610047681759E-4</v>
      </c>
      <c r="F172" s="129">
        <v>196063.5</v>
      </c>
      <c r="G172" s="129">
        <f t="shared" si="22"/>
        <v>993.92824432008922</v>
      </c>
      <c r="H172" s="129">
        <f t="shared" si="23"/>
        <v>195069.57175567991</v>
      </c>
      <c r="I172" s="113">
        <f t="shared" si="24"/>
        <v>6257497.33459544</v>
      </c>
      <c r="J172" s="113">
        <f t="shared" si="25"/>
        <v>28742502.665404525</v>
      </c>
    </row>
    <row r="173" spans="3:10" x14ac:dyDescent="0.25">
      <c r="C173" s="153"/>
      <c r="D173" s="118">
        <v>5</v>
      </c>
      <c r="E173" s="112">
        <f t="shared" si="27"/>
        <v>1.5403610047681759E-4</v>
      </c>
      <c r="F173" s="129">
        <v>196063.5</v>
      </c>
      <c r="G173" s="129">
        <f t="shared" si="22"/>
        <v>963.88048816516152</v>
      </c>
      <c r="H173" s="129">
        <f t="shared" si="23"/>
        <v>195099.61951183484</v>
      </c>
      <c r="I173" s="113">
        <f t="shared" si="24"/>
        <v>6062397.7150836047</v>
      </c>
      <c r="J173" s="113">
        <f t="shared" si="25"/>
        <v>28937602.28491636</v>
      </c>
    </row>
    <row r="174" spans="3:10" x14ac:dyDescent="0.25">
      <c r="C174" s="153"/>
      <c r="D174" s="118">
        <v>6</v>
      </c>
      <c r="E174" s="112">
        <f t="shared" si="27"/>
        <v>1.5403610047681759E-4</v>
      </c>
      <c r="F174" s="129">
        <v>196063.5</v>
      </c>
      <c r="G174" s="129">
        <f t="shared" si="22"/>
        <v>933.82810357104756</v>
      </c>
      <c r="H174" s="129">
        <f t="shared" si="23"/>
        <v>195129.67189642895</v>
      </c>
      <c r="I174" s="113">
        <f t="shared" si="24"/>
        <v>5867268.0431871759</v>
      </c>
      <c r="J174" s="113">
        <f t="shared" si="25"/>
        <v>29132731.956812788</v>
      </c>
    </row>
    <row r="175" spans="3:10" x14ac:dyDescent="0.25">
      <c r="C175" s="153"/>
      <c r="D175" s="118">
        <v>7</v>
      </c>
      <c r="E175" s="112">
        <f t="shared" si="27"/>
        <v>1.5403610047681759E-4</v>
      </c>
      <c r="F175" s="129">
        <v>196063.5</v>
      </c>
      <c r="G175" s="129">
        <f t="shared" si="22"/>
        <v>903.77108982480081</v>
      </c>
      <c r="H175" s="129">
        <f t="shared" si="23"/>
        <v>195159.72891017521</v>
      </c>
      <c r="I175" s="113">
        <f t="shared" si="24"/>
        <v>5672108.3142770007</v>
      </c>
      <c r="J175" s="113">
        <f t="shared" si="25"/>
        <v>29327891.685722962</v>
      </c>
    </row>
    <row r="176" spans="3:10" x14ac:dyDescent="0.25">
      <c r="C176" s="153"/>
      <c r="D176" s="118">
        <v>8</v>
      </c>
      <c r="E176" s="112">
        <f t="shared" si="27"/>
        <v>1.5403610047681759E-4</v>
      </c>
      <c r="F176" s="129">
        <v>196063.5</v>
      </c>
      <c r="G176" s="129">
        <f t="shared" si="22"/>
        <v>873.70944621336457</v>
      </c>
      <c r="H176" s="129">
        <f t="shared" si="23"/>
        <v>195189.79055378665</v>
      </c>
      <c r="I176" s="113">
        <f t="shared" si="24"/>
        <v>5476918.5237232139</v>
      </c>
      <c r="J176" s="113">
        <f t="shared" si="25"/>
        <v>29523081.476276748</v>
      </c>
    </row>
    <row r="177" spans="3:10" x14ac:dyDescent="0.25">
      <c r="C177" s="153"/>
      <c r="D177" s="118">
        <v>9</v>
      </c>
      <c r="E177" s="112">
        <f t="shared" si="27"/>
        <v>1.5403610047681759E-4</v>
      </c>
      <c r="F177" s="129">
        <v>196063.5</v>
      </c>
      <c r="G177" s="129">
        <f t="shared" si="22"/>
        <v>843.64317202357245</v>
      </c>
      <c r="H177" s="129">
        <f t="shared" si="23"/>
        <v>195219.85682797641</v>
      </c>
      <c r="I177" s="113">
        <f t="shared" si="24"/>
        <v>5281698.6668952378</v>
      </c>
      <c r="J177" s="113">
        <f t="shared" si="25"/>
        <v>29718301.333104726</v>
      </c>
    </row>
    <row r="178" spans="3:10" x14ac:dyDescent="0.25">
      <c r="C178" s="153"/>
      <c r="D178" s="118">
        <v>10</v>
      </c>
      <c r="E178" s="112">
        <f t="shared" si="27"/>
        <v>1.5403610047681759E-4</v>
      </c>
      <c r="F178" s="129">
        <v>196063.5</v>
      </c>
      <c r="G178" s="129">
        <f t="shared" si="22"/>
        <v>813.57226654214844</v>
      </c>
      <c r="H178" s="129">
        <f t="shared" si="23"/>
        <v>195249.92773345785</v>
      </c>
      <c r="I178" s="113">
        <f t="shared" si="24"/>
        <v>5086448.7391617801</v>
      </c>
      <c r="J178" s="113">
        <f t="shared" si="25"/>
        <v>29913551.260838185</v>
      </c>
    </row>
    <row r="179" spans="3:10" x14ac:dyDescent="0.25">
      <c r="C179" s="153"/>
      <c r="D179" s="118">
        <v>11</v>
      </c>
      <c r="E179" s="112">
        <f t="shared" si="27"/>
        <v>1.5403610047681759E-4</v>
      </c>
      <c r="F179" s="129">
        <v>196063.5</v>
      </c>
      <c r="G179" s="129">
        <f t="shared" si="22"/>
        <v>783.49672905570617</v>
      </c>
      <c r="H179" s="129">
        <f t="shared" si="23"/>
        <v>195280.00327094429</v>
      </c>
      <c r="I179" s="113">
        <f t="shared" si="24"/>
        <v>4891168.7358908355</v>
      </c>
      <c r="J179" s="113">
        <f t="shared" si="25"/>
        <v>30108831.264109127</v>
      </c>
    </row>
    <row r="180" spans="3:10" x14ac:dyDescent="0.25">
      <c r="C180" s="153"/>
      <c r="D180" s="118">
        <v>12</v>
      </c>
      <c r="E180" s="112">
        <f t="shared" si="27"/>
        <v>1.5403610047681759E-4</v>
      </c>
      <c r="F180" s="129">
        <v>196063.5</v>
      </c>
      <c r="G180" s="129">
        <f t="shared" si="22"/>
        <v>753.41655885074965</v>
      </c>
      <c r="H180" s="129">
        <f t="shared" si="23"/>
        <v>195310.08344114924</v>
      </c>
      <c r="I180" s="113">
        <f t="shared" si="24"/>
        <v>4695858.6524496861</v>
      </c>
      <c r="J180" s="113">
        <f t="shared" si="25"/>
        <v>30304141.347550277</v>
      </c>
    </row>
    <row r="181" spans="3:10" x14ac:dyDescent="0.25">
      <c r="C181" s="153">
        <v>14</v>
      </c>
      <c r="D181" s="118">
        <v>1</v>
      </c>
      <c r="E181" s="112">
        <f>$F$17</f>
        <v>1.623549463058982E-4</v>
      </c>
      <c r="F181" s="129">
        <v>196063.5</v>
      </c>
      <c r="G181" s="129">
        <f t="shared" si="22"/>
        <v>762.39587937855629</v>
      </c>
      <c r="H181" s="129">
        <f t="shared" si="23"/>
        <v>195301.10412062146</v>
      </c>
      <c r="I181" s="113">
        <f t="shared" si="24"/>
        <v>4500557.5483290646</v>
      </c>
      <c r="J181" s="113">
        <f t="shared" si="25"/>
        <v>30499442.4516709</v>
      </c>
    </row>
    <row r="182" spans="3:10" x14ac:dyDescent="0.25">
      <c r="C182" s="153"/>
      <c r="D182" s="118">
        <v>2</v>
      </c>
      <c r="E182" s="112">
        <f t="shared" ref="E182:E192" si="28">$F$17</f>
        <v>1.623549463058982E-4</v>
      </c>
      <c r="F182" s="129">
        <v>196063.5</v>
      </c>
      <c r="G182" s="129">
        <f t="shared" si="22"/>
        <v>730.68777910557014</v>
      </c>
      <c r="H182" s="129">
        <f t="shared" si="23"/>
        <v>195332.81222089444</v>
      </c>
      <c r="I182" s="113">
        <f t="shared" si="24"/>
        <v>4305224.7361081699</v>
      </c>
      <c r="J182" s="113">
        <f t="shared" si="25"/>
        <v>30694775.263891794</v>
      </c>
    </row>
    <row r="183" spans="3:10" x14ac:dyDescent="0.25">
      <c r="C183" s="153"/>
      <c r="D183" s="118">
        <v>3</v>
      </c>
      <c r="E183" s="112">
        <f t="shared" si="28"/>
        <v>1.623549463058982E-4</v>
      </c>
      <c r="F183" s="129">
        <v>196063.5</v>
      </c>
      <c r="G183" s="129">
        <f t="shared" si="22"/>
        <v>698.97453086566668</v>
      </c>
      <c r="H183" s="129">
        <f t="shared" si="23"/>
        <v>195364.52546913433</v>
      </c>
      <c r="I183" s="113">
        <f t="shared" si="24"/>
        <v>4109860.2106390353</v>
      </c>
      <c r="J183" s="113">
        <f t="shared" si="25"/>
        <v>30890139.789360929</v>
      </c>
    </row>
    <row r="184" spans="3:10" x14ac:dyDescent="0.25">
      <c r="C184" s="153"/>
      <c r="D184" s="118">
        <v>4</v>
      </c>
      <c r="E184" s="112">
        <f t="shared" si="28"/>
        <v>1.623549463058982E-4</v>
      </c>
      <c r="F184" s="129">
        <v>196063.5</v>
      </c>
      <c r="G184" s="129">
        <f t="shared" si="22"/>
        <v>667.256133823048</v>
      </c>
      <c r="H184" s="129">
        <f t="shared" si="23"/>
        <v>195396.24386617696</v>
      </c>
      <c r="I184" s="113">
        <f t="shared" si="24"/>
        <v>3914463.9667728585</v>
      </c>
      <c r="J184" s="113">
        <f t="shared" si="25"/>
        <v>31085536.033227105</v>
      </c>
    </row>
    <row r="185" spans="3:10" x14ac:dyDescent="0.25">
      <c r="C185" s="153"/>
      <c r="D185" s="118">
        <v>5</v>
      </c>
      <c r="E185" s="112">
        <f t="shared" si="28"/>
        <v>1.623549463058982E-4</v>
      </c>
      <c r="F185" s="129">
        <v>196063.5</v>
      </c>
      <c r="G185" s="129">
        <f t="shared" si="22"/>
        <v>635.53258714178071</v>
      </c>
      <c r="H185" s="129">
        <f t="shared" si="23"/>
        <v>195427.96741285821</v>
      </c>
      <c r="I185" s="113">
        <f t="shared" si="24"/>
        <v>3719035.9993600002</v>
      </c>
      <c r="J185" s="113">
        <f t="shared" si="25"/>
        <v>31280964.000639964</v>
      </c>
    </row>
    <row r="186" spans="3:10" x14ac:dyDescent="0.25">
      <c r="C186" s="153"/>
      <c r="D186" s="118">
        <v>6</v>
      </c>
      <c r="E186" s="112">
        <f t="shared" si="28"/>
        <v>1.623549463058982E-4</v>
      </c>
      <c r="F186" s="129">
        <v>196063.5</v>
      </c>
      <c r="G186" s="129">
        <f t="shared" si="22"/>
        <v>603.80388998579531</v>
      </c>
      <c r="H186" s="129">
        <f t="shared" si="23"/>
        <v>195459.69611001419</v>
      </c>
      <c r="I186" s="113">
        <f t="shared" si="24"/>
        <v>3523576.3032499859</v>
      </c>
      <c r="J186" s="113">
        <f t="shared" si="25"/>
        <v>31476423.696749978</v>
      </c>
    </row>
    <row r="187" spans="3:10" x14ac:dyDescent="0.25">
      <c r="C187" s="153"/>
      <c r="D187" s="118">
        <v>7</v>
      </c>
      <c r="E187" s="112">
        <f t="shared" si="28"/>
        <v>1.623549463058982E-4</v>
      </c>
      <c r="F187" s="129">
        <v>196063.5</v>
      </c>
      <c r="G187" s="129">
        <f t="shared" si="22"/>
        <v>572.07004151888668</v>
      </c>
      <c r="H187" s="129">
        <f t="shared" si="23"/>
        <v>195491.42995848111</v>
      </c>
      <c r="I187" s="113">
        <f t="shared" si="24"/>
        <v>3328084.8732915046</v>
      </c>
      <c r="J187" s="113">
        <f t="shared" si="25"/>
        <v>31671915.126708459</v>
      </c>
    </row>
    <row r="188" spans="3:10" x14ac:dyDescent="0.25">
      <c r="C188" s="153"/>
      <c r="D188" s="118">
        <v>8</v>
      </c>
      <c r="E188" s="112">
        <f t="shared" si="28"/>
        <v>1.623549463058982E-4</v>
      </c>
      <c r="F188" s="129">
        <v>196063.5</v>
      </c>
      <c r="G188" s="129">
        <f t="shared" si="22"/>
        <v>540.3310409047142</v>
      </c>
      <c r="H188" s="129">
        <f t="shared" si="23"/>
        <v>195523.16895909529</v>
      </c>
      <c r="I188" s="113">
        <f t="shared" si="24"/>
        <v>3132561.7043324094</v>
      </c>
      <c r="J188" s="113">
        <f t="shared" si="25"/>
        <v>31867438.295667555</v>
      </c>
    </row>
    <row r="189" spans="3:10" x14ac:dyDescent="0.25">
      <c r="C189" s="153"/>
      <c r="D189" s="118">
        <v>9</v>
      </c>
      <c r="E189" s="112">
        <f t="shared" si="28"/>
        <v>1.623549463058982E-4</v>
      </c>
      <c r="F189" s="129">
        <v>196063.5</v>
      </c>
      <c r="G189" s="129">
        <f t="shared" si="22"/>
        <v>508.58688730680126</v>
      </c>
      <c r="H189" s="129">
        <f t="shared" si="23"/>
        <v>195554.9131126932</v>
      </c>
      <c r="I189" s="113">
        <f t="shared" si="24"/>
        <v>2937006.7912197164</v>
      </c>
      <c r="J189" s="113">
        <f t="shared" si="25"/>
        <v>32062993.208780248</v>
      </c>
    </row>
    <row r="190" spans="3:10" x14ac:dyDescent="0.25">
      <c r="C190" s="153"/>
      <c r="D190" s="118">
        <v>10</v>
      </c>
      <c r="E190" s="112">
        <f t="shared" si="28"/>
        <v>1.623549463058982E-4</v>
      </c>
      <c r="F190" s="129">
        <v>196063.5</v>
      </c>
      <c r="G190" s="129">
        <f t="shared" si="22"/>
        <v>476.8375798885354</v>
      </c>
      <c r="H190" s="129">
        <f t="shared" si="23"/>
        <v>195586.66242011148</v>
      </c>
      <c r="I190" s="113">
        <f t="shared" si="24"/>
        <v>2741420.1287996052</v>
      </c>
      <c r="J190" s="113">
        <f t="shared" si="25"/>
        <v>32258579.87120036</v>
      </c>
    </row>
    <row r="191" spans="3:10" x14ac:dyDescent="0.25">
      <c r="C191" s="153"/>
      <c r="D191" s="118">
        <v>11</v>
      </c>
      <c r="E191" s="112">
        <f t="shared" si="28"/>
        <v>1.623549463058982E-4</v>
      </c>
      <c r="F191" s="129">
        <v>196063.5</v>
      </c>
      <c r="G191" s="129">
        <f t="shared" si="22"/>
        <v>445.08311781316843</v>
      </c>
      <c r="H191" s="129">
        <f t="shared" si="23"/>
        <v>195618.41688218684</v>
      </c>
      <c r="I191" s="113">
        <f t="shared" si="24"/>
        <v>2545801.7119174185</v>
      </c>
      <c r="J191" s="113">
        <f t="shared" si="25"/>
        <v>32454198.288082547</v>
      </c>
    </row>
    <row r="192" spans="3:10" x14ac:dyDescent="0.25">
      <c r="C192" s="153"/>
      <c r="D192" s="118">
        <v>12</v>
      </c>
      <c r="E192" s="112">
        <f t="shared" si="28"/>
        <v>1.623549463058982E-4</v>
      </c>
      <c r="F192" s="129">
        <v>196063.5</v>
      </c>
      <c r="G192" s="129">
        <f t="shared" si="22"/>
        <v>413.32350024381617</v>
      </c>
      <c r="H192" s="129">
        <f t="shared" si="23"/>
        <v>195650.17649975617</v>
      </c>
      <c r="I192" s="113">
        <f t="shared" si="24"/>
        <v>2350151.5354176625</v>
      </c>
      <c r="J192" s="113">
        <f t="shared" si="25"/>
        <v>32649848.464582305</v>
      </c>
    </row>
    <row r="193" spans="3:10" x14ac:dyDescent="0.25">
      <c r="C193" s="153">
        <v>15</v>
      </c>
      <c r="D193" s="118">
        <v>1</v>
      </c>
      <c r="E193" s="112">
        <f>$F$18</f>
        <v>1.7067303109308263E-4</v>
      </c>
      <c r="F193" s="129">
        <v>196063.5</v>
      </c>
      <c r="G193" s="129">
        <f t="shared" si="22"/>
        <v>401.10748607779459</v>
      </c>
      <c r="H193" s="129">
        <f t="shared" si="23"/>
        <v>195662.39251392221</v>
      </c>
      <c r="I193" s="113">
        <f t="shared" si="24"/>
        <v>2154489.1429037401</v>
      </c>
      <c r="J193" s="113">
        <f t="shared" si="25"/>
        <v>32845510.857096229</v>
      </c>
    </row>
    <row r="194" spans="3:10" x14ac:dyDescent="0.25">
      <c r="C194" s="153"/>
      <c r="D194" s="118">
        <v>2</v>
      </c>
      <c r="E194" s="112">
        <f t="shared" ref="E194:E204" si="29">$F$18</f>
        <v>1.7067303109308263E-4</v>
      </c>
      <c r="F194" s="129">
        <v>196063.5</v>
      </c>
      <c r="G194" s="129">
        <f t="shared" si="22"/>
        <v>367.71319247651894</v>
      </c>
      <c r="H194" s="129">
        <f t="shared" si="23"/>
        <v>195695.78680752349</v>
      </c>
      <c r="I194" s="113">
        <f t="shared" si="24"/>
        <v>1958793.3560962165</v>
      </c>
      <c r="J194" s="113">
        <f t="shared" si="25"/>
        <v>33041206.643903751</v>
      </c>
    </row>
    <row r="195" spans="3:10" x14ac:dyDescent="0.25">
      <c r="C195" s="153"/>
      <c r="D195" s="118">
        <v>3</v>
      </c>
      <c r="E195" s="112">
        <f t="shared" si="29"/>
        <v>1.7067303109308263E-4</v>
      </c>
      <c r="F195" s="129">
        <v>196063.5</v>
      </c>
      <c r="G195" s="129">
        <f t="shared" si="22"/>
        <v>334.31319936993322</v>
      </c>
      <c r="H195" s="129">
        <f t="shared" si="23"/>
        <v>195729.18680063006</v>
      </c>
      <c r="I195" s="113">
        <f t="shared" si="24"/>
        <v>1763064.1692955864</v>
      </c>
      <c r="J195" s="113">
        <f t="shared" si="25"/>
        <v>33236935.83070438</v>
      </c>
    </row>
    <row r="196" spans="3:10" x14ac:dyDescent="0.25">
      <c r="C196" s="153"/>
      <c r="D196" s="118">
        <v>4</v>
      </c>
      <c r="E196" s="112">
        <f t="shared" si="29"/>
        <v>1.7067303109308263E-4</v>
      </c>
      <c r="F196" s="129">
        <v>196063.5</v>
      </c>
      <c r="G196" s="129">
        <f t="shared" si="22"/>
        <v>300.90750578528554</v>
      </c>
      <c r="H196" s="129">
        <f t="shared" si="23"/>
        <v>195762.59249421471</v>
      </c>
      <c r="I196" s="113">
        <f t="shared" si="24"/>
        <v>1567301.5768013718</v>
      </c>
      <c r="J196" s="113">
        <f t="shared" si="25"/>
        <v>33432698.423198596</v>
      </c>
    </row>
    <row r="197" spans="3:10" x14ac:dyDescent="0.25">
      <c r="C197" s="153"/>
      <c r="D197" s="118">
        <v>5</v>
      </c>
      <c r="E197" s="112">
        <f t="shared" si="29"/>
        <v>1.7067303109308263E-4</v>
      </c>
      <c r="F197" s="129">
        <v>196063.5</v>
      </c>
      <c r="G197" s="129">
        <f t="shared" si="22"/>
        <v>267.49611074965793</v>
      </c>
      <c r="H197" s="129">
        <f t="shared" si="23"/>
        <v>195796.00388925034</v>
      </c>
      <c r="I197" s="113">
        <f t="shared" si="24"/>
        <v>1371505.5729121214</v>
      </c>
      <c r="J197" s="113">
        <f t="shared" si="25"/>
        <v>33628494.427087843</v>
      </c>
    </row>
    <row r="198" spans="3:10" x14ac:dyDescent="0.25">
      <c r="C198" s="153"/>
      <c r="D198" s="118">
        <v>6</v>
      </c>
      <c r="E198" s="112">
        <f t="shared" si="29"/>
        <v>1.7067303109308263E-4</v>
      </c>
      <c r="F198" s="129">
        <v>196063.5</v>
      </c>
      <c r="G198" s="129">
        <f t="shared" si="22"/>
        <v>234.07901328996661</v>
      </c>
      <c r="H198" s="129">
        <f t="shared" si="23"/>
        <v>195829.42098671003</v>
      </c>
      <c r="I198" s="113">
        <f t="shared" si="24"/>
        <v>1175676.1519254113</v>
      </c>
      <c r="J198" s="113">
        <f t="shared" si="25"/>
        <v>33824323.848074555</v>
      </c>
    </row>
    <row r="199" spans="3:10" x14ac:dyDescent="0.25">
      <c r="C199" s="153"/>
      <c r="D199" s="118">
        <v>7</v>
      </c>
      <c r="E199" s="112">
        <f t="shared" si="29"/>
        <v>1.7067303109308263E-4</v>
      </c>
      <c r="F199" s="129">
        <v>196063.5</v>
      </c>
      <c r="G199" s="129">
        <f t="shared" si="22"/>
        <v>200.65621243296147</v>
      </c>
      <c r="H199" s="129">
        <f t="shared" si="23"/>
        <v>195862.84378756705</v>
      </c>
      <c r="I199" s="113">
        <f t="shared" si="24"/>
        <v>979813.30813784432</v>
      </c>
      <c r="J199" s="113">
        <f t="shared" si="25"/>
        <v>34020186.691862121</v>
      </c>
    </row>
    <row r="200" spans="3:10" x14ac:dyDescent="0.25">
      <c r="C200" s="153"/>
      <c r="D200" s="118">
        <v>8</v>
      </c>
      <c r="E200" s="112">
        <f t="shared" si="29"/>
        <v>1.7067303109308263E-4</v>
      </c>
      <c r="F200" s="129">
        <v>196063.5</v>
      </c>
      <c r="G200" s="129">
        <f t="shared" si="22"/>
        <v>167.22770720522647</v>
      </c>
      <c r="H200" s="129">
        <f t="shared" si="23"/>
        <v>195896.27229279478</v>
      </c>
      <c r="I200" s="113">
        <f t="shared" si="24"/>
        <v>783917.03584504954</v>
      </c>
      <c r="J200" s="113">
        <f t="shared" si="25"/>
        <v>34216082.964154914</v>
      </c>
    </row>
    <row r="201" spans="3:10" x14ac:dyDescent="0.25">
      <c r="C201" s="153"/>
      <c r="D201" s="118">
        <v>9</v>
      </c>
      <c r="E201" s="112">
        <f t="shared" si="29"/>
        <v>1.7067303109308263E-4</v>
      </c>
      <c r="F201" s="129">
        <v>196063.5</v>
      </c>
      <c r="G201" s="129">
        <f t="shared" si="22"/>
        <v>133.7934966331793</v>
      </c>
      <c r="H201" s="129">
        <f t="shared" si="23"/>
        <v>195929.70650336682</v>
      </c>
      <c r="I201" s="113">
        <f t="shared" si="24"/>
        <v>587987.32934168272</v>
      </c>
      <c r="J201" s="113">
        <f t="shared" si="25"/>
        <v>34412012.670658283</v>
      </c>
    </row>
    <row r="202" spans="3:10" x14ac:dyDescent="0.25">
      <c r="C202" s="153"/>
      <c r="D202" s="118">
        <v>10</v>
      </c>
      <c r="E202" s="112">
        <f t="shared" si="29"/>
        <v>1.7067303109308263E-4</v>
      </c>
      <c r="F202" s="129">
        <v>196063.5</v>
      </c>
      <c r="G202" s="129">
        <f t="shared" si="22"/>
        <v>100.35357974307163</v>
      </c>
      <c r="H202" s="129">
        <f t="shared" si="23"/>
        <v>195963.14642025693</v>
      </c>
      <c r="I202" s="113">
        <f t="shared" si="24"/>
        <v>392024.18292142579</v>
      </c>
      <c r="J202" s="113">
        <f t="shared" si="25"/>
        <v>34607975.817078538</v>
      </c>
    </row>
    <row r="203" spans="3:10" x14ac:dyDescent="0.25">
      <c r="C203" s="153"/>
      <c r="D203" s="118">
        <v>11</v>
      </c>
      <c r="E203" s="112">
        <f t="shared" si="29"/>
        <v>1.7067303109308263E-4</v>
      </c>
      <c r="F203" s="129">
        <v>196063.5</v>
      </c>
      <c r="G203" s="129">
        <f t="shared" si="22"/>
        <v>66.90795556098881</v>
      </c>
      <c r="H203" s="129">
        <f t="shared" si="23"/>
        <v>195996.59204443902</v>
      </c>
      <c r="I203" s="113">
        <f t="shared" si="24"/>
        <v>196027.59087698677</v>
      </c>
      <c r="J203" s="113">
        <f t="shared" si="25"/>
        <v>34803972.409122974</v>
      </c>
    </row>
    <row r="204" spans="3:10" x14ac:dyDescent="0.25">
      <c r="C204" s="153"/>
      <c r="D204" s="118">
        <v>12</v>
      </c>
      <c r="E204" s="112">
        <f t="shared" si="29"/>
        <v>1.7067303109308263E-4</v>
      </c>
      <c r="F204" s="129">
        <v>196063.5</v>
      </c>
      <c r="G204" s="129">
        <f t="shared" si="22"/>
        <v>33.456623112850046</v>
      </c>
      <c r="H204" s="129">
        <f t="shared" si="23"/>
        <v>196030.04337688716</v>
      </c>
      <c r="I204" s="113">
        <f t="shared" si="24"/>
        <v>-2.4524999003915582</v>
      </c>
      <c r="J204" s="113">
        <f t="shared" si="25"/>
        <v>35000002.452499859</v>
      </c>
    </row>
    <row r="205" spans="3:10" x14ac:dyDescent="0.25">
      <c r="F205" s="129">
        <f>SUM(F25:F204)</f>
        <v>35291430</v>
      </c>
    </row>
  </sheetData>
  <mergeCells count="16">
    <mergeCell ref="C73:C84"/>
    <mergeCell ref="I15:L19"/>
    <mergeCell ref="C25:C36"/>
    <mergeCell ref="C37:C48"/>
    <mergeCell ref="C49:C60"/>
    <mergeCell ref="C61:C72"/>
    <mergeCell ref="C157:C168"/>
    <mergeCell ref="C169:C180"/>
    <mergeCell ref="C181:C192"/>
    <mergeCell ref="C193:C204"/>
    <mergeCell ref="C85:C96"/>
    <mergeCell ref="C97:C108"/>
    <mergeCell ref="C109:C120"/>
    <mergeCell ref="C121:C132"/>
    <mergeCell ref="C133:C144"/>
    <mergeCell ref="C145:C156"/>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
  <sheetViews>
    <sheetView tabSelected="1" topLeftCell="A138" zoomScaleNormal="100" zoomScalePageLayoutView="60" workbookViewId="0">
      <selection activeCell="J132" sqref="J132"/>
    </sheetView>
  </sheetViews>
  <sheetFormatPr baseColWidth="10" defaultColWidth="9.140625" defaultRowHeight="15" x14ac:dyDescent="0.25"/>
  <cols>
    <col min="1" max="1" width="17.28515625" style="5" customWidth="1"/>
    <col min="2" max="2" width="14.28515625" style="5" customWidth="1"/>
    <col min="3" max="3" width="15.42578125" style="5" customWidth="1"/>
    <col min="4" max="4" width="14.140625" style="5" customWidth="1"/>
    <col min="5" max="5" width="16.5703125" style="5" customWidth="1"/>
    <col min="6" max="6" width="15.140625" style="5" customWidth="1"/>
    <col min="7" max="7" width="13.85546875" style="5" customWidth="1"/>
    <col min="8" max="9" width="16.7109375" style="5" bestFit="1" customWidth="1"/>
    <col min="10" max="10" width="17.7109375" style="5" bestFit="1" customWidth="1"/>
    <col min="11" max="11" width="22.7109375" style="5" bestFit="1" customWidth="1"/>
    <col min="12" max="12" width="17.7109375" style="5" customWidth="1"/>
    <col min="13" max="13" width="16.7109375" style="5" customWidth="1"/>
    <col min="14" max="1025" width="10.7109375" style="5" customWidth="1"/>
    <col min="1026" max="16384" width="9.140625" style="5"/>
  </cols>
  <sheetData>
    <row r="1" spans="1:1" x14ac:dyDescent="0.25">
      <c r="A1" s="6" t="s">
        <v>245</v>
      </c>
    </row>
    <row r="13" spans="1:1" x14ac:dyDescent="0.25">
      <c r="A13" s="6" t="s">
        <v>244</v>
      </c>
    </row>
    <row r="14" spans="1:1" x14ac:dyDescent="0.25">
      <c r="A14" s="6" t="s">
        <v>243</v>
      </c>
    </row>
    <row r="15" spans="1:1" x14ac:dyDescent="0.25">
      <c r="A15" s="6"/>
    </row>
    <row r="16" spans="1:1" x14ac:dyDescent="0.25">
      <c r="A16" s="6" t="s">
        <v>242</v>
      </c>
    </row>
    <row r="17" spans="1:1" x14ac:dyDescent="0.25">
      <c r="A17" s="6"/>
    </row>
    <row r="18" spans="1:1" x14ac:dyDescent="0.25">
      <c r="A18" s="6"/>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row r="27" spans="1:1" x14ac:dyDescent="0.25">
      <c r="A27" s="6"/>
    </row>
    <row r="33" spans="1:13" x14ac:dyDescent="0.25">
      <c r="A33" s="5" t="s">
        <v>241</v>
      </c>
      <c r="C33" s="5" t="s">
        <v>240</v>
      </c>
    </row>
    <row r="34" spans="1:13" x14ac:dyDescent="0.25">
      <c r="C34" s="144">
        <f>(1+2.2%)^(30/360)-1</f>
        <v>1.8151029571964461E-3</v>
      </c>
    </row>
    <row r="35" spans="1:13" x14ac:dyDescent="0.25">
      <c r="C35" s="144"/>
    </row>
    <row r="36" spans="1:13" x14ac:dyDescent="0.25">
      <c r="A36" s="155" t="s">
        <v>239</v>
      </c>
      <c r="B36" s="155"/>
      <c r="C36" s="155"/>
      <c r="D36" s="155"/>
      <c r="E36" s="155"/>
      <c r="F36" s="155"/>
      <c r="G36" s="155"/>
      <c r="H36" s="155"/>
      <c r="I36" s="155"/>
    </row>
    <row r="37" spans="1:13" x14ac:dyDescent="0.25">
      <c r="A37" s="155"/>
      <c r="B37" s="155"/>
      <c r="C37" s="155"/>
      <c r="D37" s="155"/>
      <c r="E37" s="155"/>
      <c r="F37" s="155"/>
      <c r="G37" s="155"/>
      <c r="H37" s="155"/>
      <c r="I37" s="155"/>
    </row>
    <row r="38" spans="1:13" x14ac:dyDescent="0.25">
      <c r="A38" s="155"/>
      <c r="B38" s="155"/>
      <c r="C38" s="155"/>
      <c r="D38" s="155"/>
      <c r="E38" s="155"/>
      <c r="F38" s="155"/>
      <c r="G38" s="155"/>
      <c r="H38" s="155"/>
      <c r="I38" s="155"/>
    </row>
    <row r="40" spans="1:13" x14ac:dyDescent="0.25">
      <c r="B40" s="5" t="s">
        <v>238</v>
      </c>
      <c r="C40" s="5" t="s">
        <v>237</v>
      </c>
      <c r="D40" s="5" t="s">
        <v>236</v>
      </c>
      <c r="E40" s="5" t="s">
        <v>235</v>
      </c>
      <c r="F40" s="5" t="s">
        <v>234</v>
      </c>
      <c r="G40" s="5" t="s">
        <v>217</v>
      </c>
      <c r="H40" s="5" t="s">
        <v>233</v>
      </c>
      <c r="I40" s="5" t="s">
        <v>232</v>
      </c>
    </row>
    <row r="41" spans="1:13" x14ac:dyDescent="0.25">
      <c r="A41" s="5" t="s">
        <v>174</v>
      </c>
      <c r="B41" s="132">
        <v>4000000</v>
      </c>
      <c r="C41" s="132">
        <v>4000000</v>
      </c>
      <c r="D41" s="132">
        <v>2000000</v>
      </c>
      <c r="E41" s="132">
        <v>2500000</v>
      </c>
      <c r="F41" s="132">
        <v>1250000</v>
      </c>
      <c r="G41" s="132">
        <v>3500000</v>
      </c>
      <c r="H41" s="132">
        <v>3500000</v>
      </c>
      <c r="I41" s="132">
        <v>5500000</v>
      </c>
    </row>
    <row r="42" spans="1:13" x14ac:dyDescent="0.25">
      <c r="A42" s="5" t="s">
        <v>231</v>
      </c>
      <c r="B42" s="144">
        <f t="shared" ref="B42:I42" si="0">$C$34</f>
        <v>1.8151029571964461E-3</v>
      </c>
      <c r="C42" s="144">
        <f t="shared" si="0"/>
        <v>1.8151029571964461E-3</v>
      </c>
      <c r="D42" s="144">
        <f t="shared" si="0"/>
        <v>1.8151029571964461E-3</v>
      </c>
      <c r="E42" s="144">
        <f t="shared" si="0"/>
        <v>1.8151029571964461E-3</v>
      </c>
      <c r="F42" s="144">
        <f t="shared" si="0"/>
        <v>1.8151029571964461E-3</v>
      </c>
      <c r="G42" s="144">
        <f t="shared" si="0"/>
        <v>1.8151029571964461E-3</v>
      </c>
      <c r="H42" s="144">
        <f t="shared" si="0"/>
        <v>1.8151029571964461E-3</v>
      </c>
      <c r="I42" s="144">
        <f t="shared" si="0"/>
        <v>1.8151029571964461E-3</v>
      </c>
    </row>
    <row r="43" spans="1:13" x14ac:dyDescent="0.25">
      <c r="A43" s="5" t="s">
        <v>230</v>
      </c>
      <c r="B43" s="5">
        <v>12</v>
      </c>
      <c r="C43" s="5">
        <v>6</v>
      </c>
      <c r="D43" s="5">
        <v>24</v>
      </c>
      <c r="E43" s="5">
        <v>3</v>
      </c>
      <c r="F43" s="5">
        <v>10</v>
      </c>
      <c r="G43" s="5">
        <v>15</v>
      </c>
      <c r="H43" s="5">
        <v>18</v>
      </c>
      <c r="I43" s="5">
        <v>20</v>
      </c>
    </row>
    <row r="44" spans="1:13" x14ac:dyDescent="0.25">
      <c r="A44" s="5" t="s">
        <v>211</v>
      </c>
      <c r="B44" s="143">
        <f t="shared" ref="B44:I44" si="1">PMT(B42,B43,B41)</f>
        <v>-337279.13131903193</v>
      </c>
      <c r="C44" s="143">
        <f t="shared" si="1"/>
        <v>-670908.30724447384</v>
      </c>
      <c r="D44" s="143">
        <f t="shared" si="1"/>
        <v>-85237.208755700005</v>
      </c>
      <c r="E44" s="143">
        <f t="shared" si="1"/>
        <v>-836360.33360118093</v>
      </c>
      <c r="F44" s="143">
        <f t="shared" si="1"/>
        <v>-126251.27773950745</v>
      </c>
      <c r="G44" s="143">
        <f t="shared" si="1"/>
        <v>-236735.86214292704</v>
      </c>
      <c r="H44" s="143">
        <f t="shared" si="1"/>
        <v>-197814.57028420042</v>
      </c>
      <c r="I44" s="143">
        <f t="shared" si="1"/>
        <v>-280271.20680774667</v>
      </c>
    </row>
    <row r="45" spans="1:13" x14ac:dyDescent="0.25">
      <c r="L45" s="133"/>
    </row>
    <row r="46" spans="1:13" x14ac:dyDescent="0.25">
      <c r="A46" s="5" t="s">
        <v>181</v>
      </c>
      <c r="J46" s="5" t="s">
        <v>198</v>
      </c>
      <c r="K46" s="5" t="s">
        <v>229</v>
      </c>
      <c r="L46" s="133" t="s">
        <v>228</v>
      </c>
    </row>
    <row r="47" spans="1:13" x14ac:dyDescent="0.25">
      <c r="A47" s="5">
        <v>1</v>
      </c>
      <c r="B47" s="133">
        <f t="shared" ref="B47:B58" si="2">ABS($B$44)</f>
        <v>337279.13131903193</v>
      </c>
      <c r="C47" s="133">
        <f t="shared" ref="C47:C52" si="3">ABS($C$44)</f>
        <v>670908.30724447384</v>
      </c>
      <c r="D47" s="133">
        <f t="shared" ref="D47:D70" si="4">ABS($D$44)</f>
        <v>85237.208755700005</v>
      </c>
      <c r="E47" s="133">
        <f>ABS($E$44)</f>
        <v>836360.33360118093</v>
      </c>
      <c r="F47" s="133">
        <f t="shared" ref="F47:F56" si="5">ABS($F$44)</f>
        <v>126251.27773950745</v>
      </c>
      <c r="G47" s="133">
        <f t="shared" ref="G47:G61" si="6">ABS($G$44)</f>
        <v>236735.86214292704</v>
      </c>
      <c r="H47" s="133">
        <f t="shared" ref="H47:H64" si="7">ABS($H$44)</f>
        <v>197814.57028420042</v>
      </c>
      <c r="I47" s="133">
        <f t="shared" ref="I47:I66" si="8">ABS($I$44)</f>
        <v>280271.20680774667</v>
      </c>
      <c r="J47" s="133">
        <f t="shared" ref="J47:J70" si="9">SUM(B47:I47)</f>
        <v>2770857.897894768</v>
      </c>
      <c r="K47" s="133">
        <f>J47+K45</f>
        <v>2770857.897894768</v>
      </c>
      <c r="L47" s="132">
        <f>SUM($B$41:$I$41)-J47</f>
        <v>23479142.10210523</v>
      </c>
      <c r="M47" s="141"/>
    </row>
    <row r="48" spans="1:13" x14ac:dyDescent="0.25">
      <c r="A48" s="5">
        <v>2</v>
      </c>
      <c r="B48" s="133">
        <f t="shared" si="2"/>
        <v>337279.13131903193</v>
      </c>
      <c r="C48" s="133">
        <f t="shared" si="3"/>
        <v>670908.30724447384</v>
      </c>
      <c r="D48" s="133">
        <f t="shared" si="4"/>
        <v>85237.208755700005</v>
      </c>
      <c r="E48" s="133">
        <f>ABS($E$44)</f>
        <v>836360.33360118093</v>
      </c>
      <c r="F48" s="133">
        <f t="shared" si="5"/>
        <v>126251.27773950745</v>
      </c>
      <c r="G48" s="133">
        <f t="shared" si="6"/>
        <v>236735.86214292704</v>
      </c>
      <c r="H48" s="133">
        <f t="shared" si="7"/>
        <v>197814.57028420042</v>
      </c>
      <c r="I48" s="133">
        <f t="shared" si="8"/>
        <v>280271.20680774667</v>
      </c>
      <c r="J48" s="133">
        <f t="shared" si="9"/>
        <v>2770857.897894768</v>
      </c>
      <c r="K48" s="133">
        <f t="shared" ref="K48:K70" si="10">J48+K47</f>
        <v>5541715.7957895361</v>
      </c>
      <c r="L48" s="132">
        <f t="shared" ref="L48:L70" si="11">L47-J48</f>
        <v>20708284.20421046</v>
      </c>
      <c r="M48" s="141"/>
    </row>
    <row r="49" spans="1:13" x14ac:dyDescent="0.25">
      <c r="A49" s="5">
        <v>3</v>
      </c>
      <c r="B49" s="133">
        <f t="shared" si="2"/>
        <v>337279.13131903193</v>
      </c>
      <c r="C49" s="133">
        <f t="shared" si="3"/>
        <v>670908.30724447384</v>
      </c>
      <c r="D49" s="133">
        <f t="shared" si="4"/>
        <v>85237.208755700005</v>
      </c>
      <c r="E49" s="133">
        <f>ABS($E$44)</f>
        <v>836360.33360118093</v>
      </c>
      <c r="F49" s="133">
        <f t="shared" si="5"/>
        <v>126251.27773950745</v>
      </c>
      <c r="G49" s="133">
        <f t="shared" si="6"/>
        <v>236735.86214292704</v>
      </c>
      <c r="H49" s="133">
        <f t="shared" si="7"/>
        <v>197814.57028420042</v>
      </c>
      <c r="I49" s="133">
        <f t="shared" si="8"/>
        <v>280271.20680774667</v>
      </c>
      <c r="J49" s="133">
        <f t="shared" si="9"/>
        <v>2770857.897894768</v>
      </c>
      <c r="K49" s="133">
        <f t="shared" si="10"/>
        <v>8312573.6936843041</v>
      </c>
      <c r="L49" s="132">
        <f t="shared" si="11"/>
        <v>17937426.30631569</v>
      </c>
      <c r="M49" s="141"/>
    </row>
    <row r="50" spans="1:13" x14ac:dyDescent="0.25">
      <c r="A50" s="5">
        <v>4</v>
      </c>
      <c r="B50" s="133">
        <f t="shared" si="2"/>
        <v>337279.13131903193</v>
      </c>
      <c r="C50" s="133">
        <f t="shared" si="3"/>
        <v>670908.30724447384</v>
      </c>
      <c r="D50" s="133">
        <f t="shared" si="4"/>
        <v>85237.208755700005</v>
      </c>
      <c r="F50" s="133">
        <f t="shared" si="5"/>
        <v>126251.27773950745</v>
      </c>
      <c r="G50" s="133">
        <f t="shared" si="6"/>
        <v>236735.86214292704</v>
      </c>
      <c r="H50" s="133">
        <f t="shared" si="7"/>
        <v>197814.57028420042</v>
      </c>
      <c r="I50" s="133">
        <f t="shared" si="8"/>
        <v>280271.20680774667</v>
      </c>
      <c r="J50" s="133">
        <f t="shared" si="9"/>
        <v>1934497.5642935871</v>
      </c>
      <c r="K50" s="133">
        <f t="shared" si="10"/>
        <v>10247071.257977892</v>
      </c>
      <c r="L50" s="132">
        <f t="shared" si="11"/>
        <v>16002928.742022103</v>
      </c>
      <c r="M50" s="141"/>
    </row>
    <row r="51" spans="1:13" x14ac:dyDescent="0.25">
      <c r="A51" s="5">
        <v>5</v>
      </c>
      <c r="B51" s="133">
        <f t="shared" si="2"/>
        <v>337279.13131903193</v>
      </c>
      <c r="C51" s="133">
        <f t="shared" si="3"/>
        <v>670908.30724447384</v>
      </c>
      <c r="D51" s="133">
        <f t="shared" si="4"/>
        <v>85237.208755700005</v>
      </c>
      <c r="F51" s="133">
        <f t="shared" si="5"/>
        <v>126251.27773950745</v>
      </c>
      <c r="G51" s="133">
        <f t="shared" si="6"/>
        <v>236735.86214292704</v>
      </c>
      <c r="H51" s="133">
        <f t="shared" si="7"/>
        <v>197814.57028420042</v>
      </c>
      <c r="I51" s="133">
        <f t="shared" si="8"/>
        <v>280271.20680774667</v>
      </c>
      <c r="J51" s="133">
        <f t="shared" si="9"/>
        <v>1934497.5642935871</v>
      </c>
      <c r="K51" s="133">
        <f t="shared" si="10"/>
        <v>12181568.822271479</v>
      </c>
      <c r="L51" s="132">
        <f t="shared" si="11"/>
        <v>14068431.177728515</v>
      </c>
      <c r="M51" s="141"/>
    </row>
    <row r="52" spans="1:13" x14ac:dyDescent="0.25">
      <c r="A52" s="5">
        <v>6</v>
      </c>
      <c r="B52" s="133">
        <f t="shared" si="2"/>
        <v>337279.13131903193</v>
      </c>
      <c r="C52" s="133">
        <f t="shared" si="3"/>
        <v>670908.30724447384</v>
      </c>
      <c r="D52" s="133">
        <f t="shared" si="4"/>
        <v>85237.208755700005</v>
      </c>
      <c r="F52" s="133">
        <f t="shared" si="5"/>
        <v>126251.27773950745</v>
      </c>
      <c r="G52" s="133">
        <f t="shared" si="6"/>
        <v>236735.86214292704</v>
      </c>
      <c r="H52" s="133">
        <f t="shared" si="7"/>
        <v>197814.57028420042</v>
      </c>
      <c r="I52" s="133">
        <f t="shared" si="8"/>
        <v>280271.20680774667</v>
      </c>
      <c r="J52" s="133">
        <f t="shared" si="9"/>
        <v>1934497.5642935871</v>
      </c>
      <c r="K52" s="133">
        <f t="shared" si="10"/>
        <v>14116066.386565067</v>
      </c>
      <c r="L52" s="132">
        <f t="shared" si="11"/>
        <v>12133933.613434928</v>
      </c>
      <c r="M52" s="141"/>
    </row>
    <row r="53" spans="1:13" x14ac:dyDescent="0.25">
      <c r="A53" s="5">
        <v>7</v>
      </c>
      <c r="B53" s="133">
        <f t="shared" si="2"/>
        <v>337279.13131903193</v>
      </c>
      <c r="D53" s="133">
        <f t="shared" si="4"/>
        <v>85237.208755700005</v>
      </c>
      <c r="F53" s="133">
        <f t="shared" si="5"/>
        <v>126251.27773950745</v>
      </c>
      <c r="G53" s="133">
        <f t="shared" si="6"/>
        <v>236735.86214292704</v>
      </c>
      <c r="H53" s="133">
        <f t="shared" si="7"/>
        <v>197814.57028420042</v>
      </c>
      <c r="I53" s="133">
        <f t="shared" si="8"/>
        <v>280271.20680774667</v>
      </c>
      <c r="J53" s="133">
        <f t="shared" si="9"/>
        <v>1263589.2570491135</v>
      </c>
      <c r="K53" s="133">
        <f t="shared" si="10"/>
        <v>15379655.64361418</v>
      </c>
      <c r="L53" s="132">
        <f t="shared" si="11"/>
        <v>10870344.356385814</v>
      </c>
      <c r="M53" s="141"/>
    </row>
    <row r="54" spans="1:13" x14ac:dyDescent="0.25">
      <c r="A54" s="5">
        <v>8</v>
      </c>
      <c r="B54" s="133">
        <f t="shared" si="2"/>
        <v>337279.13131903193</v>
      </c>
      <c r="D54" s="133">
        <f t="shared" si="4"/>
        <v>85237.208755700005</v>
      </c>
      <c r="F54" s="133">
        <f t="shared" si="5"/>
        <v>126251.27773950745</v>
      </c>
      <c r="G54" s="133">
        <f t="shared" si="6"/>
        <v>236735.86214292704</v>
      </c>
      <c r="H54" s="133">
        <f t="shared" si="7"/>
        <v>197814.57028420042</v>
      </c>
      <c r="I54" s="133">
        <f t="shared" si="8"/>
        <v>280271.20680774667</v>
      </c>
      <c r="J54" s="133">
        <f t="shared" si="9"/>
        <v>1263589.2570491135</v>
      </c>
      <c r="K54" s="133">
        <f t="shared" si="10"/>
        <v>16643244.900663294</v>
      </c>
      <c r="L54" s="132">
        <f t="shared" si="11"/>
        <v>9606755.0993367005</v>
      </c>
      <c r="M54" s="141"/>
    </row>
    <row r="55" spans="1:13" x14ac:dyDescent="0.25">
      <c r="A55" s="5">
        <v>9</v>
      </c>
      <c r="B55" s="133">
        <f t="shared" si="2"/>
        <v>337279.13131903193</v>
      </c>
      <c r="D55" s="133">
        <f t="shared" si="4"/>
        <v>85237.208755700005</v>
      </c>
      <c r="F55" s="133">
        <f t="shared" si="5"/>
        <v>126251.27773950745</v>
      </c>
      <c r="G55" s="133">
        <f t="shared" si="6"/>
        <v>236735.86214292704</v>
      </c>
      <c r="H55" s="133">
        <f t="shared" si="7"/>
        <v>197814.57028420042</v>
      </c>
      <c r="I55" s="133">
        <f t="shared" si="8"/>
        <v>280271.20680774667</v>
      </c>
      <c r="J55" s="133">
        <f t="shared" si="9"/>
        <v>1263589.2570491135</v>
      </c>
      <c r="K55" s="133">
        <f t="shared" si="10"/>
        <v>17906834.157712407</v>
      </c>
      <c r="L55" s="132">
        <f t="shared" si="11"/>
        <v>8343165.842287587</v>
      </c>
      <c r="M55" s="141"/>
    </row>
    <row r="56" spans="1:13" x14ac:dyDescent="0.25">
      <c r="A56" s="5">
        <v>10</v>
      </c>
      <c r="B56" s="133">
        <f t="shared" si="2"/>
        <v>337279.13131903193</v>
      </c>
      <c r="D56" s="133">
        <f t="shared" si="4"/>
        <v>85237.208755700005</v>
      </c>
      <c r="F56" s="133">
        <f t="shared" si="5"/>
        <v>126251.27773950745</v>
      </c>
      <c r="G56" s="133">
        <f t="shared" si="6"/>
        <v>236735.86214292704</v>
      </c>
      <c r="H56" s="133">
        <f t="shared" si="7"/>
        <v>197814.57028420042</v>
      </c>
      <c r="I56" s="133">
        <f t="shared" si="8"/>
        <v>280271.20680774667</v>
      </c>
      <c r="J56" s="133">
        <f t="shared" si="9"/>
        <v>1263589.2570491135</v>
      </c>
      <c r="K56" s="133">
        <f t="shared" si="10"/>
        <v>19170423.414761521</v>
      </c>
      <c r="L56" s="132">
        <f t="shared" si="11"/>
        <v>7079576.5852384735</v>
      </c>
      <c r="M56" s="141"/>
    </row>
    <row r="57" spans="1:13" x14ac:dyDescent="0.25">
      <c r="A57" s="5">
        <v>11</v>
      </c>
      <c r="B57" s="133">
        <f t="shared" si="2"/>
        <v>337279.13131903193</v>
      </c>
      <c r="D57" s="133">
        <f t="shared" si="4"/>
        <v>85237.208755700005</v>
      </c>
      <c r="G57" s="133">
        <f t="shared" si="6"/>
        <v>236735.86214292704</v>
      </c>
      <c r="H57" s="133">
        <f t="shared" si="7"/>
        <v>197814.57028420042</v>
      </c>
      <c r="I57" s="133">
        <f t="shared" si="8"/>
        <v>280271.20680774667</v>
      </c>
      <c r="J57" s="133">
        <f t="shared" si="9"/>
        <v>1137337.9793096059</v>
      </c>
      <c r="K57" s="133">
        <f t="shared" si="10"/>
        <v>20307761.394071128</v>
      </c>
      <c r="L57" s="132">
        <f t="shared" si="11"/>
        <v>5942238.6059288681</v>
      </c>
      <c r="M57" s="141"/>
    </row>
    <row r="58" spans="1:13" x14ac:dyDescent="0.25">
      <c r="A58" s="5">
        <v>12</v>
      </c>
      <c r="B58" s="133">
        <f t="shared" si="2"/>
        <v>337279.13131903193</v>
      </c>
      <c r="D58" s="133">
        <f t="shared" si="4"/>
        <v>85237.208755700005</v>
      </c>
      <c r="G58" s="133">
        <f t="shared" si="6"/>
        <v>236735.86214292704</v>
      </c>
      <c r="H58" s="133">
        <f t="shared" si="7"/>
        <v>197814.57028420042</v>
      </c>
      <c r="I58" s="133">
        <f t="shared" si="8"/>
        <v>280271.20680774667</v>
      </c>
      <c r="J58" s="133">
        <f t="shared" si="9"/>
        <v>1137337.9793096059</v>
      </c>
      <c r="K58" s="133">
        <f t="shared" si="10"/>
        <v>21445099.373380736</v>
      </c>
      <c r="L58" s="132">
        <f t="shared" si="11"/>
        <v>4804900.6266192626</v>
      </c>
      <c r="M58" s="141"/>
    </row>
    <row r="59" spans="1:13" x14ac:dyDescent="0.25">
      <c r="A59" s="5">
        <v>13</v>
      </c>
      <c r="D59" s="133">
        <f t="shared" si="4"/>
        <v>85237.208755700005</v>
      </c>
      <c r="G59" s="133">
        <f t="shared" si="6"/>
        <v>236735.86214292704</v>
      </c>
      <c r="H59" s="133">
        <f t="shared" si="7"/>
        <v>197814.57028420042</v>
      </c>
      <c r="I59" s="133">
        <f t="shared" si="8"/>
        <v>280271.20680774667</v>
      </c>
      <c r="J59" s="133">
        <f t="shared" si="9"/>
        <v>800058.84799057408</v>
      </c>
      <c r="K59" s="133">
        <f t="shared" si="10"/>
        <v>22245158.221371308</v>
      </c>
      <c r="L59" s="132">
        <f t="shared" si="11"/>
        <v>4004841.7786286883</v>
      </c>
      <c r="M59" s="141"/>
    </row>
    <row r="60" spans="1:13" x14ac:dyDescent="0.25">
      <c r="A60" s="5">
        <v>14</v>
      </c>
      <c r="D60" s="133">
        <f t="shared" si="4"/>
        <v>85237.208755700005</v>
      </c>
      <c r="G60" s="133">
        <f t="shared" si="6"/>
        <v>236735.86214292704</v>
      </c>
      <c r="H60" s="133">
        <f t="shared" si="7"/>
        <v>197814.57028420042</v>
      </c>
      <c r="I60" s="133">
        <f t="shared" si="8"/>
        <v>280271.20680774667</v>
      </c>
      <c r="J60" s="133">
        <f t="shared" si="9"/>
        <v>800058.84799057408</v>
      </c>
      <c r="K60" s="133">
        <f t="shared" si="10"/>
        <v>23045217.06936188</v>
      </c>
      <c r="L60" s="132">
        <f t="shared" si="11"/>
        <v>3204782.930638114</v>
      </c>
      <c r="M60" s="141"/>
    </row>
    <row r="61" spans="1:13" x14ac:dyDescent="0.25">
      <c r="A61" s="5">
        <v>15</v>
      </c>
      <c r="D61" s="133">
        <f t="shared" si="4"/>
        <v>85237.208755700005</v>
      </c>
      <c r="G61" s="133">
        <f t="shared" si="6"/>
        <v>236735.86214292704</v>
      </c>
      <c r="H61" s="133">
        <f t="shared" si="7"/>
        <v>197814.57028420042</v>
      </c>
      <c r="I61" s="133">
        <f t="shared" si="8"/>
        <v>280271.20680774667</v>
      </c>
      <c r="J61" s="133">
        <f t="shared" si="9"/>
        <v>800058.84799057408</v>
      </c>
      <c r="K61" s="133">
        <f t="shared" si="10"/>
        <v>23845275.917352453</v>
      </c>
      <c r="L61" s="132">
        <f t="shared" si="11"/>
        <v>2404724.0826475397</v>
      </c>
      <c r="M61" s="141"/>
    </row>
    <row r="62" spans="1:13" x14ac:dyDescent="0.25">
      <c r="A62" s="5">
        <v>16</v>
      </c>
      <c r="D62" s="133">
        <f t="shared" si="4"/>
        <v>85237.208755700005</v>
      </c>
      <c r="H62" s="133">
        <f t="shared" si="7"/>
        <v>197814.57028420042</v>
      </c>
      <c r="I62" s="133">
        <f t="shared" si="8"/>
        <v>280271.20680774667</v>
      </c>
      <c r="J62" s="133">
        <f t="shared" si="9"/>
        <v>563322.98584764707</v>
      </c>
      <c r="K62" s="133">
        <f t="shared" si="10"/>
        <v>24408598.903200101</v>
      </c>
      <c r="L62" s="132">
        <f t="shared" si="11"/>
        <v>1841401.0967998926</v>
      </c>
      <c r="M62" s="141"/>
    </row>
    <row r="63" spans="1:13" x14ac:dyDescent="0.25">
      <c r="A63" s="5">
        <v>17</v>
      </c>
      <c r="D63" s="133">
        <f t="shared" si="4"/>
        <v>85237.208755700005</v>
      </c>
      <c r="H63" s="133">
        <f t="shared" si="7"/>
        <v>197814.57028420042</v>
      </c>
      <c r="I63" s="133">
        <f t="shared" si="8"/>
        <v>280271.20680774667</v>
      </c>
      <c r="J63" s="133">
        <f t="shared" si="9"/>
        <v>563322.98584764707</v>
      </c>
      <c r="K63" s="133">
        <f t="shared" si="10"/>
        <v>24971921.889047749</v>
      </c>
      <c r="L63" s="132">
        <f t="shared" si="11"/>
        <v>1278078.1109522455</v>
      </c>
      <c r="M63" s="141"/>
    </row>
    <row r="64" spans="1:13" x14ac:dyDescent="0.25">
      <c r="A64" s="5">
        <v>18</v>
      </c>
      <c r="D64" s="133">
        <f t="shared" si="4"/>
        <v>85237.208755700005</v>
      </c>
      <c r="H64" s="133">
        <f t="shared" si="7"/>
        <v>197814.57028420042</v>
      </c>
      <c r="I64" s="133">
        <f t="shared" si="8"/>
        <v>280271.20680774667</v>
      </c>
      <c r="J64" s="133">
        <f t="shared" si="9"/>
        <v>563322.98584764707</v>
      </c>
      <c r="K64" s="133">
        <f t="shared" si="10"/>
        <v>25535244.874895398</v>
      </c>
      <c r="L64" s="132">
        <f t="shared" si="11"/>
        <v>714755.12510459847</v>
      </c>
      <c r="M64" s="141"/>
    </row>
    <row r="65" spans="1:13" x14ac:dyDescent="0.25">
      <c r="A65" s="5">
        <v>19</v>
      </c>
      <c r="D65" s="133">
        <f t="shared" si="4"/>
        <v>85237.208755700005</v>
      </c>
      <c r="I65" s="133">
        <f t="shared" si="8"/>
        <v>280271.20680774667</v>
      </c>
      <c r="J65" s="133">
        <f t="shared" si="9"/>
        <v>365508.4155634467</v>
      </c>
      <c r="K65" s="133">
        <f t="shared" si="10"/>
        <v>25900753.290458843</v>
      </c>
      <c r="L65" s="132">
        <f t="shared" si="11"/>
        <v>349246.70954115177</v>
      </c>
      <c r="M65" s="141"/>
    </row>
    <row r="66" spans="1:13" x14ac:dyDescent="0.25">
      <c r="A66" s="5">
        <v>20</v>
      </c>
      <c r="D66" s="133">
        <f t="shared" si="4"/>
        <v>85237.208755700005</v>
      </c>
      <c r="I66" s="133">
        <f t="shared" si="8"/>
        <v>280271.20680774667</v>
      </c>
      <c r="J66" s="133">
        <f t="shared" si="9"/>
        <v>365508.4155634467</v>
      </c>
      <c r="K66" s="133">
        <f t="shared" si="10"/>
        <v>26266261.706022289</v>
      </c>
      <c r="L66" s="142">
        <f t="shared" si="11"/>
        <v>-16261.706022294937</v>
      </c>
      <c r="M66" s="141"/>
    </row>
    <row r="67" spans="1:13" x14ac:dyDescent="0.25">
      <c r="A67" s="5">
        <v>21</v>
      </c>
      <c r="D67" s="133">
        <f t="shared" si="4"/>
        <v>85237.208755700005</v>
      </c>
      <c r="J67" s="133">
        <f t="shared" si="9"/>
        <v>85237.208755700005</v>
      </c>
      <c r="K67" s="133">
        <f t="shared" si="10"/>
        <v>26351498.91477799</v>
      </c>
      <c r="L67" s="142">
        <f t="shared" si="11"/>
        <v>-101498.91477799494</v>
      </c>
      <c r="M67" s="141"/>
    </row>
    <row r="68" spans="1:13" x14ac:dyDescent="0.25">
      <c r="A68" s="5">
        <v>22</v>
      </c>
      <c r="D68" s="133">
        <f t="shared" si="4"/>
        <v>85237.208755700005</v>
      </c>
      <c r="J68" s="133">
        <f t="shared" si="9"/>
        <v>85237.208755700005</v>
      </c>
      <c r="K68" s="133">
        <f t="shared" si="10"/>
        <v>26436736.123533692</v>
      </c>
      <c r="L68" s="142">
        <f t="shared" si="11"/>
        <v>-186736.12353369495</v>
      </c>
      <c r="M68" s="141"/>
    </row>
    <row r="69" spans="1:13" x14ac:dyDescent="0.25">
      <c r="A69" s="5">
        <v>23</v>
      </c>
      <c r="D69" s="133">
        <f t="shared" si="4"/>
        <v>85237.208755700005</v>
      </c>
      <c r="J69" s="133">
        <f t="shared" si="9"/>
        <v>85237.208755700005</v>
      </c>
      <c r="K69" s="133">
        <f t="shared" si="10"/>
        <v>26521973.332289394</v>
      </c>
      <c r="L69" s="142">
        <f t="shared" si="11"/>
        <v>-271973.33228939492</v>
      </c>
      <c r="M69" s="141"/>
    </row>
    <row r="70" spans="1:13" x14ac:dyDescent="0.25">
      <c r="A70" s="5">
        <v>24</v>
      </c>
      <c r="D70" s="133">
        <f t="shared" si="4"/>
        <v>85237.208755700005</v>
      </c>
      <c r="J70" s="133">
        <f t="shared" si="9"/>
        <v>85237.208755700005</v>
      </c>
      <c r="K70" s="133">
        <f t="shared" si="10"/>
        <v>26607210.541045096</v>
      </c>
      <c r="L70" s="142">
        <f t="shared" si="11"/>
        <v>-357210.54104509496</v>
      </c>
      <c r="M70" s="141"/>
    </row>
    <row r="71" spans="1:13" x14ac:dyDescent="0.25">
      <c r="B71" s="133">
        <f t="shared" ref="B71:I71" si="12">SUM(B47:B70)</f>
        <v>4047349.5758283841</v>
      </c>
      <c r="C71" s="133">
        <f t="shared" si="12"/>
        <v>4025449.8434668435</v>
      </c>
      <c r="D71" s="133">
        <f t="shared" si="12"/>
        <v>2045693.0101367994</v>
      </c>
      <c r="E71" s="133">
        <f t="shared" si="12"/>
        <v>2509081.0008035428</v>
      </c>
      <c r="F71" s="133">
        <f t="shared" si="12"/>
        <v>1262512.7773950745</v>
      </c>
      <c r="G71" s="133">
        <f t="shared" si="12"/>
        <v>3551037.9321439057</v>
      </c>
      <c r="H71" s="133">
        <f t="shared" si="12"/>
        <v>3560662.2651156071</v>
      </c>
      <c r="I71" s="133">
        <f t="shared" si="12"/>
        <v>5605424.136154932</v>
      </c>
    </row>
    <row r="72" spans="1:13" x14ac:dyDescent="0.25">
      <c r="L72" s="155" t="s">
        <v>227</v>
      </c>
      <c r="M72" s="155"/>
    </row>
    <row r="73" spans="1:13" x14ac:dyDescent="0.25">
      <c r="L73" s="155"/>
      <c r="M73" s="155"/>
    </row>
    <row r="74" spans="1:13" x14ac:dyDescent="0.25">
      <c r="L74" s="155"/>
      <c r="M74" s="155"/>
    </row>
    <row r="75" spans="1:13" x14ac:dyDescent="0.25">
      <c r="L75" s="155"/>
      <c r="M75" s="155"/>
    </row>
    <row r="89" spans="1:1" x14ac:dyDescent="0.25">
      <c r="A89" s="5" t="s">
        <v>226</v>
      </c>
    </row>
    <row r="90" spans="1:1" x14ac:dyDescent="0.25">
      <c r="A90" s="133">
        <f>SUM(B41:I41)</f>
        <v>26250000</v>
      </c>
    </row>
    <row r="91" spans="1:1" x14ac:dyDescent="0.25">
      <c r="A91" s="5" t="s">
        <v>225</v>
      </c>
    </row>
    <row r="92" spans="1:1" x14ac:dyDescent="0.25">
      <c r="A92" s="133">
        <f>SUM(B71:I71)</f>
        <v>26607210.541045088</v>
      </c>
    </row>
    <row r="93" spans="1:1" x14ac:dyDescent="0.25">
      <c r="A93" s="5" t="s">
        <v>224</v>
      </c>
    </row>
    <row r="94" spans="1:1" x14ac:dyDescent="0.25">
      <c r="A94" s="140">
        <f>A92-A90</f>
        <v>357210.54104508832</v>
      </c>
    </row>
    <row r="95" spans="1:1" x14ac:dyDescent="0.25">
      <c r="A95" s="5" t="s">
        <v>223</v>
      </c>
    </row>
    <row r="96" spans="1:1" x14ac:dyDescent="0.25">
      <c r="A96" s="139">
        <f>A94/A90</f>
        <v>1.360802061124146E-2</v>
      </c>
    </row>
    <row r="99" spans="1:11" x14ac:dyDescent="0.25">
      <c r="A99" s="138" t="s">
        <v>222</v>
      </c>
    </row>
    <row r="100" spans="1:11" x14ac:dyDescent="0.25">
      <c r="A100" s="138" t="s">
        <v>221</v>
      </c>
    </row>
    <row r="101" spans="1:11" x14ac:dyDescent="0.25">
      <c r="A101" s="138" t="s">
        <v>220</v>
      </c>
    </row>
    <row r="102" spans="1:11" x14ac:dyDescent="0.25">
      <c r="A102" s="138" t="s">
        <v>219</v>
      </c>
    </row>
    <row r="104" spans="1:11" x14ac:dyDescent="0.25">
      <c r="A104" s="5" t="s">
        <v>218</v>
      </c>
      <c r="B104" s="5" t="s">
        <v>217</v>
      </c>
    </row>
    <row r="105" spans="1:11" x14ac:dyDescent="0.25">
      <c r="A105" s="5" t="s">
        <v>174</v>
      </c>
      <c r="B105" s="132">
        <v>3500000</v>
      </c>
      <c r="C105" s="132"/>
      <c r="D105" s="132"/>
      <c r="E105" s="132"/>
    </row>
    <row r="106" spans="1:11" x14ac:dyDescent="0.25">
      <c r="A106" s="5" t="s">
        <v>216</v>
      </c>
      <c r="B106" s="137">
        <v>0.1</v>
      </c>
      <c r="C106" s="137"/>
    </row>
    <row r="107" spans="1:11" x14ac:dyDescent="0.25">
      <c r="A107" s="5" t="s">
        <v>215</v>
      </c>
      <c r="B107" s="5">
        <v>15</v>
      </c>
    </row>
    <row r="109" spans="1:11" x14ac:dyDescent="0.25">
      <c r="A109" s="136" t="s">
        <v>214</v>
      </c>
      <c r="B109" s="136"/>
      <c r="C109" s="136"/>
      <c r="D109" s="136"/>
      <c r="E109" s="136"/>
      <c r="F109" s="135" t="s">
        <v>209</v>
      </c>
      <c r="G109" s="135"/>
      <c r="H109" s="135"/>
      <c r="I109" s="135"/>
      <c r="J109" s="135"/>
      <c r="K109" s="135"/>
    </row>
    <row r="110" spans="1:11" x14ac:dyDescent="0.25">
      <c r="A110" s="136" t="s">
        <v>181</v>
      </c>
      <c r="B110" s="136" t="s">
        <v>211</v>
      </c>
      <c r="C110" s="136" t="s">
        <v>210</v>
      </c>
      <c r="D110" s="136" t="s">
        <v>213</v>
      </c>
      <c r="E110" s="136" t="s">
        <v>212</v>
      </c>
      <c r="F110" s="135" t="s">
        <v>181</v>
      </c>
      <c r="G110" s="134" t="s">
        <v>211</v>
      </c>
      <c r="H110" s="134" t="s">
        <v>210</v>
      </c>
      <c r="I110" s="134" t="s">
        <v>174</v>
      </c>
      <c r="J110" s="135" t="s">
        <v>209</v>
      </c>
      <c r="K110" s="135" t="s">
        <v>208</v>
      </c>
    </row>
    <row r="111" spans="1:11" x14ac:dyDescent="0.25">
      <c r="A111" s="136">
        <v>1</v>
      </c>
      <c r="B111" s="158">
        <v>233000</v>
      </c>
      <c r="C111" s="158">
        <v>0</v>
      </c>
      <c r="D111" s="158">
        <f t="shared" ref="D111:D125" si="13">C111*$B$106</f>
        <v>0</v>
      </c>
      <c r="E111" s="158">
        <f>B111+D111</f>
        <v>233000</v>
      </c>
      <c r="F111" s="135">
        <v>1</v>
      </c>
      <c r="G111" s="157">
        <v>233000</v>
      </c>
      <c r="H111" s="157">
        <v>0</v>
      </c>
      <c r="I111" s="157">
        <f t="shared" ref="I111:I125" si="14">H111+G111</f>
        <v>233000</v>
      </c>
      <c r="J111" s="157">
        <f t="shared" ref="J111:J125" si="15">I111*$B$106</f>
        <v>23300</v>
      </c>
      <c r="K111" s="157">
        <f>J111+G111</f>
        <v>256300</v>
      </c>
    </row>
    <row r="112" spans="1:11" x14ac:dyDescent="0.25">
      <c r="A112" s="136">
        <v>2</v>
      </c>
      <c r="B112" s="158">
        <v>233000</v>
      </c>
      <c r="C112" s="158">
        <f t="shared" ref="C112:C125" si="16">C111+B112</f>
        <v>233000</v>
      </c>
      <c r="D112" s="158">
        <f t="shared" si="13"/>
        <v>23300</v>
      </c>
      <c r="E112" s="158">
        <f t="shared" ref="E112:E125" si="17">B112+D112+E111</f>
        <v>489300</v>
      </c>
      <c r="F112" s="135">
        <v>2</v>
      </c>
      <c r="G112" s="157">
        <v>233000</v>
      </c>
      <c r="H112" s="157">
        <f t="shared" ref="H112:H125" si="18">K111</f>
        <v>256300</v>
      </c>
      <c r="I112" s="157">
        <f t="shared" si="14"/>
        <v>489300</v>
      </c>
      <c r="J112" s="157">
        <f t="shared" si="15"/>
        <v>48930</v>
      </c>
      <c r="K112" s="157">
        <f t="shared" ref="K112:K125" si="19">K111+J112+G112</f>
        <v>538230</v>
      </c>
    </row>
    <row r="113" spans="1:11" x14ac:dyDescent="0.25">
      <c r="A113" s="136">
        <v>3</v>
      </c>
      <c r="B113" s="158">
        <v>233000</v>
      </c>
      <c r="C113" s="158">
        <f t="shared" si="16"/>
        <v>466000</v>
      </c>
      <c r="D113" s="158">
        <f t="shared" si="13"/>
        <v>46600</v>
      </c>
      <c r="E113" s="158">
        <f t="shared" si="17"/>
        <v>768900</v>
      </c>
      <c r="F113" s="135">
        <v>3</v>
      </c>
      <c r="G113" s="157">
        <v>233000</v>
      </c>
      <c r="H113" s="157">
        <f t="shared" si="18"/>
        <v>538230</v>
      </c>
      <c r="I113" s="157">
        <f t="shared" si="14"/>
        <v>771230</v>
      </c>
      <c r="J113" s="157">
        <f t="shared" si="15"/>
        <v>77123</v>
      </c>
      <c r="K113" s="157">
        <f t="shared" si="19"/>
        <v>848353</v>
      </c>
    </row>
    <row r="114" spans="1:11" x14ac:dyDescent="0.25">
      <c r="A114" s="136">
        <v>4</v>
      </c>
      <c r="B114" s="158">
        <v>233000</v>
      </c>
      <c r="C114" s="158">
        <f t="shared" si="16"/>
        <v>699000</v>
      </c>
      <c r="D114" s="158">
        <f t="shared" si="13"/>
        <v>69900</v>
      </c>
      <c r="E114" s="158">
        <f t="shared" si="17"/>
        <v>1071800</v>
      </c>
      <c r="F114" s="135">
        <v>4</v>
      </c>
      <c r="G114" s="157">
        <v>233000</v>
      </c>
      <c r="H114" s="157">
        <f t="shared" si="18"/>
        <v>848353</v>
      </c>
      <c r="I114" s="157">
        <f t="shared" si="14"/>
        <v>1081353</v>
      </c>
      <c r="J114" s="157">
        <f t="shared" si="15"/>
        <v>108135.3</v>
      </c>
      <c r="K114" s="157">
        <f t="shared" si="19"/>
        <v>1189488.3</v>
      </c>
    </row>
    <row r="115" spans="1:11" x14ac:dyDescent="0.25">
      <c r="A115" s="136">
        <v>5</v>
      </c>
      <c r="B115" s="158">
        <v>233000</v>
      </c>
      <c r="C115" s="158">
        <f t="shared" si="16"/>
        <v>932000</v>
      </c>
      <c r="D115" s="158">
        <f t="shared" si="13"/>
        <v>93200</v>
      </c>
      <c r="E115" s="158">
        <f t="shared" si="17"/>
        <v>1398000</v>
      </c>
      <c r="F115" s="135">
        <v>5</v>
      </c>
      <c r="G115" s="157">
        <v>233000</v>
      </c>
      <c r="H115" s="157">
        <f t="shared" si="18"/>
        <v>1189488.3</v>
      </c>
      <c r="I115" s="157">
        <f t="shared" si="14"/>
        <v>1422488.3</v>
      </c>
      <c r="J115" s="157">
        <f t="shared" si="15"/>
        <v>142248.83000000002</v>
      </c>
      <c r="K115" s="157">
        <f t="shared" si="19"/>
        <v>1564737.1300000001</v>
      </c>
    </row>
    <row r="116" spans="1:11" x14ac:dyDescent="0.25">
      <c r="A116" s="136">
        <v>6</v>
      </c>
      <c r="B116" s="158">
        <v>233000</v>
      </c>
      <c r="C116" s="158">
        <f t="shared" si="16"/>
        <v>1165000</v>
      </c>
      <c r="D116" s="158">
        <f t="shared" si="13"/>
        <v>116500</v>
      </c>
      <c r="E116" s="158">
        <f t="shared" si="17"/>
        <v>1747500</v>
      </c>
      <c r="F116" s="135">
        <v>6</v>
      </c>
      <c r="G116" s="157">
        <v>233000</v>
      </c>
      <c r="H116" s="157">
        <f t="shared" si="18"/>
        <v>1564737.1300000001</v>
      </c>
      <c r="I116" s="157">
        <f t="shared" si="14"/>
        <v>1797737.1300000001</v>
      </c>
      <c r="J116" s="157">
        <f t="shared" si="15"/>
        <v>179773.71300000002</v>
      </c>
      <c r="K116" s="157">
        <f t="shared" si="19"/>
        <v>1977510.8430000001</v>
      </c>
    </row>
    <row r="117" spans="1:11" x14ac:dyDescent="0.25">
      <c r="A117" s="136">
        <v>7</v>
      </c>
      <c r="B117" s="158">
        <v>233000</v>
      </c>
      <c r="C117" s="158">
        <f t="shared" si="16"/>
        <v>1398000</v>
      </c>
      <c r="D117" s="158">
        <f t="shared" si="13"/>
        <v>139800</v>
      </c>
      <c r="E117" s="158">
        <f t="shared" si="17"/>
        <v>2120300</v>
      </c>
      <c r="F117" s="135">
        <v>7</v>
      </c>
      <c r="G117" s="157">
        <v>233000</v>
      </c>
      <c r="H117" s="157">
        <f t="shared" si="18"/>
        <v>1977510.8430000001</v>
      </c>
      <c r="I117" s="157">
        <f t="shared" si="14"/>
        <v>2210510.8430000003</v>
      </c>
      <c r="J117" s="157">
        <f t="shared" si="15"/>
        <v>221051.08430000005</v>
      </c>
      <c r="K117" s="157">
        <f t="shared" si="19"/>
        <v>2431561.9273000001</v>
      </c>
    </row>
    <row r="118" spans="1:11" x14ac:dyDescent="0.25">
      <c r="A118" s="136">
        <v>8</v>
      </c>
      <c r="B118" s="158">
        <v>233000</v>
      </c>
      <c r="C118" s="158">
        <f t="shared" si="16"/>
        <v>1631000</v>
      </c>
      <c r="D118" s="158">
        <f t="shared" si="13"/>
        <v>163100</v>
      </c>
      <c r="E118" s="158">
        <f t="shared" si="17"/>
        <v>2516400</v>
      </c>
      <c r="F118" s="135">
        <v>8</v>
      </c>
      <c r="G118" s="157">
        <v>233000</v>
      </c>
      <c r="H118" s="157">
        <f t="shared" si="18"/>
        <v>2431561.9273000001</v>
      </c>
      <c r="I118" s="157">
        <f t="shared" si="14"/>
        <v>2664561.9273000001</v>
      </c>
      <c r="J118" s="157">
        <f t="shared" si="15"/>
        <v>266456.19273000001</v>
      </c>
      <c r="K118" s="157">
        <f t="shared" si="19"/>
        <v>2931018.1200299999</v>
      </c>
    </row>
    <row r="119" spans="1:11" x14ac:dyDescent="0.25">
      <c r="A119" s="136">
        <v>9</v>
      </c>
      <c r="B119" s="158">
        <v>233000</v>
      </c>
      <c r="C119" s="158">
        <f t="shared" si="16"/>
        <v>1864000</v>
      </c>
      <c r="D119" s="158">
        <f t="shared" si="13"/>
        <v>186400</v>
      </c>
      <c r="E119" s="158">
        <f t="shared" si="17"/>
        <v>2935800</v>
      </c>
      <c r="F119" s="135">
        <v>9</v>
      </c>
      <c r="G119" s="157">
        <v>233000</v>
      </c>
      <c r="H119" s="157">
        <f t="shared" si="18"/>
        <v>2931018.1200299999</v>
      </c>
      <c r="I119" s="157">
        <f t="shared" si="14"/>
        <v>3164018.1200299999</v>
      </c>
      <c r="J119" s="157">
        <f t="shared" si="15"/>
        <v>316401.812003</v>
      </c>
      <c r="K119" s="157">
        <f t="shared" si="19"/>
        <v>3480419.932033</v>
      </c>
    </row>
    <row r="120" spans="1:11" x14ac:dyDescent="0.25">
      <c r="A120" s="136">
        <v>10</v>
      </c>
      <c r="B120" s="158">
        <v>233000</v>
      </c>
      <c r="C120" s="158">
        <f t="shared" si="16"/>
        <v>2097000</v>
      </c>
      <c r="D120" s="158">
        <f t="shared" si="13"/>
        <v>209700</v>
      </c>
      <c r="E120" s="158">
        <f t="shared" si="17"/>
        <v>3378500</v>
      </c>
      <c r="F120" s="135">
        <v>10</v>
      </c>
      <c r="G120" s="157">
        <v>233000</v>
      </c>
      <c r="H120" s="157">
        <f t="shared" si="18"/>
        <v>3480419.932033</v>
      </c>
      <c r="I120" s="157">
        <f t="shared" si="14"/>
        <v>3713419.932033</v>
      </c>
      <c r="J120" s="157">
        <f t="shared" si="15"/>
        <v>371341.99320330005</v>
      </c>
      <c r="K120" s="157">
        <f t="shared" si="19"/>
        <v>4084761.9252363001</v>
      </c>
    </row>
    <row r="121" spans="1:11" x14ac:dyDescent="0.25">
      <c r="A121" s="136">
        <v>11</v>
      </c>
      <c r="B121" s="158">
        <v>233000</v>
      </c>
      <c r="C121" s="158">
        <f t="shared" si="16"/>
        <v>2330000</v>
      </c>
      <c r="D121" s="158">
        <f t="shared" si="13"/>
        <v>233000</v>
      </c>
      <c r="E121" s="158">
        <f t="shared" si="17"/>
        <v>3844500</v>
      </c>
      <c r="F121" s="135">
        <v>11</v>
      </c>
      <c r="G121" s="157">
        <v>233000</v>
      </c>
      <c r="H121" s="157">
        <f t="shared" si="18"/>
        <v>4084761.9252363001</v>
      </c>
      <c r="I121" s="157">
        <f t="shared" si="14"/>
        <v>4317761.9252362996</v>
      </c>
      <c r="J121" s="157">
        <f t="shared" si="15"/>
        <v>431776.19252362999</v>
      </c>
      <c r="K121" s="157">
        <f t="shared" si="19"/>
        <v>4749538.11775993</v>
      </c>
    </row>
    <row r="122" spans="1:11" x14ac:dyDescent="0.25">
      <c r="A122" s="136">
        <v>12</v>
      </c>
      <c r="B122" s="158">
        <v>233000</v>
      </c>
      <c r="C122" s="158">
        <f t="shared" si="16"/>
        <v>2563000</v>
      </c>
      <c r="D122" s="158">
        <f t="shared" si="13"/>
        <v>256300</v>
      </c>
      <c r="E122" s="158">
        <f t="shared" si="17"/>
        <v>4333800</v>
      </c>
      <c r="F122" s="135">
        <v>12</v>
      </c>
      <c r="G122" s="157">
        <v>233000</v>
      </c>
      <c r="H122" s="157">
        <f t="shared" si="18"/>
        <v>4749538.11775993</v>
      </c>
      <c r="I122" s="157">
        <f t="shared" si="14"/>
        <v>4982538.11775993</v>
      </c>
      <c r="J122" s="157">
        <f t="shared" si="15"/>
        <v>498253.81177599303</v>
      </c>
      <c r="K122" s="157">
        <f t="shared" si="19"/>
        <v>5480791.9295359226</v>
      </c>
    </row>
    <row r="123" spans="1:11" x14ac:dyDescent="0.25">
      <c r="A123" s="136">
        <v>13</v>
      </c>
      <c r="B123" s="158">
        <v>233000</v>
      </c>
      <c r="C123" s="158">
        <f t="shared" si="16"/>
        <v>2796000</v>
      </c>
      <c r="D123" s="158">
        <f t="shared" si="13"/>
        <v>279600</v>
      </c>
      <c r="E123" s="158">
        <f t="shared" si="17"/>
        <v>4846400</v>
      </c>
      <c r="F123" s="135">
        <v>13</v>
      </c>
      <c r="G123" s="157">
        <v>233000</v>
      </c>
      <c r="H123" s="157">
        <f t="shared" si="18"/>
        <v>5480791.9295359226</v>
      </c>
      <c r="I123" s="157">
        <f t="shared" si="14"/>
        <v>5713791.9295359226</v>
      </c>
      <c r="J123" s="157">
        <f t="shared" si="15"/>
        <v>571379.19295359228</v>
      </c>
      <c r="K123" s="157">
        <f t="shared" si="19"/>
        <v>6285171.1224895148</v>
      </c>
    </row>
    <row r="124" spans="1:11" x14ac:dyDescent="0.25">
      <c r="A124" s="136">
        <v>14</v>
      </c>
      <c r="B124" s="158">
        <v>233000</v>
      </c>
      <c r="C124" s="158">
        <f t="shared" si="16"/>
        <v>3029000</v>
      </c>
      <c r="D124" s="158">
        <f t="shared" si="13"/>
        <v>302900</v>
      </c>
      <c r="E124" s="158">
        <f t="shared" si="17"/>
        <v>5382300</v>
      </c>
      <c r="F124" s="159">
        <v>14</v>
      </c>
      <c r="G124" s="157">
        <v>233000</v>
      </c>
      <c r="H124" s="157">
        <f t="shared" si="18"/>
        <v>6285171.1224895148</v>
      </c>
      <c r="I124" s="157">
        <f t="shared" si="14"/>
        <v>6518171.1224895148</v>
      </c>
      <c r="J124" s="157">
        <f t="shared" si="15"/>
        <v>651817.11224895157</v>
      </c>
      <c r="K124" s="157">
        <f t="shared" si="19"/>
        <v>7169988.2347384663</v>
      </c>
    </row>
    <row r="125" spans="1:11" x14ac:dyDescent="0.25">
      <c r="A125" s="136">
        <v>15</v>
      </c>
      <c r="B125" s="158">
        <v>233000</v>
      </c>
      <c r="C125" s="158">
        <f t="shared" si="16"/>
        <v>3262000</v>
      </c>
      <c r="D125" s="158">
        <f t="shared" si="13"/>
        <v>326200</v>
      </c>
      <c r="E125" s="158">
        <f t="shared" si="17"/>
        <v>5941500</v>
      </c>
      <c r="F125" s="159">
        <v>15</v>
      </c>
      <c r="G125" s="157">
        <v>233000</v>
      </c>
      <c r="H125" s="157">
        <f t="shared" si="18"/>
        <v>7169988.2347384663</v>
      </c>
      <c r="I125" s="157">
        <f t="shared" si="14"/>
        <v>7402988.2347384663</v>
      </c>
      <c r="J125" s="157">
        <f t="shared" si="15"/>
        <v>740298.82347384666</v>
      </c>
      <c r="K125" s="157">
        <f t="shared" si="19"/>
        <v>8143287.0582123129</v>
      </c>
    </row>
    <row r="126" spans="1:11" x14ac:dyDescent="0.25">
      <c r="B126" s="160"/>
      <c r="C126" s="160"/>
      <c r="D126" s="160"/>
      <c r="E126" s="160"/>
      <c r="F126" s="160"/>
      <c r="G126" s="161"/>
      <c r="H126" s="161"/>
      <c r="I126" s="161"/>
      <c r="J126" s="160" t="s">
        <v>265</v>
      </c>
      <c r="K126" s="160">
        <f>K125</f>
        <v>8143287.0582123129</v>
      </c>
    </row>
    <row r="127" spans="1:11" x14ac:dyDescent="0.25">
      <c r="A127" s="5" t="s">
        <v>261</v>
      </c>
      <c r="B127" s="161">
        <f>SUM(B111:B125)</f>
        <v>3495000</v>
      </c>
      <c r="C127" s="161"/>
      <c r="D127" s="160"/>
      <c r="E127" s="160"/>
      <c r="F127" s="160"/>
      <c r="G127" s="160"/>
      <c r="H127" s="160"/>
      <c r="I127" s="160"/>
      <c r="J127" s="160" t="s">
        <v>264</v>
      </c>
      <c r="K127" s="160">
        <f>SUM(G111:G125)</f>
        <v>3495000</v>
      </c>
    </row>
    <row r="128" spans="1:11" x14ac:dyDescent="0.25">
      <c r="A128" s="5" t="s">
        <v>262</v>
      </c>
      <c r="B128" s="161">
        <f>E125</f>
        <v>5941500</v>
      </c>
      <c r="C128" s="160"/>
      <c r="D128" s="160"/>
      <c r="E128" s="160"/>
      <c r="F128" s="160"/>
      <c r="G128" s="160"/>
      <c r="H128" s="160"/>
      <c r="I128" s="160"/>
      <c r="J128" s="160" t="s">
        <v>263</v>
      </c>
      <c r="K128" s="161">
        <f>K126-K127</f>
        <v>4648287.0582123129</v>
      </c>
    </row>
    <row r="129" spans="1:11" x14ac:dyDescent="0.25">
      <c r="A129" s="5" t="s">
        <v>263</v>
      </c>
      <c r="B129" s="161">
        <f>B128-B127</f>
        <v>2446500</v>
      </c>
      <c r="K129" s="131">
        <f>K128/K127</f>
        <v>1.3299819909048105</v>
      </c>
    </row>
    <row r="130" spans="1:11" x14ac:dyDescent="0.25">
      <c r="B130" s="130">
        <f>B129/B127</f>
        <v>0.7</v>
      </c>
    </row>
  </sheetData>
  <mergeCells count="2">
    <mergeCell ref="L72:M75"/>
    <mergeCell ref="A36:I38"/>
  </mergeCells>
  <pageMargins left="0.7" right="0.7" top="0.75" bottom="0.75" header="0.51180555555555496" footer="0.51180555555555496"/>
  <pageSetup firstPageNumber="0"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topLeftCell="A49" workbookViewId="0">
      <selection activeCell="I16" sqref="I16"/>
    </sheetView>
  </sheetViews>
  <sheetFormatPr baseColWidth="10" defaultRowHeight="15" x14ac:dyDescent="0.25"/>
  <cols>
    <col min="1" max="1" width="32.7109375" customWidth="1"/>
    <col min="2" max="3" width="15.140625" bestFit="1" customWidth="1"/>
    <col min="4" max="4" width="11.5703125" bestFit="1" customWidth="1"/>
    <col min="5" max="5" width="17.7109375" bestFit="1" customWidth="1"/>
    <col min="6" max="6" width="16.85546875" bestFit="1" customWidth="1"/>
  </cols>
  <sheetData>
    <row r="1" spans="1:7" x14ac:dyDescent="0.25">
      <c r="A1" t="s">
        <v>160</v>
      </c>
    </row>
    <row r="3" spans="1:7" ht="15" customHeight="1" x14ac:dyDescent="0.25">
      <c r="A3" s="156" t="s">
        <v>161</v>
      </c>
      <c r="B3" s="156"/>
      <c r="C3" s="156"/>
      <c r="D3" s="156"/>
      <c r="E3" s="156"/>
      <c r="F3" s="156"/>
      <c r="G3" s="156"/>
    </row>
    <row r="4" spans="1:7" x14ac:dyDescent="0.25">
      <c r="A4" s="156"/>
      <c r="B4" s="156"/>
      <c r="C4" s="156"/>
      <c r="D4" s="156"/>
      <c r="E4" s="156"/>
      <c r="F4" s="156"/>
      <c r="G4" s="156"/>
    </row>
    <row r="5" spans="1:7" x14ac:dyDescent="0.25">
      <c r="A5" s="156"/>
      <c r="B5" s="156"/>
      <c r="C5" s="156"/>
      <c r="D5" s="156"/>
      <c r="E5" s="156"/>
      <c r="F5" s="156"/>
      <c r="G5" s="156"/>
    </row>
    <row r="6" spans="1:7" x14ac:dyDescent="0.25">
      <c r="A6" s="156"/>
      <c r="B6" s="156"/>
      <c r="C6" s="156"/>
      <c r="D6" s="156"/>
      <c r="E6" s="156"/>
      <c r="F6" s="156"/>
      <c r="G6" s="156"/>
    </row>
    <row r="7" spans="1:7" x14ac:dyDescent="0.25">
      <c r="A7" s="156"/>
      <c r="B7" s="156"/>
      <c r="C7" s="156"/>
      <c r="D7" s="156"/>
      <c r="E7" s="156"/>
      <c r="F7" s="156"/>
      <c r="G7" s="156"/>
    </row>
    <row r="8" spans="1:7" x14ac:dyDescent="0.25">
      <c r="A8" s="156"/>
      <c r="B8" s="156"/>
      <c r="C8" s="156"/>
      <c r="D8" s="156"/>
      <c r="E8" s="156"/>
      <c r="F8" s="156"/>
      <c r="G8" s="156"/>
    </row>
    <row r="10" spans="1:7" x14ac:dyDescent="0.25">
      <c r="A10" t="s">
        <v>162</v>
      </c>
    </row>
    <row r="12" spans="1:7" x14ac:dyDescent="0.25">
      <c r="A12" s="156" t="s">
        <v>163</v>
      </c>
      <c r="B12" s="156"/>
      <c r="C12" s="156"/>
      <c r="D12" s="156"/>
      <c r="E12" s="156"/>
      <c r="F12" s="156"/>
      <c r="G12" s="156"/>
    </row>
    <row r="13" spans="1:7" x14ac:dyDescent="0.25">
      <c r="A13" s="156"/>
      <c r="B13" s="156"/>
      <c r="C13" s="156"/>
      <c r="D13" s="156"/>
      <c r="E13" s="156"/>
      <c r="F13" s="156"/>
      <c r="G13" s="156"/>
    </row>
    <row r="14" spans="1:7" x14ac:dyDescent="0.25">
      <c r="A14" s="156"/>
      <c r="B14" s="156"/>
      <c r="C14" s="156"/>
      <c r="D14" s="156"/>
      <c r="E14" s="156"/>
      <c r="F14" s="156"/>
      <c r="G14" s="156"/>
    </row>
    <row r="15" spans="1:7" x14ac:dyDescent="0.25">
      <c r="A15" s="156"/>
      <c r="B15" s="156"/>
      <c r="C15" s="156"/>
      <c r="D15" s="156"/>
      <c r="E15" s="156"/>
      <c r="F15" s="156"/>
      <c r="G15" s="156"/>
    </row>
    <row r="16" spans="1:7" x14ac:dyDescent="0.25">
      <c r="A16" s="156"/>
      <c r="B16" s="156"/>
      <c r="C16" s="156"/>
      <c r="D16" s="156"/>
      <c r="E16" s="156"/>
      <c r="F16" s="156"/>
      <c r="G16" s="156"/>
    </row>
    <row r="17" spans="1:7" x14ac:dyDescent="0.25">
      <c r="A17" s="156"/>
      <c r="B17" s="156"/>
      <c r="C17" s="156"/>
      <c r="D17" s="156"/>
      <c r="E17" s="156"/>
      <c r="F17" s="156"/>
      <c r="G17" s="156"/>
    </row>
    <row r="19" spans="1:7" x14ac:dyDescent="0.25">
      <c r="A19" t="s">
        <v>164</v>
      </c>
    </row>
    <row r="21" spans="1:7" x14ac:dyDescent="0.25">
      <c r="A21" s="156" t="s">
        <v>165</v>
      </c>
      <c r="B21" s="156"/>
      <c r="C21" s="156"/>
      <c r="D21" s="156"/>
      <c r="E21" s="156"/>
      <c r="F21" s="156"/>
      <c r="G21" s="156"/>
    </row>
    <row r="22" spans="1:7" x14ac:dyDescent="0.25">
      <c r="A22" s="156"/>
      <c r="B22" s="156"/>
      <c r="C22" s="156"/>
      <c r="D22" s="156"/>
      <c r="E22" s="156"/>
      <c r="F22" s="156"/>
      <c r="G22" s="156"/>
    </row>
    <row r="23" spans="1:7" x14ac:dyDescent="0.25">
      <c r="A23" s="156"/>
      <c r="B23" s="156"/>
      <c r="C23" s="156"/>
      <c r="D23" s="156"/>
      <c r="E23" s="156"/>
      <c r="F23" s="156"/>
      <c r="G23" s="156"/>
    </row>
    <row r="24" spans="1:7" x14ac:dyDescent="0.25">
      <c r="A24" s="156"/>
      <c r="B24" s="156"/>
      <c r="C24" s="156"/>
      <c r="D24" s="156"/>
      <c r="E24" s="156"/>
      <c r="F24" s="156"/>
      <c r="G24" s="156"/>
    </row>
    <row r="25" spans="1:7" x14ac:dyDescent="0.25">
      <c r="A25" s="156"/>
      <c r="B25" s="156"/>
      <c r="C25" s="156"/>
      <c r="D25" s="156"/>
      <c r="E25" s="156"/>
      <c r="F25" s="156"/>
      <c r="G25" s="156"/>
    </row>
    <row r="27" spans="1:7" x14ac:dyDescent="0.25">
      <c r="A27" t="s">
        <v>166</v>
      </c>
    </row>
    <row r="29" spans="1:7" x14ac:dyDescent="0.25">
      <c r="A29" t="s">
        <v>167</v>
      </c>
      <c r="B29" s="111">
        <v>2.3E-2</v>
      </c>
    </row>
    <row r="30" spans="1:7" x14ac:dyDescent="0.25">
      <c r="A30" t="s">
        <v>168</v>
      </c>
      <c r="B30" s="112">
        <f>(1+B29)^(30/360)-1</f>
        <v>1.8967538135683526E-3</v>
      </c>
    </row>
    <row r="32" spans="1:7" x14ac:dyDescent="0.25">
      <c r="A32" t="s">
        <v>169</v>
      </c>
      <c r="B32" s="111">
        <v>1.2E-2</v>
      </c>
    </row>
    <row r="33" spans="1:6" x14ac:dyDescent="0.25">
      <c r="A33" t="s">
        <v>170</v>
      </c>
      <c r="B33" s="112">
        <f>(1+B32)^(30/360)-1</f>
        <v>9.9454180114277868E-4</v>
      </c>
    </row>
    <row r="35" spans="1:6" x14ac:dyDescent="0.25">
      <c r="A35" t="s">
        <v>171</v>
      </c>
    </row>
    <row r="37" spans="1:6" x14ac:dyDescent="0.25">
      <c r="A37" s="113">
        <f>(10000000*B30)/(1-(1+B30)^-6)</f>
        <v>1677748.5360069543</v>
      </c>
      <c r="C37" s="114"/>
    </row>
    <row r="39" spans="1:6" x14ac:dyDescent="0.25">
      <c r="A39" t="s">
        <v>172</v>
      </c>
    </row>
    <row r="40" spans="1:6" x14ac:dyDescent="0.25">
      <c r="B40" t="s">
        <v>173</v>
      </c>
      <c r="C40" t="s">
        <v>174</v>
      </c>
      <c r="D40" t="s">
        <v>175</v>
      </c>
      <c r="E40" t="s">
        <v>6</v>
      </c>
      <c r="F40" t="s">
        <v>176</v>
      </c>
    </row>
    <row r="41" spans="1:6" x14ac:dyDescent="0.25">
      <c r="A41">
        <v>1</v>
      </c>
      <c r="B41" s="115">
        <f>$A$37</f>
        <v>1677748.5360069543</v>
      </c>
      <c r="C41" s="113">
        <v>10000000</v>
      </c>
      <c r="D41" s="113">
        <f>C41*$B$30</f>
        <v>18967.538135683528</v>
      </c>
      <c r="E41" s="113">
        <f>C41+D41</f>
        <v>10018967.538135683</v>
      </c>
      <c r="F41" s="113">
        <f>E41-B41</f>
        <v>8341219.0021287287</v>
      </c>
    </row>
    <row r="42" spans="1:6" x14ac:dyDescent="0.25">
      <c r="A42">
        <v>2</v>
      </c>
      <c r="B42" s="115">
        <f t="shared" ref="B42:B46" si="0">$A$37</f>
        <v>1677748.5360069543</v>
      </c>
      <c r="C42" s="115">
        <f>F41</f>
        <v>8341219.0021287287</v>
      </c>
      <c r="D42" s="113">
        <f t="shared" ref="D42:D46" si="1">C42*$B$30</f>
        <v>15821.238952096475</v>
      </c>
      <c r="E42" s="113">
        <f t="shared" ref="E42:E46" si="2">C42+D42</f>
        <v>8357040.2410808252</v>
      </c>
      <c r="F42" s="113">
        <f t="shared" ref="F42:F46" si="3">E42-B42</f>
        <v>6679291.7050738707</v>
      </c>
    </row>
    <row r="43" spans="1:6" x14ac:dyDescent="0.25">
      <c r="A43">
        <v>3</v>
      </c>
      <c r="B43" s="115">
        <f t="shared" si="0"/>
        <v>1677748.5360069543</v>
      </c>
      <c r="C43" s="115">
        <f t="shared" ref="C43:C46" si="4">F42</f>
        <v>6679291.7050738707</v>
      </c>
      <c r="D43" s="113">
        <f t="shared" si="1"/>
        <v>12668.972013534329</v>
      </c>
      <c r="E43" s="113">
        <f t="shared" si="2"/>
        <v>6691960.6770874048</v>
      </c>
      <c r="F43" s="113">
        <f t="shared" si="3"/>
        <v>5014212.1410804503</v>
      </c>
    </row>
    <row r="44" spans="1:6" x14ac:dyDescent="0.25">
      <c r="A44">
        <v>4</v>
      </c>
      <c r="B44" s="115">
        <f t="shared" si="0"/>
        <v>1677748.5360069543</v>
      </c>
      <c r="C44" s="115">
        <f t="shared" si="4"/>
        <v>5014212.1410804503</v>
      </c>
      <c r="D44" s="113">
        <f t="shared" si="1"/>
        <v>9510.7260006350789</v>
      </c>
      <c r="E44" s="113">
        <f t="shared" si="2"/>
        <v>5023722.8670810852</v>
      </c>
      <c r="F44" s="113">
        <f t="shared" si="3"/>
        <v>3345974.3310741307</v>
      </c>
    </row>
    <row r="45" spans="1:6" x14ac:dyDescent="0.25">
      <c r="A45">
        <v>5</v>
      </c>
      <c r="B45" s="115">
        <f t="shared" si="0"/>
        <v>1677748.5360069543</v>
      </c>
      <c r="C45" s="115">
        <f t="shared" si="4"/>
        <v>3345974.3310741307</v>
      </c>
      <c r="D45" s="113">
        <f t="shared" si="1"/>
        <v>6346.4895725666747</v>
      </c>
      <c r="E45" s="113">
        <f t="shared" si="2"/>
        <v>3352320.8206466972</v>
      </c>
      <c r="F45" s="113">
        <f t="shared" si="3"/>
        <v>1674572.2846397429</v>
      </c>
    </row>
    <row r="46" spans="1:6" x14ac:dyDescent="0.25">
      <c r="A46">
        <v>6</v>
      </c>
      <c r="B46" s="115">
        <f t="shared" si="0"/>
        <v>1677748.5360069543</v>
      </c>
      <c r="C46" s="115">
        <f t="shared" si="4"/>
        <v>1674572.2846397429</v>
      </c>
      <c r="D46" s="113">
        <f t="shared" si="1"/>
        <v>3176.251366986301</v>
      </c>
      <c r="E46" s="113">
        <f t="shared" si="2"/>
        <v>1677748.5360067291</v>
      </c>
      <c r="F46" s="113">
        <f t="shared" si="3"/>
        <v>-2.2514723241329193E-7</v>
      </c>
    </row>
    <row r="48" spans="1:6" x14ac:dyDescent="0.25">
      <c r="A48" t="s">
        <v>177</v>
      </c>
    </row>
    <row r="50" spans="1:5" x14ac:dyDescent="0.25">
      <c r="A50" t="s">
        <v>178</v>
      </c>
    </row>
    <row r="52" spans="1:5" x14ac:dyDescent="0.25">
      <c r="A52" t="s">
        <v>174</v>
      </c>
      <c r="B52" t="s">
        <v>175</v>
      </c>
      <c r="C52" t="s">
        <v>6</v>
      </c>
    </row>
    <row r="53" spans="1:5" x14ac:dyDescent="0.25">
      <c r="A53" s="115">
        <f>F43</f>
        <v>5014212.1410804503</v>
      </c>
      <c r="B53" s="113">
        <f>B33*A53</f>
        <v>4986.8435741021394</v>
      </c>
      <c r="C53" s="115">
        <f>SUM(A53:B53)</f>
        <v>5019198.9846545523</v>
      </c>
    </row>
    <row r="55" spans="1:5" x14ac:dyDescent="0.25">
      <c r="A55" t="s">
        <v>179</v>
      </c>
    </row>
    <row r="57" spans="1:5" x14ac:dyDescent="0.25">
      <c r="A57" t="s">
        <v>180</v>
      </c>
    </row>
    <row r="58" spans="1:5" x14ac:dyDescent="0.25">
      <c r="A58" s="116" t="s">
        <v>181</v>
      </c>
      <c r="B58" s="116" t="s">
        <v>173</v>
      </c>
    </row>
    <row r="59" spans="1:5" x14ac:dyDescent="0.25">
      <c r="A59" s="116">
        <v>1</v>
      </c>
      <c r="B59" s="117">
        <f>B41</f>
        <v>1677748.5360069543</v>
      </c>
      <c r="E59" s="113"/>
    </row>
    <row r="60" spans="1:5" x14ac:dyDescent="0.25">
      <c r="A60" s="116">
        <v>2</v>
      </c>
      <c r="B60" s="117">
        <f t="shared" ref="B60:B61" si="5">B42</f>
        <v>1677748.5360069543</v>
      </c>
    </row>
    <row r="61" spans="1:5" x14ac:dyDescent="0.25">
      <c r="A61" s="116">
        <v>3</v>
      </c>
      <c r="B61" s="117">
        <f t="shared" si="5"/>
        <v>1677748.5360069543</v>
      </c>
    </row>
    <row r="62" spans="1:5" x14ac:dyDescent="0.25">
      <c r="A62" s="116">
        <v>4</v>
      </c>
      <c r="B62" s="117">
        <f>C53</f>
        <v>5019198.9846545523</v>
      </c>
    </row>
    <row r="63" spans="1:5" x14ac:dyDescent="0.25">
      <c r="A63" s="116" t="s">
        <v>6</v>
      </c>
      <c r="B63" s="117">
        <f>SUM(B59:B62)</f>
        <v>10052444.592675414</v>
      </c>
    </row>
    <row r="65" spans="1:3" x14ac:dyDescent="0.25">
      <c r="A65" t="s">
        <v>182</v>
      </c>
    </row>
    <row r="67" spans="1:3" x14ac:dyDescent="0.25">
      <c r="A67" t="s">
        <v>183</v>
      </c>
      <c r="C67" s="113">
        <f>B59*6-B63</f>
        <v>14046.623366311193</v>
      </c>
    </row>
  </sheetData>
  <mergeCells count="3">
    <mergeCell ref="A3:G8"/>
    <mergeCell ref="A12:G17"/>
    <mergeCell ref="A21:G25"/>
  </mergeCells>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workbookViewId="0">
      <selection activeCell="G66" sqref="G66"/>
    </sheetView>
  </sheetViews>
  <sheetFormatPr baseColWidth="10" defaultRowHeight="15" x14ac:dyDescent="0.25"/>
  <cols>
    <col min="1" max="1" width="19.85546875" bestFit="1" customWidth="1"/>
    <col min="2" max="2" width="17.85546875" bestFit="1" customWidth="1"/>
    <col min="3" max="3" width="17.7109375" bestFit="1" customWidth="1"/>
  </cols>
  <sheetData>
    <row r="1" spans="1:3" x14ac:dyDescent="0.25">
      <c r="A1" t="s">
        <v>246</v>
      </c>
    </row>
    <row r="2" spans="1:3" x14ac:dyDescent="0.25">
      <c r="A2" t="s">
        <v>247</v>
      </c>
      <c r="B2" s="113">
        <v>7500000</v>
      </c>
    </row>
    <row r="3" spans="1:3" x14ac:dyDescent="0.25">
      <c r="A3" t="s">
        <v>248</v>
      </c>
      <c r="B3" t="s">
        <v>249</v>
      </c>
      <c r="C3" t="s">
        <v>250</v>
      </c>
    </row>
    <row r="4" spans="1:3" x14ac:dyDescent="0.25">
      <c r="A4" t="s">
        <v>231</v>
      </c>
      <c r="B4">
        <v>12</v>
      </c>
      <c r="C4" t="s">
        <v>251</v>
      </c>
    </row>
    <row r="5" spans="1:3" x14ac:dyDescent="0.25">
      <c r="A5" t="s">
        <v>197</v>
      </c>
      <c r="B5" s="114">
        <f>ABS(PMT(0.12,48,B2))</f>
        <v>903923.43586954032</v>
      </c>
    </row>
    <row r="6" spans="1:3" x14ac:dyDescent="0.25">
      <c r="A6" t="s">
        <v>252</v>
      </c>
      <c r="B6" s="113">
        <f>B5*48</f>
        <v>43388324.921737939</v>
      </c>
    </row>
    <row r="8" spans="1:3" x14ac:dyDescent="0.25">
      <c r="A8" t="s">
        <v>253</v>
      </c>
      <c r="B8" s="114"/>
    </row>
    <row r="10" spans="1:3" x14ac:dyDescent="0.25">
      <c r="A10" t="s">
        <v>254</v>
      </c>
    </row>
    <row r="12" spans="1:3" x14ac:dyDescent="0.25">
      <c r="A12" s="113">
        <f>ABS(PMT(1%,48,B2))</f>
        <v>197503.76573945823</v>
      </c>
    </row>
    <row r="14" spans="1:3" x14ac:dyDescent="0.25">
      <c r="A14" t="s">
        <v>255</v>
      </c>
    </row>
    <row r="16" spans="1:3" x14ac:dyDescent="0.25">
      <c r="A16" s="113">
        <f>A12*48</f>
        <v>9480180.7554939948</v>
      </c>
    </row>
    <row r="18" spans="1:3" x14ac:dyDescent="0.25">
      <c r="A18" t="s">
        <v>256</v>
      </c>
    </row>
    <row r="19" spans="1:3" x14ac:dyDescent="0.25">
      <c r="A19" t="s">
        <v>257</v>
      </c>
      <c r="B19" t="s">
        <v>211</v>
      </c>
      <c r="C19" t="s">
        <v>258</v>
      </c>
    </row>
    <row r="20" spans="1:3" x14ac:dyDescent="0.25">
      <c r="A20" s="2">
        <v>0</v>
      </c>
      <c r="B20" s="113">
        <f>ABS(PMT(A20,48,7500000))</f>
        <v>156250</v>
      </c>
      <c r="C20" s="113">
        <f>B20*48</f>
        <v>7500000</v>
      </c>
    </row>
    <row r="21" spans="1:3" x14ac:dyDescent="0.25">
      <c r="A21" s="2">
        <v>5.0000000000000001E-3</v>
      </c>
      <c r="B21" s="113">
        <f t="shared" ref="B21:B38" si="0">ABS(PMT(A21,48,7500000))</f>
        <v>176137.71785951711</v>
      </c>
      <c r="C21" s="113">
        <f t="shared" ref="C21:C38" si="1">B21*48</f>
        <v>8454610.4572568219</v>
      </c>
    </row>
    <row r="22" spans="1:3" x14ac:dyDescent="0.25">
      <c r="A22" s="2">
        <v>0.01</v>
      </c>
      <c r="B22" s="113">
        <f t="shared" si="0"/>
        <v>197503.76573945823</v>
      </c>
      <c r="C22" s="113">
        <f t="shared" si="1"/>
        <v>9480180.7554939948</v>
      </c>
    </row>
    <row r="23" spans="1:3" x14ac:dyDescent="0.25">
      <c r="A23" s="2">
        <v>1.4999999999999999E-2</v>
      </c>
      <c r="B23" s="113">
        <f t="shared" si="0"/>
        <v>220312.49706121656</v>
      </c>
      <c r="C23" s="113">
        <f t="shared" si="1"/>
        <v>10574999.858938396</v>
      </c>
    </row>
    <row r="24" spans="1:3" x14ac:dyDescent="0.25">
      <c r="A24" s="2">
        <v>0.02</v>
      </c>
      <c r="B24" s="113">
        <f t="shared" si="0"/>
        <v>244513.7666044957</v>
      </c>
      <c r="C24" s="113">
        <f t="shared" si="1"/>
        <v>11736660.797015794</v>
      </c>
    </row>
    <row r="25" spans="1:3" x14ac:dyDescent="0.25">
      <c r="A25" s="2">
        <v>2.5000000000000001E-2</v>
      </c>
      <c r="B25" s="113">
        <f t="shared" si="0"/>
        <v>270044.95342816348</v>
      </c>
      <c r="C25" s="113">
        <f t="shared" si="1"/>
        <v>12962157.764551848</v>
      </c>
    </row>
    <row r="26" spans="1:3" x14ac:dyDescent="0.25">
      <c r="A26" s="2">
        <v>0.03</v>
      </c>
      <c r="B26" s="113">
        <f t="shared" si="0"/>
        <v>296833.30353788345</v>
      </c>
      <c r="C26" s="113">
        <f t="shared" si="1"/>
        <v>14247998.569818405</v>
      </c>
    </row>
    <row r="27" spans="1:3" x14ac:dyDescent="0.25">
      <c r="A27" s="2">
        <v>3.5000000000000003E-2</v>
      </c>
      <c r="B27" s="113">
        <f t="shared" si="0"/>
        <v>324798.43518512027</v>
      </c>
      <c r="C27" s="113">
        <f t="shared" si="1"/>
        <v>15590324.888885774</v>
      </c>
    </row>
    <row r="28" spans="1:3" x14ac:dyDescent="0.25">
      <c r="A28" s="2">
        <v>0.04</v>
      </c>
      <c r="B28" s="113">
        <f t="shared" si="0"/>
        <v>353854.85666358977</v>
      </c>
      <c r="C28" s="113">
        <f t="shared" si="1"/>
        <v>16985033.119852308</v>
      </c>
    </row>
    <row r="29" spans="1:3" x14ac:dyDescent="0.25">
      <c r="A29" s="2">
        <v>4.4999999999999998E-2</v>
      </c>
      <c r="B29" s="113">
        <f t="shared" si="0"/>
        <v>383914.36595372926</v>
      </c>
      <c r="C29" s="113">
        <f t="shared" si="1"/>
        <v>18427889.565779004</v>
      </c>
    </row>
    <row r="30" spans="1:3" x14ac:dyDescent="0.25">
      <c r="A30" s="2">
        <v>0.05</v>
      </c>
      <c r="B30" s="113">
        <f t="shared" si="0"/>
        <v>414888.22936505964</v>
      </c>
      <c r="C30" s="113">
        <f t="shared" si="1"/>
        <v>19914635.009522863</v>
      </c>
    </row>
    <row r="31" spans="1:3" x14ac:dyDescent="0.25">
      <c r="A31" s="2">
        <v>5.5E-2</v>
      </c>
      <c r="B31" s="113">
        <f t="shared" si="0"/>
        <v>446689.06795799983</v>
      </c>
      <c r="C31" s="113">
        <f t="shared" si="1"/>
        <v>21441075.261983991</v>
      </c>
    </row>
    <row r="32" spans="1:3" x14ac:dyDescent="0.25">
      <c r="A32" s="2">
        <v>0.06</v>
      </c>
      <c r="B32" s="113">
        <f t="shared" si="0"/>
        <v>479232.41195681732</v>
      </c>
      <c r="C32" s="113">
        <f t="shared" si="1"/>
        <v>23003155.77392723</v>
      </c>
    </row>
    <row r="33" spans="1:3" x14ac:dyDescent="0.25">
      <c r="A33" s="2">
        <v>7.0000000000000007E-2</v>
      </c>
      <c r="B33" s="113">
        <f t="shared" si="0"/>
        <v>546230.21492243989</v>
      </c>
      <c r="C33" s="113">
        <f t="shared" si="1"/>
        <v>26219050.316277117</v>
      </c>
    </row>
    <row r="34" spans="1:3" x14ac:dyDescent="0.25">
      <c r="A34" s="2">
        <v>0.08</v>
      </c>
      <c r="B34" s="113">
        <f t="shared" si="0"/>
        <v>615301.9951486513</v>
      </c>
      <c r="C34" s="113">
        <f t="shared" si="1"/>
        <v>29534495.767135262</v>
      </c>
    </row>
    <row r="35" spans="1:3" x14ac:dyDescent="0.25">
      <c r="A35" s="2">
        <v>0.09</v>
      </c>
      <c r="B35" s="113">
        <f t="shared" si="0"/>
        <v>685960.41897242027</v>
      </c>
      <c r="C35" s="113">
        <f t="shared" si="1"/>
        <v>32926100.110676173</v>
      </c>
    </row>
    <row r="36" spans="1:3" x14ac:dyDescent="0.25">
      <c r="A36" s="2">
        <v>0.1</v>
      </c>
      <c r="B36" s="113">
        <f t="shared" si="0"/>
        <v>757811.09776272438</v>
      </c>
      <c r="C36" s="113">
        <f t="shared" si="1"/>
        <v>36374932.69261077</v>
      </c>
    </row>
    <row r="37" spans="1:3" x14ac:dyDescent="0.25">
      <c r="A37" s="2">
        <v>0.11</v>
      </c>
      <c r="B37" s="113">
        <f t="shared" si="0"/>
        <v>830544.46834492555</v>
      </c>
      <c r="C37" s="113">
        <f t="shared" si="1"/>
        <v>39866134.480556428</v>
      </c>
    </row>
    <row r="38" spans="1:3" x14ac:dyDescent="0.25">
      <c r="A38" s="2">
        <v>0.12</v>
      </c>
      <c r="B38" s="113">
        <f t="shared" si="0"/>
        <v>903923.43586954032</v>
      </c>
      <c r="C38" s="113">
        <f t="shared" si="1"/>
        <v>43388324.921737939</v>
      </c>
    </row>
    <row r="64" spans="1:1" x14ac:dyDescent="0.25">
      <c r="A64" t="s">
        <v>259</v>
      </c>
    </row>
    <row r="66" spans="1:1" x14ac:dyDescent="0.25">
      <c r="A66" t="s">
        <v>260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Unidad 1 Actividad 2</vt:lpstr>
      <vt:lpstr>Unidad 2 Actividad 2</vt:lpstr>
      <vt:lpstr>Unidad 2 Actividad 3</vt:lpstr>
      <vt:lpstr>Actividad 1 Unidad 3</vt:lpstr>
      <vt:lpstr>Actividad 2 Unidad 3</vt:lpstr>
      <vt:lpstr>Actividad 2 Unidad 4</vt:lpstr>
      <vt:lpstr>Actividad 3 Unidad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Viviana Higuera</dc:creator>
  <cp:lastModifiedBy>GUILLERMO ABONDANO</cp:lastModifiedBy>
  <dcterms:created xsi:type="dcterms:W3CDTF">2018-07-06T03:38:59Z</dcterms:created>
  <dcterms:modified xsi:type="dcterms:W3CDTF">2018-08-15T04:47:05Z</dcterms:modified>
</cp:coreProperties>
</file>