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reeb\OneDrive\Desktop\"/>
    </mc:Choice>
  </mc:AlternateContent>
  <xr:revisionPtr revIDLastSave="0" documentId="13_ncr:1_{F750E2BF-4BEB-447A-A15B-D642B19E729F}" xr6:coauthVersionLast="47" xr6:coauthVersionMax="47" xr10:uidLastSave="{00000000-0000-0000-0000-000000000000}"/>
  <bookViews>
    <workbookView xWindow="-108" yWindow="-108" windowWidth="23256" windowHeight="12456" xr2:uid="{730D5E4D-0A06-4075-A252-00F6C0B1E2C3}"/>
  </bookViews>
  <sheets>
    <sheet name="Question 1" sheetId="1" r:id="rId1"/>
    <sheet name="Question 2 MA" sheetId="2" r:id="rId2"/>
    <sheet name="Question 3 ES" sheetId="3" r:id="rId3"/>
    <sheet name="Question 4 Linear Regression" sheetId="4" r:id="rId4"/>
    <sheet name="Question 5 Holt" sheetId="5" r:id="rId5"/>
    <sheet name="Question 6 Winters" sheetId="6" r:id="rId6"/>
    <sheet name="Question 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2" l="1"/>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20"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26"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14"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E27" i="6"/>
  <c r="F26" i="6"/>
  <c r="E26" i="6"/>
  <c r="M27" i="6"/>
  <c r="M63" i="6"/>
  <c r="M62" i="6"/>
  <c r="M61" i="6"/>
  <c r="M60" i="6"/>
  <c r="M59" i="6"/>
  <c r="M58" i="6"/>
  <c r="M57" i="6"/>
  <c r="M56" i="6"/>
  <c r="M55" i="6"/>
  <c r="M54" i="6"/>
  <c r="M53" i="6"/>
  <c r="M52" i="6"/>
  <c r="M38" i="6"/>
  <c r="M37" i="6"/>
  <c r="M36" i="6"/>
  <c r="M35" i="6"/>
  <c r="M34" i="6"/>
  <c r="M33" i="6"/>
  <c r="M32" i="6"/>
  <c r="M31" i="6"/>
  <c r="M30" i="6"/>
  <c r="M29" i="6"/>
  <c r="M28" i="6"/>
  <c r="M13" i="6"/>
  <c r="M12" i="6"/>
  <c r="M11" i="6"/>
  <c r="M10" i="6"/>
  <c r="M9" i="6"/>
  <c r="M8" i="6"/>
  <c r="M7" i="6"/>
  <c r="M6" i="6"/>
  <c r="M5" i="6"/>
  <c r="M4" i="6"/>
  <c r="M3" i="6"/>
  <c r="M2" i="6"/>
  <c r="M15" i="6" s="1"/>
  <c r="E6" i="6"/>
  <c r="AA2" i="5"/>
  <c r="Z2" i="5"/>
  <c r="Y2" i="5"/>
  <c r="X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2"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2" i="5"/>
  <c r="V26" i="5"/>
  <c r="V27" i="5"/>
  <c r="V28" i="5"/>
  <c r="V29" i="5"/>
  <c r="V30" i="5"/>
  <c r="V31" i="5"/>
  <c r="V32" i="5"/>
  <c r="V33" i="5"/>
  <c r="V34" i="5"/>
  <c r="V35" i="5"/>
  <c r="V36" i="5"/>
  <c r="V37" i="5"/>
  <c r="U37" i="5"/>
  <c r="U26" i="5"/>
  <c r="U27" i="5"/>
  <c r="U28" i="5"/>
  <c r="U29" i="5"/>
  <c r="U30" i="5"/>
  <c r="U31" i="5"/>
  <c r="U32" i="5"/>
  <c r="U33" i="5"/>
  <c r="U34" i="5"/>
  <c r="U35" i="5"/>
  <c r="U36" i="5"/>
  <c r="V3" i="5"/>
  <c r="V4" i="5"/>
  <c r="V5" i="5"/>
  <c r="V6" i="5"/>
  <c r="V7" i="5"/>
  <c r="V8" i="5"/>
  <c r="V9" i="5"/>
  <c r="V10" i="5"/>
  <c r="V11" i="5"/>
  <c r="V12" i="5"/>
  <c r="V13" i="5"/>
  <c r="V14" i="5"/>
  <c r="V15" i="5"/>
  <c r="V16" i="5"/>
  <c r="V17" i="5"/>
  <c r="V18" i="5"/>
  <c r="V19" i="5"/>
  <c r="V20" i="5"/>
  <c r="V21" i="5"/>
  <c r="V22" i="5"/>
  <c r="V23" i="5"/>
  <c r="V24" i="5"/>
  <c r="V25" i="5"/>
  <c r="V2" i="5"/>
  <c r="U3" i="5"/>
  <c r="U4" i="5"/>
  <c r="U5" i="5"/>
  <c r="U6" i="5"/>
  <c r="U7" i="5"/>
  <c r="U8" i="5"/>
  <c r="U9" i="5"/>
  <c r="U10" i="5"/>
  <c r="U11" i="5"/>
  <c r="U12" i="5"/>
  <c r="U13" i="5"/>
  <c r="U14" i="5"/>
  <c r="U15" i="5"/>
  <c r="U16" i="5"/>
  <c r="U17" i="5"/>
  <c r="U18" i="5"/>
  <c r="U19" i="5"/>
  <c r="U20" i="5"/>
  <c r="U21" i="5"/>
  <c r="U22" i="5"/>
  <c r="U23" i="5"/>
  <c r="U24" i="5"/>
  <c r="U25" i="5"/>
  <c r="U2" i="5"/>
  <c r="F4" i="5"/>
  <c r="F3" i="5"/>
  <c r="E4" i="5" s="1"/>
  <c r="E3" i="5"/>
  <c r="T2" i="5"/>
  <c r="J2" i="4"/>
  <c r="R2" i="5"/>
  <c r="M26" i="5"/>
  <c r="Q2" i="5"/>
  <c r="O26" i="5"/>
  <c r="O25" i="5"/>
  <c r="O24" i="5"/>
  <c r="O23" i="5"/>
  <c r="O22" i="5"/>
  <c r="O21" i="5"/>
  <c r="O20" i="5"/>
  <c r="O19" i="5"/>
  <c r="O18" i="5"/>
  <c r="O17" i="5"/>
  <c r="O16" i="5"/>
  <c r="O15" i="5"/>
  <c r="O14" i="5"/>
  <c r="O13" i="5"/>
  <c r="O12" i="5"/>
  <c r="O11" i="5"/>
  <c r="O10" i="5"/>
  <c r="O9" i="5"/>
  <c r="O8" i="5"/>
  <c r="O7" i="5"/>
  <c r="O6" i="5"/>
  <c r="O5" i="5"/>
  <c r="O4" i="5"/>
  <c r="O3" i="5"/>
  <c r="O2" i="5"/>
  <c r="K7" i="4"/>
  <c r="Q2" i="4"/>
  <c r="S2" i="4"/>
  <c r="R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2" i="4"/>
  <c r="N2" i="4" a="1"/>
  <c r="N2" i="4" s="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2" i="4"/>
  <c r="E28" i="6" l="1"/>
  <c r="F27" i="6"/>
  <c r="M65" i="6"/>
  <c r="N62" i="6" s="1"/>
  <c r="M40" i="6"/>
  <c r="N38" i="6" s="1"/>
  <c r="G2" i="5"/>
  <c r="S2" i="5"/>
  <c r="N54" i="6" l="1"/>
  <c r="N56" i="6"/>
  <c r="N55" i="6"/>
  <c r="N63" i="6"/>
  <c r="N60" i="6"/>
  <c r="N53" i="6"/>
  <c r="N61" i="6"/>
  <c r="N52" i="6"/>
  <c r="N59" i="6"/>
  <c r="N57" i="6"/>
  <c r="N58" i="6"/>
  <c r="N32" i="6"/>
  <c r="N33" i="6"/>
  <c r="N31" i="6"/>
  <c r="N28" i="6"/>
  <c r="N29" i="6"/>
  <c r="N36" i="6"/>
  <c r="N37" i="6"/>
  <c r="N30" i="6"/>
  <c r="N34" i="6"/>
  <c r="N27" i="6"/>
  <c r="N35" i="6"/>
  <c r="G3" i="5"/>
  <c r="G4" i="5" l="1"/>
  <c r="E5" i="5"/>
  <c r="F5" i="5" s="1"/>
  <c r="G5" i="5" l="1"/>
  <c r="E6" i="5" l="1"/>
  <c r="F6" i="5" s="1"/>
  <c r="E7" i="5" l="1"/>
  <c r="F7" i="5" s="1"/>
  <c r="G7" i="5" l="1"/>
  <c r="E8" i="5"/>
  <c r="F8" i="5" s="1"/>
  <c r="G6" i="5"/>
  <c r="E9" i="5" l="1"/>
  <c r="F9" i="5" s="1"/>
  <c r="G8" i="5" l="1"/>
  <c r="G9" i="5"/>
  <c r="E10" i="5"/>
  <c r="F10" i="5" s="1"/>
  <c r="E11" i="5" l="1"/>
  <c r="F11" i="5" s="1"/>
  <c r="E12" i="5" l="1"/>
  <c r="F12" i="5" s="1"/>
  <c r="G10" i="5"/>
  <c r="G12" i="5" l="1"/>
  <c r="G11" i="5"/>
  <c r="E13" i="5"/>
  <c r="F13" i="5" s="1"/>
  <c r="G13" i="5" l="1"/>
  <c r="E14" i="5"/>
  <c r="F14" i="5" s="1"/>
  <c r="K3" i="4" l="1"/>
  <c r="K4" i="4"/>
  <c r="K5" i="4"/>
  <c r="K6"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2" i="4"/>
  <c r="I2" i="4"/>
  <c r="H2" i="4"/>
  <c r="G2" i="4"/>
  <c r="C62"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14" i="4"/>
  <c r="E15" i="4"/>
  <c r="E16" i="4"/>
  <c r="E17" i="4"/>
  <c r="E18" i="4"/>
  <c r="E19" i="4"/>
  <c r="E20" i="4"/>
  <c r="E21" i="4"/>
  <c r="E7" i="6"/>
  <c r="S2" i="3"/>
  <c r="AA2" i="3"/>
  <c r="Z2" i="3"/>
  <c r="Y2" i="3"/>
  <c r="X2" i="3"/>
  <c r="W2" i="3"/>
  <c r="V2" i="3"/>
  <c r="R2" i="3"/>
  <c r="I2" i="3"/>
  <c r="O2" i="3" s="1"/>
  <c r="H2" i="3"/>
  <c r="N2" i="3" s="1"/>
  <c r="G2" i="3"/>
  <c r="P2" i="3" s="1"/>
  <c r="E9" i="6" l="1"/>
  <c r="Q21" i="6" s="1"/>
  <c r="J2" i="3"/>
  <c r="L2" i="3"/>
  <c r="K2" i="3"/>
  <c r="M2" i="3"/>
  <c r="Q2" i="3"/>
  <c r="Q14" i="6" l="1"/>
  <c r="Q13" i="6"/>
  <c r="Q11" i="6"/>
  <c r="Q2" i="6"/>
  <c r="R2" i="6" s="1"/>
  <c r="Q8" i="6"/>
  <c r="R8" i="6" s="1"/>
  <c r="Q5" i="6"/>
  <c r="R5" i="6" s="1"/>
  <c r="Q6" i="6"/>
  <c r="Q3" i="6"/>
  <c r="R3" i="6" s="1"/>
  <c r="Q12" i="6"/>
  <c r="Q4" i="6"/>
  <c r="Q7" i="6"/>
  <c r="Q9" i="6"/>
  <c r="R9" i="6" s="1"/>
  <c r="Q10" i="6"/>
  <c r="R10" i="6" s="1"/>
  <c r="Q18" i="6"/>
  <c r="Q16" i="6"/>
  <c r="Q24" i="6"/>
  <c r="Q23" i="6"/>
  <c r="Q20" i="6"/>
  <c r="Q17" i="6"/>
  <c r="Q15" i="6"/>
  <c r="Q19" i="6"/>
  <c r="Q22" i="6"/>
  <c r="Q25" i="6"/>
  <c r="R13" i="6" s="1"/>
  <c r="E10" i="6"/>
  <c r="E5" i="4"/>
  <c r="F3" i="3"/>
  <c r="I3" i="3" s="1"/>
  <c r="E3" i="3"/>
  <c r="H3" i="3" s="1"/>
  <c r="E3" i="4"/>
  <c r="E4" i="4"/>
  <c r="E6" i="4"/>
  <c r="E7" i="4"/>
  <c r="E8" i="4"/>
  <c r="E9" i="4"/>
  <c r="E10" i="4"/>
  <c r="E11" i="4"/>
  <c r="E12" i="4"/>
  <c r="E13" i="4"/>
  <c r="E2" i="4"/>
  <c r="D3" i="3"/>
  <c r="R6" i="6" l="1"/>
  <c r="R7" i="6"/>
  <c r="R11" i="6"/>
  <c r="R4" i="6"/>
  <c r="R15" i="6" s="1"/>
  <c r="R12" i="6"/>
  <c r="E62" i="4"/>
  <c r="E4" i="3"/>
  <c r="K3" i="3"/>
  <c r="Q3" i="3"/>
  <c r="N3" i="3"/>
  <c r="O3" i="3"/>
  <c r="L3" i="3"/>
  <c r="R3" i="3"/>
  <c r="D4" i="3"/>
  <c r="G3" i="3"/>
  <c r="F4" i="3"/>
  <c r="K26" i="2"/>
  <c r="S26" i="2" l="1"/>
  <c r="W26" i="2"/>
  <c r="S4" i="6"/>
  <c r="S13" i="6"/>
  <c r="S10" i="6"/>
  <c r="S9" i="6"/>
  <c r="S3" i="6"/>
  <c r="S5" i="6"/>
  <c r="S8" i="6"/>
  <c r="S2" i="6"/>
  <c r="S6" i="6"/>
  <c r="S12" i="6"/>
  <c r="S11" i="6"/>
  <c r="S7" i="6"/>
  <c r="I4" i="3"/>
  <c r="F5" i="3"/>
  <c r="D5" i="3"/>
  <c r="G4" i="3"/>
  <c r="P3" i="3"/>
  <c r="M3" i="3"/>
  <c r="J3" i="3"/>
  <c r="E5" i="3"/>
  <c r="H4" i="3"/>
  <c r="M10" i="2"/>
  <c r="I10" i="2"/>
  <c r="N17" i="2"/>
  <c r="J17" i="2"/>
  <c r="P29" i="2"/>
  <c r="L29" i="2"/>
  <c r="I57" i="2"/>
  <c r="M57" i="2"/>
  <c r="I49" i="2"/>
  <c r="M49" i="2"/>
  <c r="I41" i="2"/>
  <c r="M41" i="2"/>
  <c r="I33" i="2"/>
  <c r="M33" i="2"/>
  <c r="I25" i="2"/>
  <c r="M25" i="2"/>
  <c r="I17" i="2"/>
  <c r="M17" i="2"/>
  <c r="I9" i="2"/>
  <c r="M9" i="2"/>
  <c r="J56" i="2"/>
  <c r="N56" i="2"/>
  <c r="J48" i="2"/>
  <c r="N48" i="2"/>
  <c r="J40" i="2"/>
  <c r="N40" i="2"/>
  <c r="J32" i="2"/>
  <c r="N32" i="2"/>
  <c r="J24" i="2"/>
  <c r="N24" i="2"/>
  <c r="J16" i="2"/>
  <c r="N16" i="2"/>
  <c r="O57" i="2"/>
  <c r="K57" i="2"/>
  <c r="O49" i="2"/>
  <c r="K49" i="2"/>
  <c r="O41" i="2"/>
  <c r="K41" i="2"/>
  <c r="O33" i="2"/>
  <c r="K33" i="2"/>
  <c r="O25" i="2"/>
  <c r="K25" i="2"/>
  <c r="L60" i="2"/>
  <c r="P60" i="2"/>
  <c r="L52" i="2"/>
  <c r="P52" i="2"/>
  <c r="L44" i="2"/>
  <c r="P44" i="2"/>
  <c r="L36" i="2"/>
  <c r="P36" i="2"/>
  <c r="L28" i="2"/>
  <c r="P28" i="2"/>
  <c r="I58" i="2"/>
  <c r="M58" i="2"/>
  <c r="M18" i="2"/>
  <c r="I18" i="2"/>
  <c r="J33" i="2"/>
  <c r="N33" i="2"/>
  <c r="K42" i="2"/>
  <c r="O42" i="2"/>
  <c r="P37" i="2"/>
  <c r="L37" i="2"/>
  <c r="I32" i="2"/>
  <c r="M32" i="2"/>
  <c r="N55" i="2"/>
  <c r="J55" i="2"/>
  <c r="N23" i="2"/>
  <c r="J23" i="2"/>
  <c r="K40" i="2"/>
  <c r="O40" i="2"/>
  <c r="P27" i="2"/>
  <c r="L27" i="2"/>
  <c r="I55" i="2"/>
  <c r="M55" i="2"/>
  <c r="I47" i="2"/>
  <c r="M47" i="2"/>
  <c r="I39" i="2"/>
  <c r="M39" i="2"/>
  <c r="I31" i="2"/>
  <c r="M31" i="2"/>
  <c r="I23" i="2"/>
  <c r="M23" i="2"/>
  <c r="I15" i="2"/>
  <c r="M15" i="2"/>
  <c r="J54" i="2"/>
  <c r="N54" i="2"/>
  <c r="J46" i="2"/>
  <c r="N46" i="2"/>
  <c r="J38" i="2"/>
  <c r="N38" i="2"/>
  <c r="J30" i="2"/>
  <c r="N30" i="2"/>
  <c r="J22" i="2"/>
  <c r="N22" i="2"/>
  <c r="N14" i="2"/>
  <c r="J14" i="2"/>
  <c r="K55" i="2"/>
  <c r="O55" i="2"/>
  <c r="K47" i="2"/>
  <c r="O47" i="2"/>
  <c r="K39" i="2"/>
  <c r="O39" i="2"/>
  <c r="K31" i="2"/>
  <c r="O31" i="2"/>
  <c r="K23" i="2"/>
  <c r="O23" i="2"/>
  <c r="L58" i="2"/>
  <c r="P58" i="2"/>
  <c r="L50" i="2"/>
  <c r="P50" i="2"/>
  <c r="L42" i="2"/>
  <c r="P42" i="2"/>
  <c r="L34" i="2"/>
  <c r="P34" i="2"/>
  <c r="L26" i="2"/>
  <c r="P26" i="2"/>
  <c r="I34" i="2"/>
  <c r="M34" i="2"/>
  <c r="N49" i="2"/>
  <c r="J49" i="2"/>
  <c r="K58" i="2"/>
  <c r="O58" i="2"/>
  <c r="P53" i="2"/>
  <c r="L53" i="2"/>
  <c r="I56" i="2"/>
  <c r="M56" i="2"/>
  <c r="M16" i="2"/>
  <c r="I16" i="2"/>
  <c r="N47" i="2"/>
  <c r="J47" i="2"/>
  <c r="K48" i="2"/>
  <c r="O48" i="2"/>
  <c r="K24" i="2"/>
  <c r="O24" i="2"/>
  <c r="P35" i="2"/>
  <c r="L35" i="2"/>
  <c r="I54" i="2"/>
  <c r="M54" i="2"/>
  <c r="I46" i="2"/>
  <c r="M46" i="2"/>
  <c r="I38" i="2"/>
  <c r="M38" i="2"/>
  <c r="I30" i="2"/>
  <c r="M30" i="2"/>
  <c r="I22" i="2"/>
  <c r="M22" i="2"/>
  <c r="I14" i="2"/>
  <c r="M14" i="2"/>
  <c r="N61" i="2"/>
  <c r="J61" i="2"/>
  <c r="N53" i="2"/>
  <c r="J53" i="2"/>
  <c r="N45" i="2"/>
  <c r="J45" i="2"/>
  <c r="N37" i="2"/>
  <c r="J37" i="2"/>
  <c r="N29" i="2"/>
  <c r="J29" i="2"/>
  <c r="N21" i="2"/>
  <c r="J21" i="2"/>
  <c r="K54" i="2"/>
  <c r="O54" i="2"/>
  <c r="K46" i="2"/>
  <c r="O46" i="2"/>
  <c r="K38" i="2"/>
  <c r="O38" i="2"/>
  <c r="K30" i="2"/>
  <c r="O30" i="2"/>
  <c r="K22" i="2"/>
  <c r="O22" i="2"/>
  <c r="P57" i="2"/>
  <c r="L57" i="2"/>
  <c r="P49" i="2"/>
  <c r="L49" i="2"/>
  <c r="P41" i="2"/>
  <c r="L41" i="2"/>
  <c r="P33" i="2"/>
  <c r="L33" i="2"/>
  <c r="M26" i="2"/>
  <c r="I26" i="2"/>
  <c r="J25" i="2"/>
  <c r="N25" i="2"/>
  <c r="P61" i="2"/>
  <c r="L61" i="2"/>
  <c r="I48" i="2"/>
  <c r="M48" i="2"/>
  <c r="M8" i="2"/>
  <c r="I8" i="2"/>
  <c r="N15" i="2"/>
  <c r="J15" i="2"/>
  <c r="P59" i="2"/>
  <c r="L59" i="2"/>
  <c r="M45" i="2"/>
  <c r="I45" i="2"/>
  <c r="M37" i="2"/>
  <c r="I37" i="2"/>
  <c r="I21" i="2"/>
  <c r="M21" i="2"/>
  <c r="I13" i="2"/>
  <c r="M13" i="2"/>
  <c r="J60" i="2"/>
  <c r="N60" i="2"/>
  <c r="J52" i="2"/>
  <c r="N52" i="2"/>
  <c r="J44" i="2"/>
  <c r="N44" i="2"/>
  <c r="J36" i="2"/>
  <c r="N36" i="2"/>
  <c r="J28" i="2"/>
  <c r="N28" i="2"/>
  <c r="J20" i="2"/>
  <c r="N20" i="2"/>
  <c r="O61" i="2"/>
  <c r="K61" i="2"/>
  <c r="O53" i="2"/>
  <c r="K53" i="2"/>
  <c r="O45" i="2"/>
  <c r="K45" i="2"/>
  <c r="O37" i="2"/>
  <c r="K37" i="2"/>
  <c r="O29" i="2"/>
  <c r="K29" i="2"/>
  <c r="O21" i="2"/>
  <c r="K21" i="2"/>
  <c r="P56" i="2"/>
  <c r="L56" i="2"/>
  <c r="P48" i="2"/>
  <c r="L48" i="2"/>
  <c r="P40" i="2"/>
  <c r="L40" i="2"/>
  <c r="P32" i="2"/>
  <c r="L32" i="2"/>
  <c r="M42" i="2"/>
  <c r="I42" i="2"/>
  <c r="N41" i="2"/>
  <c r="J41" i="2"/>
  <c r="K34" i="2"/>
  <c r="O34" i="2"/>
  <c r="P45" i="2"/>
  <c r="L45" i="2"/>
  <c r="I24" i="2"/>
  <c r="M24" i="2"/>
  <c r="N39" i="2"/>
  <c r="J39" i="2"/>
  <c r="K56" i="2"/>
  <c r="O56" i="2"/>
  <c r="K32" i="2"/>
  <c r="O32" i="2"/>
  <c r="P51" i="2"/>
  <c r="L51" i="2"/>
  <c r="I53" i="2"/>
  <c r="M53" i="2"/>
  <c r="M29" i="2"/>
  <c r="I29" i="2"/>
  <c r="M60" i="2"/>
  <c r="I60" i="2"/>
  <c r="M52" i="2"/>
  <c r="I52" i="2"/>
  <c r="M44" i="2"/>
  <c r="I44" i="2"/>
  <c r="M36" i="2"/>
  <c r="I36" i="2"/>
  <c r="I28" i="2"/>
  <c r="M28" i="2"/>
  <c r="I20" i="2"/>
  <c r="M20" i="2"/>
  <c r="M12" i="2"/>
  <c r="I12" i="2"/>
  <c r="J59" i="2"/>
  <c r="N59" i="2"/>
  <c r="J51" i="2"/>
  <c r="N51" i="2"/>
  <c r="J43" i="2"/>
  <c r="N43" i="2"/>
  <c r="J35" i="2"/>
  <c r="N35" i="2"/>
  <c r="J27" i="2"/>
  <c r="N27" i="2"/>
  <c r="J19" i="2"/>
  <c r="N19" i="2"/>
  <c r="O60" i="2"/>
  <c r="K60" i="2"/>
  <c r="K52" i="2"/>
  <c r="O52" i="2"/>
  <c r="O44" i="2"/>
  <c r="K44" i="2"/>
  <c r="K36" i="2"/>
  <c r="O36" i="2"/>
  <c r="O28" i="2"/>
  <c r="K28" i="2"/>
  <c r="K20" i="2"/>
  <c r="O20" i="2"/>
  <c r="P55" i="2"/>
  <c r="L55" i="2"/>
  <c r="P47" i="2"/>
  <c r="L47" i="2"/>
  <c r="P39" i="2"/>
  <c r="L39" i="2"/>
  <c r="P31" i="2"/>
  <c r="L31" i="2"/>
  <c r="I50" i="2"/>
  <c r="M50" i="2"/>
  <c r="N57" i="2"/>
  <c r="J57" i="2"/>
  <c r="K50" i="2"/>
  <c r="O50" i="2"/>
  <c r="O26" i="2"/>
  <c r="I40" i="2"/>
  <c r="M40" i="2"/>
  <c r="N31" i="2"/>
  <c r="J31" i="2"/>
  <c r="P43" i="2"/>
  <c r="L43" i="2"/>
  <c r="M61" i="2"/>
  <c r="I61" i="2"/>
  <c r="M59" i="2"/>
  <c r="I59" i="2"/>
  <c r="M51" i="2"/>
  <c r="I51" i="2"/>
  <c r="M43" i="2"/>
  <c r="I43" i="2"/>
  <c r="M35" i="2"/>
  <c r="I35" i="2"/>
  <c r="M27" i="2"/>
  <c r="I27" i="2"/>
  <c r="M19" i="2"/>
  <c r="I19" i="2"/>
  <c r="M11" i="2"/>
  <c r="I11" i="2"/>
  <c r="J58" i="2"/>
  <c r="N58" i="2"/>
  <c r="J50" i="2"/>
  <c r="N50" i="2"/>
  <c r="J42" i="2"/>
  <c r="N42" i="2"/>
  <c r="J34" i="2"/>
  <c r="N34" i="2"/>
  <c r="J26" i="2"/>
  <c r="N26" i="2"/>
  <c r="J18" i="2"/>
  <c r="N18" i="2"/>
  <c r="O59" i="2"/>
  <c r="K59" i="2"/>
  <c r="O51" i="2"/>
  <c r="K51" i="2"/>
  <c r="O43" i="2"/>
  <c r="K43" i="2"/>
  <c r="O35" i="2"/>
  <c r="K35" i="2"/>
  <c r="O27" i="2"/>
  <c r="K27" i="2"/>
  <c r="L54" i="2"/>
  <c r="P54" i="2"/>
  <c r="L46" i="2"/>
  <c r="P46" i="2"/>
  <c r="L38" i="2"/>
  <c r="P38" i="2"/>
  <c r="L30" i="2"/>
  <c r="P30" i="2"/>
  <c r="T59" i="2" l="1"/>
  <c r="X59" i="2"/>
  <c r="T40" i="2"/>
  <c r="X40" i="2"/>
  <c r="T27" i="2"/>
  <c r="X27" i="2"/>
  <c r="T31" i="2"/>
  <c r="X31" i="2"/>
  <c r="T44" i="2"/>
  <c r="X44" i="2"/>
  <c r="T46" i="2"/>
  <c r="X46" i="2"/>
  <c r="T57" i="2"/>
  <c r="X57" i="2"/>
  <c r="T50" i="2"/>
  <c r="X50" i="2"/>
  <c r="T37" i="2"/>
  <c r="X37" i="2"/>
  <c r="T29" i="2"/>
  <c r="X29" i="2"/>
  <c r="T45" i="2"/>
  <c r="X45" i="2"/>
  <c r="T34" i="2"/>
  <c r="X34" i="2"/>
  <c r="T48" i="2"/>
  <c r="X48" i="2"/>
  <c r="T56" i="2"/>
  <c r="X56" i="2"/>
  <c r="AB2" i="2"/>
  <c r="T53" i="2"/>
  <c r="X53" i="2"/>
  <c r="T52" i="2"/>
  <c r="X52" i="2"/>
  <c r="T32" i="2"/>
  <c r="X32" i="2"/>
  <c r="T30" i="2"/>
  <c r="X30" i="2"/>
  <c r="T41" i="2"/>
  <c r="X41" i="2"/>
  <c r="T55" i="2"/>
  <c r="X55" i="2"/>
  <c r="T35" i="2"/>
  <c r="X35" i="2"/>
  <c r="T38" i="2"/>
  <c r="X38" i="2"/>
  <c r="T49" i="2"/>
  <c r="X49" i="2"/>
  <c r="T42" i="2"/>
  <c r="X42" i="2"/>
  <c r="T39" i="2"/>
  <c r="X39" i="2"/>
  <c r="T51" i="2"/>
  <c r="X51" i="2"/>
  <c r="T54" i="2"/>
  <c r="X54" i="2"/>
  <c r="T43" i="2"/>
  <c r="X43" i="2"/>
  <c r="T33" i="2"/>
  <c r="X33" i="2"/>
  <c r="T58" i="2"/>
  <c r="X58" i="2"/>
  <c r="T47" i="2"/>
  <c r="X47" i="2"/>
  <c r="T61" i="2"/>
  <c r="X61" i="2"/>
  <c r="T28" i="2"/>
  <c r="X28" i="2"/>
  <c r="AJ2" i="2" s="1"/>
  <c r="T60" i="2"/>
  <c r="X60" i="2"/>
  <c r="T36" i="2"/>
  <c r="X36" i="2"/>
  <c r="T26" i="2"/>
  <c r="X26" i="2"/>
  <c r="S32" i="2"/>
  <c r="W32" i="2"/>
  <c r="S42" i="2"/>
  <c r="W42" i="2"/>
  <c r="S25" i="2"/>
  <c r="W25" i="2"/>
  <c r="S37" i="2"/>
  <c r="W37" i="2"/>
  <c r="S38" i="2"/>
  <c r="W38" i="2"/>
  <c r="S31" i="2"/>
  <c r="W31" i="2"/>
  <c r="S43" i="2"/>
  <c r="W43" i="2"/>
  <c r="S52" i="2"/>
  <c r="W52" i="2"/>
  <c r="S33" i="2"/>
  <c r="W33" i="2"/>
  <c r="S36" i="2"/>
  <c r="W36" i="2"/>
  <c r="S55" i="2"/>
  <c r="W55" i="2"/>
  <c r="S59" i="2"/>
  <c r="W59" i="2"/>
  <c r="S61" i="2"/>
  <c r="W61" i="2"/>
  <c r="S23" i="2"/>
  <c r="W23" i="2"/>
  <c r="S35" i="2"/>
  <c r="W35" i="2"/>
  <c r="S56" i="2"/>
  <c r="W56" i="2"/>
  <c r="S28" i="2"/>
  <c r="W28" i="2"/>
  <c r="S45" i="2"/>
  <c r="W45" i="2"/>
  <c r="S39" i="2"/>
  <c r="W39" i="2"/>
  <c r="S41" i="2"/>
  <c r="W41" i="2"/>
  <c r="S27" i="2"/>
  <c r="W27" i="2"/>
  <c r="S44" i="2"/>
  <c r="W44" i="2"/>
  <c r="S30" i="2"/>
  <c r="W30" i="2"/>
  <c r="S34" i="2"/>
  <c r="W34" i="2"/>
  <c r="S60" i="2"/>
  <c r="W60" i="2"/>
  <c r="S46" i="2"/>
  <c r="W46" i="2"/>
  <c r="S24" i="2"/>
  <c r="W24" i="2"/>
  <c r="S51" i="2"/>
  <c r="W51" i="2"/>
  <c r="S50" i="2"/>
  <c r="W50" i="2"/>
  <c r="S21" i="2"/>
  <c r="W21" i="2"/>
  <c r="S53" i="2"/>
  <c r="W53" i="2"/>
  <c r="S22" i="2"/>
  <c r="W22" i="2"/>
  <c r="S54" i="2"/>
  <c r="W54" i="2"/>
  <c r="S48" i="2"/>
  <c r="W48" i="2"/>
  <c r="S47" i="2"/>
  <c r="W47" i="2"/>
  <c r="S40" i="2"/>
  <c r="W40" i="2"/>
  <c r="S49" i="2"/>
  <c r="W49" i="2"/>
  <c r="S29" i="2"/>
  <c r="W29" i="2"/>
  <c r="S58" i="2"/>
  <c r="W58" i="2"/>
  <c r="S57" i="2"/>
  <c r="W57" i="2"/>
  <c r="S20" i="2"/>
  <c r="W20" i="2"/>
  <c r="AA2" i="2"/>
  <c r="R43" i="2"/>
  <c r="V43" i="2"/>
  <c r="R60" i="2"/>
  <c r="V60" i="2"/>
  <c r="R34" i="2"/>
  <c r="V34" i="2"/>
  <c r="R24" i="2"/>
  <c r="V24" i="2"/>
  <c r="R36" i="2"/>
  <c r="V36" i="2"/>
  <c r="R45" i="2"/>
  <c r="V45" i="2"/>
  <c r="R42" i="2"/>
  <c r="V42" i="2"/>
  <c r="R15" i="2"/>
  <c r="V15" i="2"/>
  <c r="R38" i="2"/>
  <c r="V38" i="2"/>
  <c r="R32" i="2"/>
  <c r="V32" i="2"/>
  <c r="R27" i="2"/>
  <c r="V27" i="2"/>
  <c r="R59" i="2"/>
  <c r="V59" i="2"/>
  <c r="R44" i="2"/>
  <c r="V44" i="2"/>
  <c r="R25" i="2"/>
  <c r="V25" i="2"/>
  <c r="R21" i="2"/>
  <c r="V21" i="2"/>
  <c r="R53" i="2"/>
  <c r="V53" i="2"/>
  <c r="R49" i="2"/>
  <c r="V49" i="2"/>
  <c r="R55" i="2"/>
  <c r="V55" i="2"/>
  <c r="R28" i="2"/>
  <c r="V28" i="2"/>
  <c r="R51" i="2"/>
  <c r="V51" i="2"/>
  <c r="R18" i="2"/>
  <c r="V18" i="2"/>
  <c r="R39" i="2"/>
  <c r="V39" i="2"/>
  <c r="R41" i="2"/>
  <c r="V41" i="2"/>
  <c r="R52" i="2"/>
  <c r="V52" i="2"/>
  <c r="R29" i="2"/>
  <c r="V29" i="2"/>
  <c r="R61" i="2"/>
  <c r="V61" i="2"/>
  <c r="R37" i="2"/>
  <c r="V37" i="2"/>
  <c r="R57" i="2"/>
  <c r="V57" i="2"/>
  <c r="R30" i="2"/>
  <c r="V30" i="2"/>
  <c r="R56" i="2"/>
  <c r="V56" i="2"/>
  <c r="R31" i="2"/>
  <c r="V31" i="2"/>
  <c r="R19" i="2"/>
  <c r="V19" i="2"/>
  <c r="R47" i="2"/>
  <c r="V47" i="2"/>
  <c r="R23" i="2"/>
  <c r="V23" i="2"/>
  <c r="R17" i="2"/>
  <c r="V17" i="2"/>
  <c r="R50" i="2"/>
  <c r="V50" i="2"/>
  <c r="R46" i="2"/>
  <c r="V46" i="2"/>
  <c r="R33" i="2"/>
  <c r="V33" i="2"/>
  <c r="R40" i="2"/>
  <c r="V40" i="2"/>
  <c r="R35" i="2"/>
  <c r="V35" i="2"/>
  <c r="R20" i="2"/>
  <c r="V20" i="2"/>
  <c r="R26" i="2"/>
  <c r="V26" i="2"/>
  <c r="R58" i="2"/>
  <c r="V58" i="2"/>
  <c r="R22" i="2"/>
  <c r="V22" i="2"/>
  <c r="R54" i="2"/>
  <c r="V54" i="2"/>
  <c r="R16" i="2"/>
  <c r="V16" i="2"/>
  <c r="R48" i="2"/>
  <c r="V48" i="2"/>
  <c r="Z2" i="2"/>
  <c r="R14" i="2"/>
  <c r="V14" i="2"/>
  <c r="Q54" i="2"/>
  <c r="U54" i="2"/>
  <c r="Q15" i="2"/>
  <c r="U15" i="2"/>
  <c r="Q47" i="2"/>
  <c r="U47" i="2"/>
  <c r="Q9" i="2"/>
  <c r="U9" i="2"/>
  <c r="Q41" i="2"/>
  <c r="U41" i="2"/>
  <c r="Q13" i="2"/>
  <c r="U13" i="2"/>
  <c r="Q36" i="2"/>
  <c r="U36" i="2"/>
  <c r="Q29" i="2"/>
  <c r="U29" i="2"/>
  <c r="Q22" i="2"/>
  <c r="U22" i="2"/>
  <c r="Q27" i="2"/>
  <c r="U27" i="2"/>
  <c r="Q59" i="2"/>
  <c r="U59" i="2"/>
  <c r="Q50" i="2"/>
  <c r="U50" i="2"/>
  <c r="Q21" i="2"/>
  <c r="U21" i="2"/>
  <c r="Q16" i="2"/>
  <c r="U16" i="2"/>
  <c r="Q10" i="2"/>
  <c r="U10" i="2"/>
  <c r="Q19" i="2"/>
  <c r="U19" i="2"/>
  <c r="Q44" i="2"/>
  <c r="U44" i="2"/>
  <c r="Q37" i="2"/>
  <c r="U37" i="2"/>
  <c r="Q26" i="2"/>
  <c r="U26" i="2"/>
  <c r="Q30" i="2"/>
  <c r="U30" i="2"/>
  <c r="Q23" i="2"/>
  <c r="U23" i="2"/>
  <c r="Q55" i="2"/>
  <c r="U55" i="2"/>
  <c r="Q17" i="2"/>
  <c r="U17" i="2"/>
  <c r="Q49" i="2"/>
  <c r="U49" i="2"/>
  <c r="Q35" i="2"/>
  <c r="U35" i="2"/>
  <c r="Q61" i="2"/>
  <c r="U61" i="2"/>
  <c r="Q53" i="2"/>
  <c r="U53" i="2"/>
  <c r="Q18" i="2"/>
  <c r="U18" i="2"/>
  <c r="Q28" i="2"/>
  <c r="U28" i="2"/>
  <c r="Q40" i="2"/>
  <c r="U40" i="2"/>
  <c r="Q52" i="2"/>
  <c r="U52" i="2"/>
  <c r="Q56" i="2"/>
  <c r="U56" i="2"/>
  <c r="Q31" i="2"/>
  <c r="U31" i="2"/>
  <c r="Q11" i="2"/>
  <c r="U11" i="2"/>
  <c r="Q43" i="2"/>
  <c r="U43" i="2"/>
  <c r="Q20" i="2"/>
  <c r="U20" i="2"/>
  <c r="Q24" i="2"/>
  <c r="U24" i="2"/>
  <c r="Q48" i="2"/>
  <c r="U48" i="2"/>
  <c r="Q51" i="2"/>
  <c r="U51" i="2"/>
  <c r="Q12" i="2"/>
  <c r="U12" i="2"/>
  <c r="Q42" i="2"/>
  <c r="U42" i="2"/>
  <c r="Q45" i="2"/>
  <c r="U45" i="2"/>
  <c r="Q38" i="2"/>
  <c r="U38" i="2"/>
  <c r="Q34" i="2"/>
  <c r="U34" i="2"/>
  <c r="Q32" i="2"/>
  <c r="U32" i="2"/>
  <c r="Q25" i="2"/>
  <c r="U25" i="2"/>
  <c r="Q57" i="2"/>
  <c r="U57" i="2"/>
  <c r="Q60" i="2"/>
  <c r="U60" i="2"/>
  <c r="Q14" i="2"/>
  <c r="U14" i="2"/>
  <c r="Q46" i="2"/>
  <c r="U46" i="2"/>
  <c r="Q39" i="2"/>
  <c r="U39" i="2"/>
  <c r="Q58" i="2"/>
  <c r="U58" i="2"/>
  <c r="Q33" i="2"/>
  <c r="U33" i="2"/>
  <c r="Y2" i="2"/>
  <c r="Q8" i="2"/>
  <c r="U8" i="2"/>
  <c r="N12" i="6"/>
  <c r="N13" i="6"/>
  <c r="N10" i="6"/>
  <c r="N3" i="6"/>
  <c r="N2" i="6"/>
  <c r="N7" i="6"/>
  <c r="N5" i="6"/>
  <c r="N11" i="6"/>
  <c r="N6" i="6"/>
  <c r="N4" i="6"/>
  <c r="N9" i="6"/>
  <c r="N8" i="6"/>
  <c r="F6" i="3"/>
  <c r="I5" i="3"/>
  <c r="M4" i="3"/>
  <c r="J4" i="3"/>
  <c r="P4" i="3"/>
  <c r="D6" i="3"/>
  <c r="G5" i="3"/>
  <c r="K4" i="3"/>
  <c r="Q4" i="3"/>
  <c r="N4" i="3"/>
  <c r="E6" i="3"/>
  <c r="H5" i="3"/>
  <c r="R4" i="3"/>
  <c r="O4" i="3"/>
  <c r="L4" i="3"/>
  <c r="AF2" i="2" l="1"/>
  <c r="AH2" i="2"/>
  <c r="AE2" i="2"/>
  <c r="AI2" i="2"/>
  <c r="AD2" i="2"/>
  <c r="AC2" i="2"/>
  <c r="AG2" i="2"/>
  <c r="O5" i="3"/>
  <c r="L5" i="3"/>
  <c r="R5" i="3"/>
  <c r="P5" i="3"/>
  <c r="J5" i="3"/>
  <c r="M5" i="3"/>
  <c r="D7" i="3"/>
  <c r="G6" i="3"/>
  <c r="F7" i="3"/>
  <c r="I6" i="3"/>
  <c r="K5" i="3"/>
  <c r="Q5" i="3"/>
  <c r="N5" i="3"/>
  <c r="E7" i="3"/>
  <c r="H6" i="3"/>
  <c r="E8" i="3" l="1"/>
  <c r="H7" i="3"/>
  <c r="D8" i="3"/>
  <c r="G7" i="3"/>
  <c r="L6" i="3"/>
  <c r="R6" i="3"/>
  <c r="O6" i="3"/>
  <c r="F8" i="3"/>
  <c r="I7" i="3"/>
  <c r="Q6" i="3"/>
  <c r="N6" i="3"/>
  <c r="K6" i="3"/>
  <c r="M6" i="3"/>
  <c r="P6" i="3"/>
  <c r="J6" i="3"/>
  <c r="R7" i="3" l="1"/>
  <c r="L7" i="3"/>
  <c r="O7" i="3"/>
  <c r="F9" i="3"/>
  <c r="I8" i="3"/>
  <c r="Q7" i="3"/>
  <c r="K7" i="3"/>
  <c r="N7" i="3"/>
  <c r="E9" i="3"/>
  <c r="H8" i="3"/>
  <c r="M7" i="3"/>
  <c r="J7" i="3"/>
  <c r="P7" i="3"/>
  <c r="D9" i="3"/>
  <c r="G8" i="3"/>
  <c r="J8" i="3" l="1"/>
  <c r="M8" i="3"/>
  <c r="P8" i="3"/>
  <c r="D10" i="3"/>
  <c r="G9" i="3"/>
  <c r="O8" i="3"/>
  <c r="L8" i="3"/>
  <c r="R8" i="3"/>
  <c r="F10" i="3"/>
  <c r="I9" i="3"/>
  <c r="K8" i="3"/>
  <c r="N8" i="3"/>
  <c r="Q8" i="3"/>
  <c r="E10" i="3"/>
  <c r="H9" i="3"/>
  <c r="D11" i="3" l="1"/>
  <c r="G10" i="3"/>
  <c r="N9" i="3"/>
  <c r="Q9" i="3"/>
  <c r="K9" i="3"/>
  <c r="E11" i="3"/>
  <c r="H10" i="3"/>
  <c r="J9" i="3"/>
  <c r="P9" i="3"/>
  <c r="M9" i="3"/>
  <c r="R9" i="3"/>
  <c r="O9" i="3"/>
  <c r="L9" i="3"/>
  <c r="F11" i="3"/>
  <c r="I10" i="3"/>
  <c r="L10" i="3" l="1"/>
  <c r="R10" i="3"/>
  <c r="O10" i="3"/>
  <c r="Q10" i="3"/>
  <c r="N10" i="3"/>
  <c r="K10" i="3"/>
  <c r="F12" i="3"/>
  <c r="I11" i="3"/>
  <c r="E12" i="3"/>
  <c r="H11" i="3"/>
  <c r="P10" i="3"/>
  <c r="J10" i="3"/>
  <c r="M10" i="3"/>
  <c r="D12" i="3"/>
  <c r="G11" i="3"/>
  <c r="L11" i="3" l="1"/>
  <c r="R11" i="3"/>
  <c r="O11" i="3"/>
  <c r="P11" i="3"/>
  <c r="J11" i="3"/>
  <c r="M11" i="3"/>
  <c r="F13" i="3"/>
  <c r="I12" i="3"/>
  <c r="D13" i="3"/>
  <c r="G12" i="3"/>
  <c r="N11" i="3"/>
  <c r="K11" i="3"/>
  <c r="Q11" i="3"/>
  <c r="E13" i="3"/>
  <c r="H12" i="3"/>
  <c r="R12" i="3" l="1"/>
  <c r="O12" i="3"/>
  <c r="L12" i="3"/>
  <c r="N12" i="3"/>
  <c r="Q12" i="3"/>
  <c r="K12" i="3"/>
  <c r="F14" i="3"/>
  <c r="I13" i="3"/>
  <c r="E14" i="3"/>
  <c r="H13" i="3"/>
  <c r="M12" i="3"/>
  <c r="J12" i="3"/>
  <c r="P12" i="3"/>
  <c r="D14" i="3"/>
  <c r="G13" i="3"/>
  <c r="P13" i="3" l="1"/>
  <c r="J13" i="3"/>
  <c r="M13" i="3"/>
  <c r="O13" i="3"/>
  <c r="R13" i="3"/>
  <c r="L13" i="3"/>
  <c r="F15" i="3"/>
  <c r="I14" i="3"/>
  <c r="D15" i="3"/>
  <c r="G14" i="3"/>
  <c r="Q13" i="3"/>
  <c r="N13" i="3"/>
  <c r="K13" i="3"/>
  <c r="E15" i="3"/>
  <c r="H14" i="3"/>
  <c r="M14" i="3" l="1"/>
  <c r="J14" i="3"/>
  <c r="P14" i="3"/>
  <c r="F16" i="3"/>
  <c r="I15" i="3"/>
  <c r="D16" i="3"/>
  <c r="G15" i="3"/>
  <c r="O14" i="3"/>
  <c r="L14" i="3"/>
  <c r="R14" i="3"/>
  <c r="K14" i="3"/>
  <c r="Q14" i="3"/>
  <c r="N14" i="3"/>
  <c r="E16" i="3"/>
  <c r="H15" i="3"/>
  <c r="M15" i="3" l="1"/>
  <c r="J15" i="3"/>
  <c r="P15" i="3"/>
  <c r="E17" i="3"/>
  <c r="H16" i="3"/>
  <c r="R15" i="3"/>
  <c r="L15" i="3"/>
  <c r="O15" i="3"/>
  <c r="F17" i="3"/>
  <c r="I16" i="3"/>
  <c r="Q15" i="3"/>
  <c r="K15" i="3"/>
  <c r="N15" i="3"/>
  <c r="D17" i="3"/>
  <c r="G16" i="3"/>
  <c r="M16" i="3" l="1"/>
  <c r="J16" i="3"/>
  <c r="P16" i="3"/>
  <c r="D18" i="3"/>
  <c r="G17" i="3"/>
  <c r="Q16" i="3"/>
  <c r="N16" i="3"/>
  <c r="K16" i="3"/>
  <c r="E18" i="3"/>
  <c r="H17" i="3"/>
  <c r="R16" i="3"/>
  <c r="O16" i="3"/>
  <c r="L16" i="3"/>
  <c r="F18" i="3"/>
  <c r="I17" i="3"/>
  <c r="L17" i="3" l="1"/>
  <c r="R17" i="3"/>
  <c r="O17" i="3"/>
  <c r="F19" i="3"/>
  <c r="I18" i="3"/>
  <c r="M17" i="3"/>
  <c r="P17" i="3"/>
  <c r="J17" i="3"/>
  <c r="D19" i="3"/>
  <c r="G18" i="3"/>
  <c r="N17" i="3"/>
  <c r="K17" i="3"/>
  <c r="Q17" i="3"/>
  <c r="E19" i="3"/>
  <c r="H18" i="3"/>
  <c r="P18" i="3" l="1"/>
  <c r="J18" i="3"/>
  <c r="M18" i="3"/>
  <c r="D20" i="3"/>
  <c r="G19" i="3"/>
  <c r="L18" i="3"/>
  <c r="R18" i="3"/>
  <c r="O18" i="3"/>
  <c r="F20" i="3"/>
  <c r="I19" i="3"/>
  <c r="Q18" i="3"/>
  <c r="N18" i="3"/>
  <c r="K18" i="3"/>
  <c r="E20" i="3"/>
  <c r="H19" i="3"/>
  <c r="E21" i="3" l="1"/>
  <c r="H20" i="3"/>
  <c r="J19" i="3"/>
  <c r="P19" i="3"/>
  <c r="M19" i="3"/>
  <c r="D21" i="3"/>
  <c r="G20" i="3"/>
  <c r="N19" i="3"/>
  <c r="K19" i="3"/>
  <c r="Q19" i="3"/>
  <c r="O19" i="3"/>
  <c r="L19" i="3"/>
  <c r="R19" i="3"/>
  <c r="F21" i="3"/>
  <c r="I20" i="3"/>
  <c r="Q20" i="3" l="1"/>
  <c r="N20" i="3"/>
  <c r="K20" i="3"/>
  <c r="P20" i="3"/>
  <c r="M20" i="3"/>
  <c r="J20" i="3"/>
  <c r="D22" i="3"/>
  <c r="G21" i="3"/>
  <c r="E22" i="3"/>
  <c r="H21" i="3"/>
  <c r="R20" i="3"/>
  <c r="O20" i="3"/>
  <c r="L20" i="3"/>
  <c r="F22" i="3"/>
  <c r="I21" i="3"/>
  <c r="O21" i="3" l="1"/>
  <c r="L21" i="3"/>
  <c r="R21" i="3"/>
  <c r="F23" i="3"/>
  <c r="I22" i="3"/>
  <c r="P21" i="3"/>
  <c r="J21" i="3"/>
  <c r="M21" i="3"/>
  <c r="D23" i="3"/>
  <c r="G22" i="3"/>
  <c r="K21" i="3"/>
  <c r="Q21" i="3"/>
  <c r="N21" i="3"/>
  <c r="E23" i="3"/>
  <c r="H22" i="3"/>
  <c r="E24" i="3" l="1"/>
  <c r="H23" i="3"/>
  <c r="F24" i="3"/>
  <c r="I23" i="3"/>
  <c r="N22" i="3"/>
  <c r="K22" i="3"/>
  <c r="Q22" i="3"/>
  <c r="R22" i="3"/>
  <c r="L22" i="3"/>
  <c r="O22" i="3"/>
  <c r="M22" i="3"/>
  <c r="J22" i="3"/>
  <c r="P22" i="3"/>
  <c r="D24" i="3"/>
  <c r="G23" i="3"/>
  <c r="R23" i="3" l="1"/>
  <c r="L23" i="3"/>
  <c r="O23" i="3"/>
  <c r="D25" i="3"/>
  <c r="G24" i="3"/>
  <c r="F25" i="3"/>
  <c r="I24" i="3"/>
  <c r="M23" i="3"/>
  <c r="J23" i="3"/>
  <c r="P23" i="3"/>
  <c r="Q23" i="3"/>
  <c r="K23" i="3"/>
  <c r="N23" i="3"/>
  <c r="E25" i="3"/>
  <c r="H24" i="3"/>
  <c r="Q24" i="3" l="1"/>
  <c r="N24" i="3"/>
  <c r="K24" i="3"/>
  <c r="O24" i="3"/>
  <c r="L24" i="3"/>
  <c r="R24" i="3"/>
  <c r="E26" i="3"/>
  <c r="H25" i="3"/>
  <c r="F26" i="3"/>
  <c r="I25" i="3"/>
  <c r="P24" i="3"/>
  <c r="M24" i="3"/>
  <c r="J24" i="3"/>
  <c r="D26" i="3"/>
  <c r="G25" i="3"/>
  <c r="M25" i="3" l="1"/>
  <c r="J25" i="3"/>
  <c r="P25" i="3"/>
  <c r="N25" i="3"/>
  <c r="K25" i="3"/>
  <c r="Q25" i="3"/>
  <c r="E27" i="3"/>
  <c r="H26" i="3"/>
  <c r="D27" i="3"/>
  <c r="G26" i="3"/>
  <c r="O25" i="3"/>
  <c r="L25" i="3"/>
  <c r="R25" i="3"/>
  <c r="F27" i="3"/>
  <c r="I26" i="3"/>
  <c r="E28" i="3" l="1"/>
  <c r="H27" i="3"/>
  <c r="Q26" i="3"/>
  <c r="N26" i="3"/>
  <c r="K26" i="3"/>
  <c r="O26" i="3"/>
  <c r="L26" i="3"/>
  <c r="R26" i="3"/>
  <c r="F28" i="3"/>
  <c r="I27" i="3"/>
  <c r="P26" i="3"/>
  <c r="J26" i="3"/>
  <c r="M26" i="3"/>
  <c r="D28" i="3"/>
  <c r="G27" i="3"/>
  <c r="R27" i="3" l="1"/>
  <c r="O27" i="3"/>
  <c r="L27" i="3"/>
  <c r="E29" i="3"/>
  <c r="H28" i="3"/>
  <c r="M27" i="3"/>
  <c r="J27" i="3"/>
  <c r="P27" i="3"/>
  <c r="Q27" i="3"/>
  <c r="N27" i="3"/>
  <c r="K27" i="3"/>
  <c r="F29" i="3"/>
  <c r="I28" i="3"/>
  <c r="D29" i="3"/>
  <c r="G28" i="3"/>
  <c r="J28" i="3" l="1"/>
  <c r="P28" i="3"/>
  <c r="M28" i="3"/>
  <c r="D30" i="3"/>
  <c r="G29" i="3"/>
  <c r="R28" i="3"/>
  <c r="O28" i="3"/>
  <c r="L28" i="3"/>
  <c r="K28" i="3"/>
  <c r="Q28" i="3"/>
  <c r="N28" i="3"/>
  <c r="F30" i="3"/>
  <c r="I29" i="3"/>
  <c r="E30" i="3"/>
  <c r="H29" i="3"/>
  <c r="P29" i="3" l="1"/>
  <c r="J29" i="3"/>
  <c r="M29" i="3"/>
  <c r="N29" i="3"/>
  <c r="K29" i="3"/>
  <c r="Q29" i="3"/>
  <c r="E31" i="3"/>
  <c r="H30" i="3"/>
  <c r="O29" i="3"/>
  <c r="L29" i="3"/>
  <c r="R29" i="3"/>
  <c r="F31" i="3"/>
  <c r="I30" i="3"/>
  <c r="D31" i="3"/>
  <c r="G30" i="3"/>
  <c r="N30" i="3" l="1"/>
  <c r="Q30" i="3"/>
  <c r="K30" i="3"/>
  <c r="D32" i="3"/>
  <c r="G31" i="3"/>
  <c r="M30" i="3"/>
  <c r="J30" i="3"/>
  <c r="P30" i="3"/>
  <c r="E32" i="3"/>
  <c r="H31" i="3"/>
  <c r="R30" i="3"/>
  <c r="O30" i="3"/>
  <c r="L30" i="3"/>
  <c r="F32" i="3"/>
  <c r="I31" i="3"/>
  <c r="R31" i="3" l="1"/>
  <c r="L31" i="3"/>
  <c r="O31" i="3"/>
  <c r="F33" i="3"/>
  <c r="I32" i="3"/>
  <c r="M31" i="3"/>
  <c r="P31" i="3"/>
  <c r="J31" i="3"/>
  <c r="D33" i="3"/>
  <c r="G32" i="3"/>
  <c r="Q31" i="3"/>
  <c r="K31" i="3"/>
  <c r="N31" i="3"/>
  <c r="E33" i="3"/>
  <c r="H32" i="3"/>
  <c r="K32" i="3" l="1"/>
  <c r="Q32" i="3"/>
  <c r="N32" i="3"/>
  <c r="E34" i="3"/>
  <c r="H33" i="3"/>
  <c r="L32" i="3"/>
  <c r="R32" i="3"/>
  <c r="O32" i="3"/>
  <c r="F34" i="3"/>
  <c r="I33" i="3"/>
  <c r="J32" i="3"/>
  <c r="P32" i="3"/>
  <c r="M32" i="3"/>
  <c r="D34" i="3"/>
  <c r="G33" i="3"/>
  <c r="O33" i="3" l="1"/>
  <c r="L33" i="3"/>
  <c r="R33" i="3"/>
  <c r="F35" i="3"/>
  <c r="I34" i="3"/>
  <c r="J33" i="3"/>
  <c r="P33" i="3"/>
  <c r="M33" i="3"/>
  <c r="D35" i="3"/>
  <c r="G34" i="3"/>
  <c r="N33" i="3"/>
  <c r="K33" i="3"/>
  <c r="Q33" i="3"/>
  <c r="E35" i="3"/>
  <c r="H34" i="3"/>
  <c r="F36" i="3" l="1"/>
  <c r="I35" i="3"/>
  <c r="R34" i="3"/>
  <c r="O34" i="3"/>
  <c r="L34" i="3"/>
  <c r="Q34" i="3"/>
  <c r="N34" i="3"/>
  <c r="K34" i="3"/>
  <c r="E36" i="3"/>
  <c r="H35" i="3"/>
  <c r="P34" i="3"/>
  <c r="J34" i="3"/>
  <c r="M34" i="3"/>
  <c r="D36" i="3"/>
  <c r="G35" i="3"/>
  <c r="O35" i="3" l="1"/>
  <c r="L35" i="3"/>
  <c r="R35" i="3"/>
  <c r="P35" i="3"/>
  <c r="M35" i="3"/>
  <c r="J35" i="3"/>
  <c r="E37" i="3"/>
  <c r="H36" i="3"/>
  <c r="K35" i="3"/>
  <c r="Q35" i="3"/>
  <c r="N35" i="3"/>
  <c r="F37" i="3"/>
  <c r="I36" i="3"/>
  <c r="D37" i="3"/>
  <c r="G36" i="3"/>
  <c r="E15" i="5"/>
  <c r="F15" i="5" s="1"/>
  <c r="K36" i="3" l="1"/>
  <c r="Q36" i="3"/>
  <c r="N36" i="3"/>
  <c r="M36" i="3"/>
  <c r="J36" i="3"/>
  <c r="P36" i="3"/>
  <c r="E38" i="3"/>
  <c r="H37" i="3"/>
  <c r="D38" i="3"/>
  <c r="G37" i="3"/>
  <c r="R36" i="3"/>
  <c r="O36" i="3"/>
  <c r="L36" i="3"/>
  <c r="F38" i="3"/>
  <c r="I37" i="3"/>
  <c r="E16" i="5"/>
  <c r="F16" i="5" s="1"/>
  <c r="G14" i="5"/>
  <c r="K37" i="3" l="1"/>
  <c r="Q37" i="3"/>
  <c r="N37" i="3"/>
  <c r="O37" i="3"/>
  <c r="R37" i="3"/>
  <c r="L37" i="3"/>
  <c r="E39" i="3"/>
  <c r="H38" i="3"/>
  <c r="F39" i="3"/>
  <c r="I38" i="3"/>
  <c r="P37" i="3"/>
  <c r="J37" i="3"/>
  <c r="M37" i="3"/>
  <c r="D39" i="3"/>
  <c r="G38" i="3"/>
  <c r="E17" i="5"/>
  <c r="F17" i="5" s="1"/>
  <c r="G15" i="5"/>
  <c r="D40" i="3" l="1"/>
  <c r="G39" i="3"/>
  <c r="L38" i="3"/>
  <c r="R38" i="3"/>
  <c r="O38" i="3"/>
  <c r="F40" i="3"/>
  <c r="I39" i="3"/>
  <c r="Q38" i="3"/>
  <c r="K38" i="3"/>
  <c r="N38" i="3"/>
  <c r="M38" i="3"/>
  <c r="P38" i="3"/>
  <c r="J38" i="3"/>
  <c r="E40" i="3"/>
  <c r="H39" i="3"/>
  <c r="E18" i="5"/>
  <c r="F18" i="5" s="1"/>
  <c r="G16" i="5"/>
  <c r="Q39" i="3" l="1"/>
  <c r="K39" i="3"/>
  <c r="N39" i="3"/>
  <c r="R39" i="3"/>
  <c r="L39" i="3"/>
  <c r="O39" i="3"/>
  <c r="E41" i="3"/>
  <c r="H40" i="3"/>
  <c r="F41" i="3"/>
  <c r="I40" i="3"/>
  <c r="M39" i="3"/>
  <c r="J39" i="3"/>
  <c r="P39" i="3"/>
  <c r="D41" i="3"/>
  <c r="G40" i="3"/>
  <c r="E19" i="5"/>
  <c r="F19" i="5" s="1"/>
  <c r="G17" i="5"/>
  <c r="N40" i="3" l="1"/>
  <c r="Q40" i="3"/>
  <c r="K40" i="3"/>
  <c r="J40" i="3"/>
  <c r="P40" i="3"/>
  <c r="M40" i="3"/>
  <c r="D42" i="3"/>
  <c r="G41" i="3"/>
  <c r="E42" i="3"/>
  <c r="H41" i="3"/>
  <c r="O40" i="3"/>
  <c r="R40" i="3"/>
  <c r="L40" i="3"/>
  <c r="F42" i="3"/>
  <c r="I41" i="3"/>
  <c r="E20" i="5"/>
  <c r="F20" i="5" s="1"/>
  <c r="G18" i="5"/>
  <c r="N41" i="3" l="1"/>
  <c r="Q41" i="3"/>
  <c r="K41" i="3"/>
  <c r="E43" i="3"/>
  <c r="H42" i="3"/>
  <c r="F43" i="3"/>
  <c r="I42" i="3"/>
  <c r="P41" i="3"/>
  <c r="J41" i="3"/>
  <c r="M41" i="3"/>
  <c r="R41" i="3"/>
  <c r="O41" i="3"/>
  <c r="L41" i="3"/>
  <c r="D43" i="3"/>
  <c r="G42" i="3"/>
  <c r="E21" i="5"/>
  <c r="F21" i="5" s="1"/>
  <c r="G19" i="5"/>
  <c r="L42" i="3" l="1"/>
  <c r="R42" i="3"/>
  <c r="O42" i="3"/>
  <c r="F44" i="3"/>
  <c r="I43" i="3"/>
  <c r="E44" i="3"/>
  <c r="H43" i="3"/>
  <c r="P42" i="3"/>
  <c r="J42" i="3"/>
  <c r="M42" i="3"/>
  <c r="D44" i="3"/>
  <c r="G43" i="3"/>
  <c r="Q42" i="3"/>
  <c r="N42" i="3"/>
  <c r="K42" i="3"/>
  <c r="E22" i="5"/>
  <c r="F22" i="5" s="1"/>
  <c r="G20" i="5"/>
  <c r="N43" i="3" l="1"/>
  <c r="K43" i="3"/>
  <c r="Q43" i="3"/>
  <c r="E45" i="3"/>
  <c r="H44" i="3"/>
  <c r="O43" i="3"/>
  <c r="R43" i="3"/>
  <c r="L43" i="3"/>
  <c r="J43" i="3"/>
  <c r="P43" i="3"/>
  <c r="M43" i="3"/>
  <c r="F45" i="3"/>
  <c r="I44" i="3"/>
  <c r="D45" i="3"/>
  <c r="G44" i="3"/>
  <c r="E23" i="5"/>
  <c r="F23" i="5" s="1"/>
  <c r="G21" i="5"/>
  <c r="M44" i="3" l="1"/>
  <c r="P44" i="3"/>
  <c r="J44" i="3"/>
  <c r="D46" i="3"/>
  <c r="G45" i="3"/>
  <c r="R44" i="3"/>
  <c r="O44" i="3"/>
  <c r="L44" i="3"/>
  <c r="N44" i="3"/>
  <c r="K44" i="3"/>
  <c r="Q44" i="3"/>
  <c r="F46" i="3"/>
  <c r="I45" i="3"/>
  <c r="E46" i="3"/>
  <c r="H45" i="3"/>
  <c r="E24" i="5"/>
  <c r="F24" i="5" s="1"/>
  <c r="G22" i="5"/>
  <c r="O45" i="3" l="1"/>
  <c r="R45" i="3"/>
  <c r="L45" i="3"/>
  <c r="Q45" i="3"/>
  <c r="N45" i="3"/>
  <c r="K45" i="3"/>
  <c r="E47" i="3"/>
  <c r="H46" i="3"/>
  <c r="P45" i="3"/>
  <c r="J45" i="3"/>
  <c r="M45" i="3"/>
  <c r="F47" i="3"/>
  <c r="I46" i="3"/>
  <c r="D47" i="3"/>
  <c r="G46" i="3"/>
  <c r="E25" i="5"/>
  <c r="F25" i="5" s="1"/>
  <c r="G23" i="5"/>
  <c r="K46" i="3" l="1"/>
  <c r="Q46" i="3"/>
  <c r="N46" i="3"/>
  <c r="M46" i="3"/>
  <c r="J46" i="3"/>
  <c r="P46" i="3"/>
  <c r="D48" i="3"/>
  <c r="G47" i="3"/>
  <c r="O46" i="3"/>
  <c r="L46" i="3"/>
  <c r="R46" i="3"/>
  <c r="F48" i="3"/>
  <c r="I47" i="3"/>
  <c r="E48" i="3"/>
  <c r="H47" i="3"/>
  <c r="E26" i="5"/>
  <c r="F26" i="5" s="1"/>
  <c r="G24" i="5"/>
  <c r="E49" i="3" l="1"/>
  <c r="H48" i="3"/>
  <c r="M47" i="3"/>
  <c r="P47" i="3"/>
  <c r="J47" i="3"/>
  <c r="Q47" i="3"/>
  <c r="K47" i="3"/>
  <c r="N47" i="3"/>
  <c r="R47" i="3"/>
  <c r="L47" i="3"/>
  <c r="O47" i="3"/>
  <c r="F49" i="3"/>
  <c r="I48" i="3"/>
  <c r="D49" i="3"/>
  <c r="G48" i="3"/>
  <c r="E27" i="5"/>
  <c r="F27" i="5" s="1"/>
  <c r="G25" i="5"/>
  <c r="D50" i="3" l="1"/>
  <c r="G49" i="3"/>
  <c r="F50" i="3"/>
  <c r="I49" i="3"/>
  <c r="M48" i="3"/>
  <c r="P48" i="3"/>
  <c r="J48" i="3"/>
  <c r="R48" i="3"/>
  <c r="O48" i="3"/>
  <c r="L48" i="3"/>
  <c r="K48" i="3"/>
  <c r="Q48" i="3"/>
  <c r="N48" i="3"/>
  <c r="E50" i="3"/>
  <c r="H49" i="3"/>
  <c r="E28" i="5"/>
  <c r="F28" i="5" s="1"/>
  <c r="G26" i="5"/>
  <c r="E51" i="3" l="1"/>
  <c r="H50" i="3"/>
  <c r="N49" i="3"/>
  <c r="K49" i="3"/>
  <c r="Q49" i="3"/>
  <c r="L49" i="3"/>
  <c r="O49" i="3"/>
  <c r="R49" i="3"/>
  <c r="F51" i="3"/>
  <c r="I50" i="3"/>
  <c r="M49" i="3"/>
  <c r="P49" i="3"/>
  <c r="J49" i="3"/>
  <c r="D51" i="3"/>
  <c r="G50" i="3"/>
  <c r="E29" i="5"/>
  <c r="F29" i="5" s="1"/>
  <c r="G27" i="5"/>
  <c r="P50" i="3" l="1"/>
  <c r="J50" i="3"/>
  <c r="M50" i="3"/>
  <c r="D52" i="3"/>
  <c r="G51" i="3"/>
  <c r="L50" i="3"/>
  <c r="R50" i="3"/>
  <c r="O50" i="3"/>
  <c r="Q50" i="3"/>
  <c r="N50" i="3"/>
  <c r="K50" i="3"/>
  <c r="F52" i="3"/>
  <c r="I51" i="3"/>
  <c r="E52" i="3"/>
  <c r="H51" i="3"/>
  <c r="E30" i="5"/>
  <c r="F30" i="5" s="1"/>
  <c r="G28" i="5"/>
  <c r="N51" i="3" l="1"/>
  <c r="K51" i="3"/>
  <c r="Q51" i="3"/>
  <c r="J51" i="3"/>
  <c r="P51" i="3"/>
  <c r="M51" i="3"/>
  <c r="E53" i="3"/>
  <c r="H52" i="3"/>
  <c r="O51" i="3"/>
  <c r="R51" i="3"/>
  <c r="L51" i="3"/>
  <c r="F53" i="3"/>
  <c r="I52" i="3"/>
  <c r="D53" i="3"/>
  <c r="G52" i="3"/>
  <c r="E31" i="5"/>
  <c r="F31" i="5" s="1"/>
  <c r="G29" i="5"/>
  <c r="Q52" i="3" l="1"/>
  <c r="N52" i="3"/>
  <c r="K52" i="3"/>
  <c r="D54" i="3"/>
  <c r="G53" i="3"/>
  <c r="P52" i="3"/>
  <c r="J52" i="3"/>
  <c r="M52" i="3"/>
  <c r="E54" i="3"/>
  <c r="H53" i="3"/>
  <c r="R52" i="3"/>
  <c r="O52" i="3"/>
  <c r="L52" i="3"/>
  <c r="F54" i="3"/>
  <c r="I53" i="3"/>
  <c r="E32" i="5"/>
  <c r="F32" i="5" s="1"/>
  <c r="G30" i="5"/>
  <c r="O53" i="3" l="1"/>
  <c r="L53" i="3"/>
  <c r="R53" i="3"/>
  <c r="P53" i="3"/>
  <c r="J53" i="3"/>
  <c r="M53" i="3"/>
  <c r="F55" i="3"/>
  <c r="I54" i="3"/>
  <c r="D55" i="3"/>
  <c r="G54" i="3"/>
  <c r="K53" i="3"/>
  <c r="Q53" i="3"/>
  <c r="N53" i="3"/>
  <c r="E55" i="3"/>
  <c r="H54" i="3"/>
  <c r="E33" i="5"/>
  <c r="F33" i="5" s="1"/>
  <c r="G31" i="5"/>
  <c r="L54" i="3" l="1"/>
  <c r="R54" i="3"/>
  <c r="O54" i="3"/>
  <c r="N54" i="3"/>
  <c r="Q54" i="3"/>
  <c r="K54" i="3"/>
  <c r="F56" i="3"/>
  <c r="I55" i="3"/>
  <c r="E56" i="3"/>
  <c r="H55" i="3"/>
  <c r="M54" i="3"/>
  <c r="J54" i="3"/>
  <c r="P54" i="3"/>
  <c r="D56" i="3"/>
  <c r="G55" i="3"/>
  <c r="E34" i="5"/>
  <c r="F34" i="5" s="1"/>
  <c r="G32" i="5"/>
  <c r="D57" i="3" l="1"/>
  <c r="G56" i="3"/>
  <c r="M55" i="3"/>
  <c r="P55" i="3"/>
  <c r="J55" i="3"/>
  <c r="R55" i="3"/>
  <c r="L55" i="3"/>
  <c r="O55" i="3"/>
  <c r="F57" i="3"/>
  <c r="I56" i="3"/>
  <c r="Q55" i="3"/>
  <c r="K55" i="3"/>
  <c r="N55" i="3"/>
  <c r="E57" i="3"/>
  <c r="H56" i="3"/>
  <c r="E35" i="5"/>
  <c r="F35" i="5" s="1"/>
  <c r="G33" i="5"/>
  <c r="Q56" i="3" l="1"/>
  <c r="K56" i="3"/>
  <c r="N56" i="3"/>
  <c r="E58" i="3"/>
  <c r="H57" i="3"/>
  <c r="O56" i="3"/>
  <c r="L56" i="3"/>
  <c r="R56" i="3"/>
  <c r="P56" i="3"/>
  <c r="M56" i="3"/>
  <c r="J56" i="3"/>
  <c r="F58" i="3"/>
  <c r="I57" i="3"/>
  <c r="D58" i="3"/>
  <c r="G57" i="3"/>
  <c r="E36" i="5"/>
  <c r="F36" i="5" s="1"/>
  <c r="G34" i="5"/>
  <c r="P57" i="3" l="1"/>
  <c r="M57" i="3"/>
  <c r="J57" i="3"/>
  <c r="D59" i="3"/>
  <c r="G58" i="3"/>
  <c r="O57" i="3"/>
  <c r="L57" i="3"/>
  <c r="R57" i="3"/>
  <c r="N57" i="3"/>
  <c r="K57" i="3"/>
  <c r="Q57" i="3"/>
  <c r="F59" i="3"/>
  <c r="I58" i="3"/>
  <c r="E59" i="3"/>
  <c r="H58" i="3"/>
  <c r="E37" i="5"/>
  <c r="F37" i="5" s="1"/>
  <c r="G35" i="5"/>
  <c r="Q58" i="3" l="1"/>
  <c r="N58" i="3"/>
  <c r="K58" i="3"/>
  <c r="F60" i="3"/>
  <c r="I59" i="3"/>
  <c r="P58" i="3"/>
  <c r="J58" i="3"/>
  <c r="M58" i="3"/>
  <c r="E60" i="3"/>
  <c r="H59" i="3"/>
  <c r="O58" i="3"/>
  <c r="L58" i="3"/>
  <c r="R58" i="3"/>
  <c r="D60" i="3"/>
  <c r="G59" i="3"/>
  <c r="G37" i="5"/>
  <c r="G36" i="5"/>
  <c r="D61" i="3" l="1"/>
  <c r="G61" i="3" s="1"/>
  <c r="G60" i="3"/>
  <c r="F61" i="3"/>
  <c r="I61" i="3" s="1"/>
  <c r="I60" i="3"/>
  <c r="M59" i="3"/>
  <c r="P59" i="3"/>
  <c r="J59" i="3"/>
  <c r="R59" i="3"/>
  <c r="O59" i="3"/>
  <c r="L59" i="3"/>
  <c r="Q59" i="3"/>
  <c r="N59" i="3"/>
  <c r="K59" i="3"/>
  <c r="E61" i="3"/>
  <c r="H61" i="3" s="1"/>
  <c r="H60" i="3"/>
  <c r="R60" i="3" l="1"/>
  <c r="O60" i="3"/>
  <c r="L60" i="3"/>
  <c r="K60" i="3"/>
  <c r="Q60" i="3"/>
  <c r="N60" i="3"/>
  <c r="N61" i="3"/>
  <c r="K61" i="3"/>
  <c r="T2" i="3" s="1"/>
  <c r="Q61" i="3"/>
  <c r="O61" i="3"/>
  <c r="L61" i="3"/>
  <c r="U2" i="3" s="1"/>
  <c r="R61" i="3"/>
  <c r="J60" i="3"/>
  <c r="P60" i="3"/>
  <c r="M60" i="3"/>
  <c r="P61" i="3"/>
  <c r="J61" i="3"/>
  <c r="M61" i="3"/>
  <c r="I26" i="6" l="1"/>
  <c r="C64" i="6" s="1"/>
  <c r="G26" i="6"/>
  <c r="I27" i="6" l="1"/>
  <c r="C65" i="6" s="1"/>
  <c r="E64" i="6"/>
  <c r="D64" i="6"/>
  <c r="F64" i="6"/>
  <c r="G27" i="6"/>
  <c r="D65" i="6" l="1"/>
  <c r="F65" i="6"/>
  <c r="E65" i="6"/>
  <c r="F28" i="6"/>
  <c r="E29" i="6" s="1"/>
  <c r="G28" i="6"/>
  <c r="F29" i="6" l="1"/>
  <c r="E30" i="6" s="1"/>
  <c r="I28" i="6"/>
  <c r="C66" i="6" s="1"/>
  <c r="I29" i="6" l="1"/>
  <c r="C67" i="6" s="1"/>
  <c r="F67" i="6" s="1"/>
  <c r="F30" i="6"/>
  <c r="E31" i="6" s="1"/>
  <c r="G29" i="6"/>
  <c r="D66" i="6"/>
  <c r="F66" i="6"/>
  <c r="E66" i="6"/>
  <c r="I30" i="6"/>
  <c r="C68" i="6" s="1"/>
  <c r="G30" i="6"/>
  <c r="E67" i="6" l="1"/>
  <c r="D67" i="6"/>
  <c r="F68" i="6"/>
  <c r="E68" i="6"/>
  <c r="D68" i="6"/>
  <c r="F31" i="6"/>
  <c r="E32" i="6" s="1"/>
  <c r="G31" i="6" l="1"/>
  <c r="I31" i="6"/>
  <c r="C69" i="6" s="1"/>
  <c r="E69" i="6" l="1"/>
  <c r="D69" i="6"/>
  <c r="F69" i="6"/>
  <c r="F32" i="6"/>
  <c r="E33" i="6" s="1"/>
  <c r="G32" i="6" l="1"/>
  <c r="I32" i="6"/>
  <c r="C70" i="6" s="1"/>
  <c r="F33" i="6"/>
  <c r="E34" i="6" s="1"/>
  <c r="G33" i="6" l="1"/>
  <c r="I33" i="6"/>
  <c r="C71" i="6" s="1"/>
  <c r="F34" i="6"/>
  <c r="E35" i="6" s="1"/>
  <c r="E70" i="6"/>
  <c r="D70" i="6"/>
  <c r="F70" i="6"/>
  <c r="D71" i="6" l="1"/>
  <c r="E71" i="6"/>
  <c r="F71" i="6"/>
  <c r="G34" i="6"/>
  <c r="I34" i="6"/>
  <c r="C72" i="6" s="1"/>
  <c r="E72" i="6" l="1"/>
  <c r="D72" i="6"/>
  <c r="F72" i="6"/>
  <c r="F35" i="6"/>
  <c r="E36" i="6" s="1"/>
  <c r="G35" i="6" l="1"/>
  <c r="F36" i="6"/>
  <c r="E37" i="6" s="1"/>
  <c r="I35" i="6"/>
  <c r="C73" i="6" s="1"/>
  <c r="D73" i="6" l="1"/>
  <c r="F73" i="6"/>
  <c r="E73" i="6"/>
  <c r="F37" i="6"/>
  <c r="G36" i="6"/>
  <c r="I36" i="6"/>
  <c r="C74" i="6" s="1"/>
  <c r="E38" i="6" l="1"/>
  <c r="I37" i="6"/>
  <c r="C75" i="6" s="1"/>
  <c r="G37" i="6"/>
  <c r="D74" i="6"/>
  <c r="E74" i="6"/>
  <c r="F74" i="6"/>
  <c r="D75" i="6" l="1"/>
  <c r="E75" i="6"/>
  <c r="F75" i="6"/>
  <c r="G38" i="6"/>
  <c r="F38" i="6"/>
  <c r="I38" i="6" s="1"/>
  <c r="C76" i="6" s="1"/>
  <c r="E39" i="6" l="1"/>
  <c r="F39" i="6" s="1"/>
  <c r="I39" i="6" s="1"/>
  <c r="C77" i="6" s="1"/>
  <c r="G39" i="6"/>
  <c r="D76" i="6"/>
  <c r="E76" i="6"/>
  <c r="F76" i="6"/>
  <c r="E77" i="6" l="1"/>
  <c r="F77" i="6"/>
  <c r="D77" i="6"/>
  <c r="E40" i="6"/>
  <c r="F40" i="6" l="1"/>
  <c r="I40" i="6" s="1"/>
  <c r="C78" i="6" s="1"/>
  <c r="G40" i="6"/>
  <c r="D78" i="6" l="1"/>
  <c r="F78" i="6"/>
  <c r="E78" i="6"/>
  <c r="E41" i="6"/>
  <c r="G41" i="6" l="1"/>
  <c r="F41" i="6"/>
  <c r="I41" i="6" s="1"/>
  <c r="C79" i="6" s="1"/>
  <c r="E42" i="6" l="1"/>
  <c r="G42" i="6" s="1"/>
  <c r="D79" i="6"/>
  <c r="F79" i="6"/>
  <c r="E79" i="6"/>
  <c r="F42" i="6" l="1"/>
  <c r="I42" i="6" s="1"/>
  <c r="C80" i="6" s="1"/>
  <c r="E80" i="6" s="1"/>
  <c r="D80" i="6" l="1"/>
  <c r="F80" i="6"/>
  <c r="E43" i="6"/>
  <c r="G43" i="6" l="1"/>
  <c r="F43" i="6"/>
  <c r="E44" i="6" s="1"/>
  <c r="F44" i="6" l="1"/>
  <c r="G44" i="6"/>
  <c r="I43" i="6"/>
  <c r="C81" i="6" s="1"/>
  <c r="D81" i="6" l="1"/>
  <c r="E81" i="6"/>
  <c r="F81" i="6"/>
  <c r="E45" i="6"/>
  <c r="I44" i="6"/>
  <c r="C82" i="6" s="1"/>
  <c r="G45" i="6" l="1"/>
  <c r="F45" i="6"/>
  <c r="E46" i="6" s="1"/>
  <c r="F82" i="6"/>
  <c r="E82" i="6"/>
  <c r="D82" i="6"/>
  <c r="I45" i="6" l="1"/>
  <c r="C83" i="6" s="1"/>
  <c r="F46" i="6"/>
  <c r="I46" i="6" s="1"/>
  <c r="C84" i="6" s="1"/>
  <c r="G46" i="6"/>
  <c r="D84" i="6" l="1"/>
  <c r="E84" i="6"/>
  <c r="F84" i="6"/>
  <c r="E47" i="6"/>
  <c r="F83" i="6"/>
  <c r="E83" i="6"/>
  <c r="D83" i="6"/>
  <c r="F47" i="6" l="1"/>
  <c r="E48" i="6" s="1"/>
  <c r="G47" i="6"/>
  <c r="I47" i="6" l="1"/>
  <c r="C85" i="6" s="1"/>
  <c r="E85" i="6" s="1"/>
  <c r="F85" i="6"/>
  <c r="D85" i="6"/>
  <c r="G48" i="6"/>
  <c r="F48" i="6"/>
  <c r="I48" i="6" s="1"/>
  <c r="C86" i="6" s="1"/>
  <c r="E49" i="6" l="1"/>
  <c r="G49" i="6"/>
  <c r="D86" i="6"/>
  <c r="F86" i="6"/>
  <c r="E86" i="6"/>
  <c r="E50" i="6" l="1"/>
  <c r="F49" i="6"/>
  <c r="I49" i="6" s="1"/>
  <c r="C87" i="6" s="1"/>
  <c r="E87" i="6" s="1"/>
  <c r="D87" i="6"/>
  <c r="F87" i="6"/>
  <c r="F50" i="6" l="1"/>
  <c r="E51" i="6" s="1"/>
  <c r="G50" i="6"/>
  <c r="G51" i="6"/>
  <c r="F51" i="6"/>
  <c r="I50" i="6" l="1"/>
  <c r="C88" i="6" s="1"/>
  <c r="D88" i="6" s="1"/>
  <c r="E52" i="6"/>
  <c r="I51" i="6"/>
  <c r="C89" i="6" s="1"/>
  <c r="E88" i="6" l="1"/>
  <c r="F88" i="6"/>
  <c r="D89" i="6"/>
  <c r="E89" i="6"/>
  <c r="F89" i="6"/>
  <c r="F52" i="6"/>
  <c r="I52" i="6" s="1"/>
  <c r="C90" i="6" s="1"/>
  <c r="G52" i="6"/>
  <c r="E53" i="6"/>
  <c r="D90" i="6" l="1"/>
  <c r="F90" i="6"/>
  <c r="E90" i="6"/>
  <c r="G53" i="6"/>
  <c r="F53" i="6"/>
  <c r="I53" i="6" s="1"/>
  <c r="C91" i="6" s="1"/>
  <c r="E91" i="6" l="1"/>
  <c r="D91" i="6"/>
  <c r="F91" i="6"/>
  <c r="E54" i="6"/>
  <c r="G54" i="6" l="1"/>
  <c r="F54" i="6"/>
  <c r="I54" i="6" s="1"/>
  <c r="C92" i="6" s="1"/>
  <c r="E55" i="6"/>
  <c r="F55" i="6" l="1"/>
  <c r="G55" i="6"/>
  <c r="D92" i="6"/>
  <c r="F92" i="6"/>
  <c r="E92" i="6"/>
  <c r="E56" i="6" l="1"/>
  <c r="I55" i="6"/>
  <c r="C93" i="6" s="1"/>
  <c r="E93" i="6" l="1"/>
  <c r="D93" i="6"/>
  <c r="F93" i="6"/>
  <c r="G56" i="6"/>
  <c r="F56" i="6"/>
  <c r="E57" i="6" s="1"/>
  <c r="G57" i="6" l="1"/>
  <c r="F57" i="6"/>
  <c r="E58" i="6" s="1"/>
  <c r="I56" i="6"/>
  <c r="C94" i="6" s="1"/>
  <c r="G58" i="6" l="1"/>
  <c r="F58" i="6"/>
  <c r="I58" i="6" s="1"/>
  <c r="C96" i="6" s="1"/>
  <c r="F94" i="6"/>
  <c r="D94" i="6"/>
  <c r="E94" i="6"/>
  <c r="I57" i="6"/>
  <c r="C95" i="6" s="1"/>
  <c r="D95" i="6" l="1"/>
  <c r="F95" i="6"/>
  <c r="E95" i="6"/>
  <c r="F96" i="6"/>
  <c r="D96" i="6"/>
  <c r="E96" i="6"/>
  <c r="E59" i="6"/>
  <c r="G59" i="6" l="1"/>
  <c r="F59" i="6"/>
  <c r="I59" i="6" s="1"/>
  <c r="C97" i="6" s="1"/>
  <c r="E60" i="6"/>
  <c r="G60" i="6" l="1"/>
  <c r="F60" i="6"/>
  <c r="E61" i="6" s="1"/>
  <c r="D97" i="6"/>
  <c r="F97" i="6"/>
  <c r="E97" i="6"/>
  <c r="I60" i="6" l="1"/>
  <c r="C98" i="6" s="1"/>
  <c r="F98" i="6" s="1"/>
  <c r="F61" i="6"/>
  <c r="I61" i="6" s="1"/>
  <c r="C99" i="6" s="1"/>
  <c r="G61" i="6"/>
  <c r="E98" i="6" l="1"/>
  <c r="D98" i="6"/>
  <c r="E99" i="6"/>
  <c r="D99" i="6"/>
  <c r="G64" i="6" s="1"/>
  <c r="F99" i="6"/>
  <c r="I64" i="6" s="1"/>
  <c r="H64"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<sst xmlns="http://schemas.openxmlformats.org/spreadsheetml/2006/main" count="172" uniqueCount="124">
  <si>
    <t xml:space="preserve">Year </t>
  </si>
  <si>
    <t>JAN</t>
  </si>
  <si>
    <t>FEB</t>
  </si>
  <si>
    <t>MAR</t>
  </si>
  <si>
    <t>APR</t>
  </si>
  <si>
    <t>MAY</t>
  </si>
  <si>
    <t>JUN</t>
  </si>
  <si>
    <t>JUL</t>
  </si>
  <si>
    <t>AUG</t>
  </si>
  <si>
    <t>SEP</t>
  </si>
  <si>
    <t>OCT</t>
  </si>
  <si>
    <t>NOV</t>
  </si>
  <si>
    <t>DEC</t>
  </si>
  <si>
    <t>From the plotted data it has been made clear to us that the demand follows seasonal variation because we can see that during marriage and festival seasons the demand peaks around June and July. Amongst the appropriate forecasting methods would be the time series method as the there is a trend that is visible, in this method we can do the moving average method where we analyze the definite trend visible, or/and exponential smoothing since we have the previous forecast at each stage where we can utilize Holt-Winters method to forecast the demand of the next year. Linear regression can also be used because there is a relationshio between x and y.</t>
  </si>
  <si>
    <t>2006</t>
  </si>
  <si>
    <t>2007</t>
  </si>
  <si>
    <t>2008</t>
  </si>
  <si>
    <t>2009</t>
  </si>
  <si>
    <t>2010</t>
  </si>
  <si>
    <t>Period</t>
  </si>
  <si>
    <t>Column1</t>
  </si>
  <si>
    <t>St</t>
  </si>
  <si>
    <t>MA(6)</t>
  </si>
  <si>
    <t>MA(12)</t>
  </si>
  <si>
    <t>MA(18)</t>
  </si>
  <si>
    <t>MA(24)</t>
  </si>
  <si>
    <t>et (6)</t>
  </si>
  <si>
    <t>et (12)</t>
  </si>
  <si>
    <t>et (18)</t>
  </si>
  <si>
    <t>et (24)</t>
  </si>
  <si>
    <t>MAD (12)</t>
  </si>
  <si>
    <t>MAD (6)</t>
  </si>
  <si>
    <t>MAD (18)</t>
  </si>
  <si>
    <t>MAD (24)</t>
  </si>
  <si>
    <t>𝛼</t>
  </si>
  <si>
    <t>Ft(0.1)</t>
  </si>
  <si>
    <t>Ft(0.15)</t>
  </si>
  <si>
    <t>Ft(0.2)</t>
  </si>
  <si>
    <t>Di</t>
  </si>
  <si>
    <t>𝛽</t>
  </si>
  <si>
    <t>Gt</t>
  </si>
  <si>
    <t>One step ahead</t>
  </si>
  <si>
    <t>MSE (12)</t>
  </si>
  <si>
    <t>MSE (6)</t>
  </si>
  <si>
    <t>MSE (18)</t>
  </si>
  <si>
    <t>MSE (24)</t>
  </si>
  <si>
    <t>MAPE (6)</t>
  </si>
  <si>
    <t>MAPE (12)</t>
  </si>
  <si>
    <t>MAPE (18)</t>
  </si>
  <si>
    <t>MAPE (24)</t>
  </si>
  <si>
    <t>V1</t>
  </si>
  <si>
    <t>V2</t>
  </si>
  <si>
    <t>ABS(6)</t>
  </si>
  <si>
    <t>ABS(12)</t>
  </si>
  <si>
    <t>ABS3(18)</t>
  </si>
  <si>
    <t>ABS(24)</t>
  </si>
  <si>
    <t>SQ.6</t>
  </si>
  <si>
    <t>SQ.12</t>
  </si>
  <si>
    <t>SQ.18</t>
  </si>
  <si>
    <t>SQ.24</t>
  </si>
  <si>
    <t>e/d (6)</t>
  </si>
  <si>
    <t>e/d (12)</t>
  </si>
  <si>
    <t>e/d (18)</t>
  </si>
  <si>
    <t>e/d (24)</t>
  </si>
  <si>
    <t>et (0.1)</t>
  </si>
  <si>
    <t>et (0.15)</t>
  </si>
  <si>
    <t>ABS(0.1)</t>
  </si>
  <si>
    <t>et (0.2)</t>
  </si>
  <si>
    <t>ABS(0.15)</t>
  </si>
  <si>
    <t>ABS3(0.2)</t>
  </si>
  <si>
    <t>SQ.0.1</t>
  </si>
  <si>
    <t>SQ.0.15</t>
  </si>
  <si>
    <t>SQ.0.2</t>
  </si>
  <si>
    <t>e/d (0.1)</t>
  </si>
  <si>
    <t>e/d (0.15)</t>
  </si>
  <si>
    <t>e/d (0.2)</t>
  </si>
  <si>
    <t>MAD(0.1)</t>
  </si>
  <si>
    <t>MAD(0.15)</t>
  </si>
  <si>
    <t>MAD(0.2)</t>
  </si>
  <si>
    <t>MSE(0.1)</t>
  </si>
  <si>
    <t>MSE(0.15)</t>
  </si>
  <si>
    <t>MSE(0.2)</t>
  </si>
  <si>
    <t>MAPE(0.1)</t>
  </si>
  <si>
    <t>MAPE(0.15)</t>
  </si>
  <si>
    <t>MAPE(0.2)</t>
  </si>
  <si>
    <t>Initial Parameters using Season 1 and 2</t>
  </si>
  <si>
    <t>N</t>
  </si>
  <si>
    <t>G0</t>
  </si>
  <si>
    <t>S0</t>
  </si>
  <si>
    <t>Gamma</t>
  </si>
  <si>
    <t>Alpha</t>
  </si>
  <si>
    <t>Beta</t>
  </si>
  <si>
    <t>Demand</t>
  </si>
  <si>
    <t>Month</t>
  </si>
  <si>
    <t>Period (i)</t>
  </si>
  <si>
    <t>Sum</t>
  </si>
  <si>
    <t>Sxx</t>
  </si>
  <si>
    <t>n</t>
  </si>
  <si>
    <t>Sxy</t>
  </si>
  <si>
    <t>b</t>
  </si>
  <si>
    <t>a</t>
  </si>
  <si>
    <t>t</t>
  </si>
  <si>
    <t>Dt</t>
  </si>
  <si>
    <t>et</t>
  </si>
  <si>
    <t>ABS et</t>
  </si>
  <si>
    <t>et^2</t>
  </si>
  <si>
    <t>e/d</t>
  </si>
  <si>
    <t>MAD</t>
  </si>
  <si>
    <t>MSE</t>
  </si>
  <si>
    <t>MAPE</t>
  </si>
  <si>
    <t>e^2</t>
  </si>
  <si>
    <t>ct</t>
  </si>
  <si>
    <t>ct average</t>
  </si>
  <si>
    <t>normalized ct</t>
  </si>
  <si>
    <t>periods</t>
  </si>
  <si>
    <t>Season 1</t>
  </si>
  <si>
    <t>Season 2</t>
  </si>
  <si>
    <t>Season 3</t>
  </si>
  <si>
    <t>normalized ct
from initializing 
seasons
&lt;--</t>
  </si>
  <si>
    <t>Ft</t>
  </si>
  <si>
    <t>initial ct</t>
  </si>
  <si>
    <t>Therefore, Since N=12 for MAD and MSE is the lowest, N=6 is the best forecaster</t>
  </si>
  <si>
    <t>Therefore, Alpha=0.2 is the best forecaster.</t>
  </si>
  <si>
    <t>Since the data shows a clear trend / seasonality, then I conclude that Winters method is the best, to back up my statement, all the different methods have high MAPE's, in the range of 12-20% while Winters had an MAPE of 3.95 which is significantly low. Holts has the second lowest out of all the methods however it is around 10% higher than Winters, whoch is why Winters is the best forecasting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</si>
</sst>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
      <sz val="11"/>
      <color theme="1"/>
      <name val="Arial"/>
      <family val="2"/>
    </font>
    <font>
      <sz val="11"/>
      <name val="Arial"/>
      <family val="2"/>
    </font>
    <font>
      <sz val="14"/>
      <color theme="1"/>
      <name val="Arial"/>
      <family val="2"/>
    </font>
    <font>
      <sz val="11"/>
      <color theme="1"/>
      <name val="Calibri"/>
      <family val="2"/>
      <scheme val="minor"/>
    </font>
    <font>
      <b/>
      <sz val="14"/>
      <color theme="1"/>
      <name val="Arial"/>
      <family val="2"/>
    </font>
  </fonts>
  <fills count="11">
    <fill>
      <patternFill patternType="none"/>
    </fill>
    <fill>
      <patternFill patternType="gray125"/>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theme="4" tint="0.79998168889431442"/>
        <bgColor theme="0" tint="-0.14999847407452621"/>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s>
  <borders count="10">
    <border>
      <left/>
      <right/>
      <top/>
      <bottom/>
      <diagonal/>
    </border>
    <border>
      <left/>
      <right/>
      <top style="thin">
        <color theme="1"/>
      </top>
      <bottom style="thin">
        <color theme="1"/>
      </bottom>
      <diagonal/>
    </border>
    <border>
      <left/>
      <right/>
      <top/>
      <bottom style="thin">
        <color theme="1"/>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lignment vertical="center"/>
    </xf>
    <xf numFmtId="9" fontId="7" fillId="0" borderId="0" applyFont="0" applyFill="0" applyBorder="0" applyAlignment="0" applyProtection="0"/>
  </cellStyleXfs>
  <cellXfs count="73">
    <xf numFmtId="0" fontId="0" fillId="0" borderId="0" xfId="0"/>
    <xf numFmtId="0" fontId="1" fillId="0" borderId="0" xfId="0" applyFont="1"/>
    <xf numFmtId="0" fontId="0" fillId="2" borderId="0" xfId="0" applyFill="1"/>
    <xf numFmtId="0" fontId="0" fillId="0" borderId="2" xfId="0" applyBorder="1"/>
    <xf numFmtId="17" fontId="4" fillId="0" borderId="0" xfId="1" applyNumberFormat="1" applyFont="1" applyAlignment="1"/>
    <xf numFmtId="0" fontId="5" fillId="0" borderId="0" xfId="1" applyFont="1" applyAlignment="1">
      <alignment horizontal="center"/>
    </xf>
    <xf numFmtId="0" fontId="1" fillId="0" borderId="0" xfId="1" applyFont="1" applyAlignment="1">
      <alignment horizontal="center"/>
    </xf>
    <xf numFmtId="0" fontId="1" fillId="0" borderId="1" xfId="0" applyFont="1" applyBorder="1"/>
    <xf numFmtId="0" fontId="4" fillId="0" borderId="0" xfId="1" applyFont="1" applyAlignment="1">
      <alignment horizontal="center"/>
    </xf>
    <xf numFmtId="0" fontId="1" fillId="0" borderId="1" xfId="1" applyFont="1" applyBorder="1" applyAlignment="1">
      <alignment horizontal="center"/>
    </xf>
    <xf numFmtId="17" fontId="4" fillId="2" borderId="0" xfId="1" applyNumberFormat="1" applyFont="1" applyFill="1" applyAlignment="1"/>
    <xf numFmtId="0" fontId="5" fillId="2" borderId="0" xfId="1" applyFont="1" applyFill="1" applyAlignment="1">
      <alignment horizontal="center"/>
    </xf>
    <xf numFmtId="0" fontId="4" fillId="2" borderId="0" xfId="1" applyFont="1" applyFill="1" applyAlignment="1">
      <alignment horizontal="center"/>
    </xf>
    <xf numFmtId="17" fontId="4" fillId="0" borderId="2" xfId="1" applyNumberFormat="1" applyFont="1" applyBorder="1" applyAlignment="1"/>
    <xf numFmtId="0" fontId="4" fillId="0" borderId="2" xfId="1" applyFont="1" applyBorder="1" applyAlignment="1">
      <alignment horizontal="center"/>
    </xf>
    <xf numFmtId="0" fontId="6" fillId="3" borderId="0" xfId="0" applyFont="1" applyFill="1"/>
    <xf numFmtId="0" fontId="0" fillId="0" borderId="3" xfId="0" applyBorder="1"/>
    <xf numFmtId="9" fontId="0" fillId="0" borderId="0" xfId="0" applyNumberFormat="1"/>
    <xf numFmtId="10" fontId="0" fillId="0" borderId="0" xfId="2" applyNumberFormat="1" applyFont="1"/>
    <xf numFmtId="10" fontId="0" fillId="0" borderId="0" xfId="0" applyNumberFormat="1"/>
    <xf numFmtId="0" fontId="0" fillId="0" borderId="0" xfId="0" applyAlignment="1">
      <alignment horizontal="left" vertical="top" wrapText="1"/>
    </xf>
    <xf numFmtId="17" fontId="4" fillId="4" borderId="0" xfId="1" applyNumberFormat="1" applyFont="1" applyFill="1" applyAlignment="1"/>
    <xf numFmtId="0" fontId="0" fillId="4" borderId="0" xfId="0" applyFill="1"/>
    <xf numFmtId="17" fontId="4" fillId="5" borderId="0" xfId="1" applyNumberFormat="1" applyFont="1" applyFill="1" applyAlignment="1"/>
    <xf numFmtId="0" fontId="0" fillId="5" borderId="0" xfId="0" applyFill="1"/>
    <xf numFmtId="0" fontId="1" fillId="0" borderId="0" xfId="0" applyFont="1"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4" xfId="0" applyBorder="1"/>
    <xf numFmtId="0" fontId="0" fillId="0" borderId="0" xfId="0" applyAlignment="1">
      <alignment horizontal="center" vertical="center"/>
    </xf>
    <xf numFmtId="0" fontId="0" fillId="0" borderId="0" xfId="0" applyAlignment="1">
      <alignment horizontal="center" vertical="center" wrapText="1"/>
    </xf>
    <xf numFmtId="0" fontId="0" fillId="5" borderId="4" xfId="0" applyFill="1" applyBorder="1"/>
    <xf numFmtId="0" fontId="1" fillId="5" borderId="4" xfId="0" applyFont="1" applyFill="1" applyBorder="1"/>
    <xf numFmtId="0" fontId="1" fillId="5" borderId="4" xfId="0" applyFont="1" applyFill="1" applyBorder="1" applyAlignment="1">
      <alignment horizontal="center"/>
    </xf>
    <xf numFmtId="0" fontId="0" fillId="3" borderId="0" xfId="0" applyFill="1"/>
    <xf numFmtId="0" fontId="0" fillId="3" borderId="4" xfId="0" applyFill="1" applyBorder="1"/>
    <xf numFmtId="0" fontId="1" fillId="3" borderId="4" xfId="0" applyFont="1" applyFill="1" applyBorder="1"/>
    <xf numFmtId="0" fontId="0" fillId="3" borderId="4" xfId="0" applyFill="1" applyBorder="1" applyAlignment="1">
      <alignment horizontal="center"/>
    </xf>
    <xf numFmtId="0" fontId="0" fillId="6" borderId="0" xfId="0" applyFill="1"/>
    <xf numFmtId="0" fontId="0" fillId="6" borderId="4" xfId="0" applyFill="1" applyBorder="1" applyAlignment="1">
      <alignment horizontal="center"/>
    </xf>
    <xf numFmtId="0" fontId="1" fillId="6" borderId="4" xfId="0" applyFont="1" applyFill="1" applyBorder="1"/>
    <xf numFmtId="0" fontId="0" fillId="6" borderId="4" xfId="0" applyFill="1" applyBorder="1"/>
    <xf numFmtId="0" fontId="0" fillId="7" borderId="4" xfId="0" applyFill="1" applyBorder="1"/>
    <xf numFmtId="0" fontId="1" fillId="7" borderId="4" xfId="0" applyFont="1" applyFill="1" applyBorder="1"/>
    <xf numFmtId="0" fontId="0" fillId="7" borderId="4" xfId="0" applyFill="1" applyBorder="1" applyAlignment="1">
      <alignment horizontal="center"/>
    </xf>
    <xf numFmtId="0" fontId="0" fillId="0" borderId="0" xfId="0" applyAlignment="1">
      <alignment vertical="center" wrapText="1"/>
    </xf>
    <xf numFmtId="0" fontId="0" fillId="0" borderId="0" xfId="0" applyAlignment="1">
      <alignment vertical="center"/>
    </xf>
    <xf numFmtId="0" fontId="0" fillId="8" borderId="0" xfId="0" applyFill="1"/>
    <xf numFmtId="0" fontId="0" fillId="0" borderId="0" xfId="0" applyFill="1"/>
    <xf numFmtId="0" fontId="0" fillId="0" borderId="8" xfId="0" applyBorder="1"/>
    <xf numFmtId="2" fontId="0" fillId="0" borderId="4" xfId="0" applyNumberFormat="1" applyBorder="1"/>
    <xf numFmtId="0" fontId="0" fillId="0" borderId="9" xfId="0" applyBorder="1"/>
    <xf numFmtId="0" fontId="5" fillId="2" borderId="4" xfId="1" applyFont="1" applyFill="1" applyBorder="1" applyAlignment="1">
      <alignment horizontal="center"/>
    </xf>
    <xf numFmtId="10" fontId="0" fillId="0" borderId="4" xfId="2" applyNumberFormat="1" applyFont="1" applyBorder="1"/>
    <xf numFmtId="0" fontId="5" fillId="0" borderId="4" xfId="1" applyFont="1" applyBorder="1" applyAlignment="1">
      <alignment horizontal="center"/>
    </xf>
    <xf numFmtId="0" fontId="4" fillId="2" borderId="4" xfId="1" applyFont="1" applyFill="1" applyBorder="1" applyAlignment="1">
      <alignment horizontal="center"/>
    </xf>
    <xf numFmtId="0" fontId="4" fillId="0" borderId="4" xfId="1" applyFont="1" applyBorder="1" applyAlignment="1">
      <alignment horizontal="center"/>
    </xf>
    <xf numFmtId="17" fontId="4" fillId="2" borderId="4" xfId="1" applyNumberFormat="1" applyFont="1" applyFill="1" applyBorder="1" applyAlignment="1"/>
    <xf numFmtId="0" fontId="0" fillId="2" borderId="4" xfId="0" applyFill="1" applyBorder="1"/>
    <xf numFmtId="17" fontId="4" fillId="0" borderId="4" xfId="1" applyNumberFormat="1" applyFont="1" applyBorder="1" applyAlignment="1"/>
    <xf numFmtId="0" fontId="1" fillId="7" borderId="4" xfId="1" applyFont="1" applyFill="1" applyBorder="1" applyAlignment="1">
      <alignment horizontal="center"/>
    </xf>
    <xf numFmtId="0" fontId="0" fillId="10" borderId="4" xfId="0" applyFill="1" applyBorder="1"/>
    <xf numFmtId="0" fontId="1" fillId="9" borderId="8" xfId="0" applyFont="1" applyFill="1" applyBorder="1"/>
    <xf numFmtId="0" fontId="1" fillId="9" borderId="4" xfId="0" applyFont="1" applyFill="1" applyBorder="1"/>
    <xf numFmtId="0" fontId="1" fillId="10" borderId="4" xfId="0" applyFont="1" applyFill="1" applyBorder="1"/>
    <xf numFmtId="0" fontId="8" fillId="3" borderId="0" xfId="0" applyFont="1" applyFill="1"/>
    <xf numFmtId="0" fontId="4" fillId="0" borderId="5" xfId="1" applyFont="1" applyBorder="1" applyAlignment="1">
      <alignment horizontal="center"/>
    </xf>
    <xf numFmtId="0" fontId="0" fillId="0" borderId="5" xfId="0" applyBorder="1"/>
    <xf numFmtId="10" fontId="0" fillId="0" borderId="4" xfId="0" applyNumberFormat="1" applyBorder="1"/>
    <xf numFmtId="0" fontId="1" fillId="9" borderId="4" xfId="1" applyFont="1" applyFill="1" applyBorder="1" applyAlignment="1">
      <alignment horizontal="center"/>
    </xf>
    <xf numFmtId="0" fontId="1" fillId="3" borderId="4" xfId="1" applyFont="1" applyFill="1" applyBorder="1" applyAlignment="1">
      <alignment horizontal="center"/>
    </xf>
  </cellXfs>
  <cellStyles count="3">
    <cellStyle name="Normal" xfId="0" builtinId="0"/>
    <cellStyle name="Normal 4" xfId="1" xr:uid="{30280545-1FBA-44E4-8808-00F4EF2EE3B2}"/>
    <cellStyle name="Percent" xfId="2" builtinId="5"/>
  </cellStyles>
  <dxfs count="29">
    <dxf>
      <numFmt numFmtId="0" formatCode="General"/>
    </dxf>
    <dxf>
      <numFmt numFmtId="13" formatCode="0%"/>
    </dxf>
    <dxf>
      <numFmt numFmtId="13" formatCode="0%"/>
    </dxf>
    <dxf>
      <numFmt numFmtId="14" formatCode="0.0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rial"/>
        <family val="2"/>
        <scheme val="none"/>
      </font>
      <numFmt numFmtId="22" formatCode="mmm/yy"/>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Toffee</a:t>
            </a:r>
            <a:r>
              <a:rPr lang="en-CA" baseline="0"/>
              <a:t> Inc. Demand</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'Question 1'!$C$1</c:f>
              <c:strCache>
                <c:ptCount val="1"/>
                <c:pt idx="0">
                  <c:v>2006</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'Question 1'!$B$2:$B$13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1'!$C$2:$C$13</c:f>
              <c:numCache>
                <c:formatCode>General</c:formatCode>
                <c:ptCount val="12"/>
                <c:pt idx="0">
                  <c:v>742</c:v>
                </c:pt>
                <c:pt idx="1">
                  <c:v>697</c:v>
                </c:pt>
                <c:pt idx="2">
                  <c:v>776</c:v>
                </c:pt>
                <c:pt idx="3">
                  <c:v>898</c:v>
                </c:pt>
                <c:pt idx="4">
                  <c:v>1030</c:v>
                </c:pt>
                <c:pt idx="5">
                  <c:v>1107</c:v>
                </c:pt>
                <c:pt idx="6">
                  <c:v>1165</c:v>
                </c:pt>
                <c:pt idx="7">
                  <c:v>1216</c:v>
                </c:pt>
                <c:pt idx="8">
                  <c:v>1208</c:v>
                </c:pt>
                <c:pt idx="9">
                  <c:v>1131</c:v>
                </c:pt>
                <c:pt idx="10">
                  <c:v>971</c:v>
                </c:pt>
                <c:pt idx="11">
                  <c:v>783</c:v>
                </c:pt>
              </c:numCache>
            </c:numRef>
          </c:val>
          <c:smooth val="0"/>
          <c:extLst>
            <c:ext xmlns:c16="http://schemas.microsoft.com/office/drawing/2014/chart" uri="{C3380CC4-5D6E-409C-BE32-E72D297353CC}">
              <c16:uniqueId val="{00000000-62F9-4E08-9C46-FB318E376949}"/>
            </c:ext>
          </c:extLst>
        </c:ser>
        <c:ser>
          <c:idx val="1"/>
          <c:order val="1"/>
          <c:tx>
            <c:strRef>
              <c:f>'Question 1'!$D$1</c:f>
              <c:strCache>
                <c:ptCount val="1"/>
                <c:pt idx="0">
                  <c:v>2007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'Question 1'!$B$2:$B$13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1'!$D$2:$D$13</c:f>
              <c:numCache>
                <c:formatCode>General</c:formatCode>
                <c:ptCount val="12"/>
                <c:pt idx="0">
                  <c:v>741</c:v>
                </c:pt>
                <c:pt idx="1">
                  <c:v>700</c:v>
                </c:pt>
                <c:pt idx="2">
                  <c:v>774</c:v>
                </c:pt>
                <c:pt idx="3">
                  <c:v>932</c:v>
                </c:pt>
                <c:pt idx="4">
                  <c:v>1099</c:v>
                </c:pt>
                <c:pt idx="5">
                  <c:v>1223</c:v>
                </c:pt>
                <c:pt idx="6">
                  <c:v>1290</c:v>
                </c:pt>
                <c:pt idx="7">
                  <c:v>1349</c:v>
                </c:pt>
                <c:pt idx="8">
                  <c:v>1341</c:v>
                </c:pt>
                <c:pt idx="9">
                  <c:v>1296</c:v>
                </c:pt>
                <c:pt idx="10">
                  <c:v>1066</c:v>
                </c:pt>
                <c:pt idx="11">
                  <c:v>901</c:v>
                </c:pt>
              </c:numCache>
            </c:numRef>
          </c:val>
          <c:smooth val="0"/>
          <c:extLst>
            <c:ext xmlns:c16="http://schemas.microsoft.com/office/drawing/2014/chart" uri="{C3380CC4-5D6E-409C-BE32-E72D297353CC}">
              <c16:uniqueId val="{00000001-62F9-4E08-9C46-FB318E376949}"/>
            </c:ext>
          </c:extLst>
        </c:ser>
        <c:ser>
          <c:idx val="2"/>
          <c:order val="2"/>
          <c:tx>
            <c:strRef>
              <c:f>'Question 1'!$E$1</c:f>
              <c:strCache>
                <c:ptCount val="1"/>
                <c:pt idx="0">
                  <c:v>2008</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'Question 1'!$B$2:$B$13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1'!$E$2:$E$13</c:f>
              <c:numCache>
                <c:formatCode>General</c:formatCode>
                <c:ptCount val="12"/>
                <c:pt idx="0">
                  <c:v>896</c:v>
                </c:pt>
                <c:pt idx="1">
                  <c:v>793</c:v>
                </c:pt>
                <c:pt idx="2">
                  <c:v>885</c:v>
                </c:pt>
                <c:pt idx="3">
                  <c:v>1055</c:v>
                </c:pt>
                <c:pt idx="4">
                  <c:v>1204</c:v>
                </c:pt>
                <c:pt idx="5">
                  <c:v>1326</c:v>
                </c:pt>
                <c:pt idx="6">
                  <c:v>1303</c:v>
                </c:pt>
                <c:pt idx="7">
                  <c:v>1436</c:v>
                </c:pt>
                <c:pt idx="8">
                  <c:v>1473</c:v>
                </c:pt>
                <c:pt idx="9">
                  <c:v>1453</c:v>
                </c:pt>
                <c:pt idx="10">
                  <c:v>1170</c:v>
                </c:pt>
                <c:pt idx="11">
                  <c:v>1023</c:v>
                </c:pt>
              </c:numCache>
            </c:numRef>
          </c:val>
          <c:smooth val="0"/>
          <c:extLst>
            <c:ext xmlns:c16="http://schemas.microsoft.com/office/drawing/2014/chart" uri="{C3380CC4-5D6E-409C-BE32-E72D297353CC}">
              <c16:uniqueId val="{00000002-62F9-4E08-9C46-FB318E376949}"/>
            </c:ext>
          </c:extLst>
        </c:ser>
        <c:ser>
          <c:idx val="3"/>
          <c:order val="3"/>
          <c:tx>
            <c:strRef>
              <c:f>'Question 1'!$F$1</c:f>
              <c:strCache>
                <c:ptCount val="1"/>
                <c:pt idx="0">
                  <c:v>2009</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'Question 1'!$B$2:$B$13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1'!$F$2:$F$13</c:f>
              <c:numCache>
                <c:formatCode>General</c:formatCode>
                <c:ptCount val="12"/>
                <c:pt idx="0">
                  <c:v>951</c:v>
                </c:pt>
                <c:pt idx="1">
                  <c:v>861</c:v>
                </c:pt>
                <c:pt idx="2">
                  <c:v>938</c:v>
                </c:pt>
                <c:pt idx="3">
                  <c:v>1109</c:v>
                </c:pt>
                <c:pt idx="4">
                  <c:v>1274</c:v>
                </c:pt>
                <c:pt idx="5">
                  <c:v>1422</c:v>
                </c:pt>
                <c:pt idx="6">
                  <c:v>1486</c:v>
                </c:pt>
                <c:pt idx="7">
                  <c:v>1555</c:v>
                </c:pt>
                <c:pt idx="8">
                  <c:v>1604</c:v>
                </c:pt>
                <c:pt idx="9">
                  <c:v>1600</c:v>
                </c:pt>
                <c:pt idx="10">
                  <c:v>1403</c:v>
                </c:pt>
                <c:pt idx="11">
                  <c:v>1209</c:v>
                </c:pt>
              </c:numCache>
            </c:numRef>
          </c:val>
          <c:smooth val="0"/>
          <c:extLst>
            <c:ext xmlns:c16="http://schemas.microsoft.com/office/drawing/2014/chart" uri="{C3380CC4-5D6E-409C-BE32-E72D297353CC}">
              <c16:uniqueId val="{00000003-62F9-4E08-9C46-FB318E376949}"/>
            </c:ext>
          </c:extLst>
        </c:ser>
        <c:ser>
          <c:idx val="4"/>
          <c:order val="4"/>
          <c:tx>
            <c:strRef>
              <c:f>'Question 1'!$G$1</c:f>
              <c:strCache>
                <c:ptCount val="1"/>
                <c:pt idx="0">
                  <c:v>2010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'Question 1'!$B$2:$B$13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1'!$G$2:$G$13</c:f>
              <c:numCache>
                <c:formatCode>General</c:formatCode>
                <c:ptCount val="12"/>
                <c:pt idx="0">
                  <c:v>1030</c:v>
                </c:pt>
                <c:pt idx="1">
                  <c:v>1032</c:v>
                </c:pt>
                <c:pt idx="2">
                  <c:v>1126</c:v>
                </c:pt>
                <c:pt idx="3">
                  <c:v>1285</c:v>
                </c:pt>
                <c:pt idx="4">
                  <c:v>1468</c:v>
                </c:pt>
                <c:pt idx="5">
                  <c:v>1637</c:v>
                </c:pt>
                <c:pt idx="6">
                  <c:v>1611</c:v>
                </c:pt>
                <c:pt idx="7">
                  <c:v>1608</c:v>
                </c:pt>
                <c:pt idx="8">
                  <c:v>1528</c:v>
                </c:pt>
                <c:pt idx="9">
                  <c:v>1420</c:v>
                </c:pt>
                <c:pt idx="10">
                  <c:v>1119</c:v>
                </c:pt>
                <c:pt idx="11">
                  <c:v>1013</c:v>
                </c:pt>
              </c:numCache>
            </c:numRef>
          </c:val>
          <c:smooth val="0"/>
          <c:extLst>
            <c:ext xmlns:c16="http://schemas.microsoft.com/office/drawing/2014/chart" uri="{C3380CC4-5D6E-409C-BE32-E72D297353CC}">
              <c16:uniqueId val="{00000004-62F9-4E08-9C46-FB318E376949}"/>
            </c:ext>
          </c:extLst>
        </c:ser>
        <c:dLbls>
          <c:showLegendKey val="0"/>
          <c:showVal val="0"/>
          <c:showCatName val="0"/>
          <c:showSerName val="0"/>
          <c:showPercent val="0"/>
          <c:showBubbleSize val="0"/>
        </c:dLbls>
        <c:marker val="1"/>
        <c:smooth val="0"/>
        <c:axId val="1882879744"/>
        <c:axId val="1825587744"/>
      </c:lineChart>
      <c:catAx>
        <c:axId val="188287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587744"/>
        <c:crosses val="autoZero"/>
        <c:auto val="1"/>
        <c:lblAlgn val="ctr"/>
        <c:lblOffset val="100"/>
        <c:noMultiLvlLbl val="0"/>
      </c:catAx>
      <c:valAx>
        <c:axId val="1825587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879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358806</xdr:colOff>
      <xdr:row>0</xdr:row>
      <xdr:rowOff>152400</xdr:rowOff>
    </xdr:from>
    <xdr:to>
      <xdr:col>15</xdr:col>
      <xdr:colOff>140563</xdr:colOff>
      <xdr:row>12</xdr:row>
      <xdr:rowOff>59185</xdr:rowOff>
    </xdr:to>
    <xdr:graphicFrame macro="">
      <xdr:nvGraphicFramePr>
        <xdr:cNvPr id="4" name="Chart 3">
          <a:extLst>
            <a:ext uri="{FF2B5EF4-FFF2-40B4-BE49-F238E27FC236}">
              <a16:creationId xmlns:a16="http://schemas.microsoft.com/office/drawing/2014/main" id="{2ADDFFEC-34F5-5583-2016-15A1B09AB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40066-F4CB-4806-832E-D938D3681251}" name="Table1" displayName="Table1" ref="B1:G13" totalsRowShown="0" headerRowDxfId="28">
  <autoFilter ref="B1:G13" xr:uid="{3B640066-F4CB-4806-832E-D938D3681251}"/>
  <tableColumns count="6">
    <tableColumn id="1" xr3:uid="{8DF95FF7-56B9-42E2-8125-D53546BB40A0}" name="Year " dataDxfId="27"/>
    <tableColumn id="2" xr3:uid="{DF41D5A4-AFEC-484D-8570-FF80590D1CEA}" name="2006"/>
    <tableColumn id="3" xr3:uid="{82CBF566-DF74-425F-B68B-3F4E603F523E}" name="2007"/>
    <tableColumn id="4" xr3:uid="{9A942ABF-689B-4D42-B2A6-A15883B6C3C3}" name="2008"/>
    <tableColumn id="5" xr3:uid="{538FEBDA-CDBC-4AC5-8245-650C593095CC}" name="2009"/>
    <tableColumn id="6" xr3:uid="{7F572928-C7FA-4E20-8775-5BE42251C800}" name="20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5FC1FC-7E20-4556-947C-2DEB58F706AC}" name="Table13" displayName="Table13" ref="A1:AJ61" totalsRowShown="0" headerRowDxfId="26">
  <autoFilter ref="A1:AJ61" xr:uid="{CA5FC1FC-7E20-4556-947C-2DEB58F706AC}"/>
  <tableColumns count="36">
    <tableColumn id="1" xr3:uid="{2FF4CE82-FC16-448C-8CD0-CAAF1721832C}" name="Year " dataDxfId="25"/>
    <tableColumn id="8" xr3:uid="{DE275F9C-A1E5-4200-8428-5FBFCB68B77A}" name="Period" dataDxfId="24" dataCellStyle="Normal 4"/>
    <tableColumn id="2" xr3:uid="{CE38C0AD-8977-4BF4-96E9-2A75B8E6B207}" name="Demand"/>
    <tableColumn id="10" xr3:uid="{1D7DDC0A-C110-4F62-94BB-D8459A0DB2EB}" name="MA(6)"/>
    <tableColumn id="11" xr3:uid="{606919AD-107A-4C30-8879-4236509DEF31}" name="MA(12)"/>
    <tableColumn id="12" xr3:uid="{821DFAAB-1017-4E03-A7BD-7778658AFFB7}" name="MA(18)"/>
    <tableColumn id="13" xr3:uid="{44BB45A8-BC65-4BD3-A05A-173E7368328A}" name="MA(24)"/>
    <tableColumn id="15" xr3:uid="{630A7F64-85B7-4923-AE11-0D1D9CCD3AFA}" name="Column1"/>
    <tableColumn id="16" xr3:uid="{6F9B0725-CC39-412E-AB4F-9D62E0D6702F}" name="et (6)" dataDxfId="23">
      <calculatedColumnFormula>Table13[[#This Row],[MA(6)]]-Table13[[#This Row],[Demand]]</calculatedColumnFormula>
    </tableColumn>
    <tableColumn id="17" xr3:uid="{D5BDDCE1-22AE-438E-B07F-A34EEE56BA56}" name="et (12)" dataDxfId="22">
      <calculatedColumnFormula>Table13[[#This Row],[MA(12)]]-Table13[[#This Row],[Demand]]</calculatedColumnFormula>
    </tableColumn>
    <tableColumn id="18" xr3:uid="{0107B314-17DD-428D-9241-FCE7E4FA1544}" name="et (18)" dataDxfId="21">
      <calculatedColumnFormula>Table13[[#This Row],[MA(18)]]-Table13[[#This Row],[Demand]]</calculatedColumnFormula>
    </tableColumn>
    <tableColumn id="19" xr3:uid="{F57D4210-4D12-4F90-83C0-F01DD159E4A9}" name="et (24)" dataDxfId="20">
      <calculatedColumnFormula>Table13[[#This Row],[MA(24)]]-Table13[[#This Row],[Demand]]</calculatedColumnFormula>
    </tableColumn>
    <tableColumn id="28" xr3:uid="{B007BC7D-A166-4675-90D1-75F2A1B2452C}" name="ABS(6)">
      <calculatedColumnFormula>ABS(Table13[[#This Row],[MA(6)]]-Table13[[#This Row],[Demand]])</calculatedColumnFormula>
    </tableColumn>
    <tableColumn id="27" xr3:uid="{F066FBCB-473E-4B5D-AD03-B7A4F350A12A}" name="ABS(12)">
      <calculatedColumnFormula>ABS(Table13[[#This Row],[MA(12)]]-Table13[[#This Row],[Demand]])</calculatedColumnFormula>
    </tableColumn>
    <tableColumn id="26" xr3:uid="{39D16CB6-98C2-48ED-90C8-47D5767960D8}" name="ABS3(18)">
      <calculatedColumnFormula>ABS(Table13[[#This Row],[MA(18)]]-Table13[[#This Row],[Demand]])</calculatedColumnFormula>
    </tableColumn>
    <tableColumn id="25" xr3:uid="{FAC7A929-0F03-4114-A2FC-8985CC5B2E62}" name="ABS(24)">
      <calculatedColumnFormula>ABS(Table13[[#This Row],[MA(24)]]-Table13[[#This Row],[Demand]])</calculatedColumnFormula>
    </tableColumn>
    <tableColumn id="30" xr3:uid="{C98E0307-776D-447D-875C-C718E9A29670}" name="SQ.6" dataDxfId="19">
      <calculatedColumnFormula>Table13[[#This Row],[et (6)]]^2</calculatedColumnFormula>
    </tableColumn>
    <tableColumn id="31" xr3:uid="{13285010-8465-4D97-B19C-DA5F714EC7E6}" name="SQ.12" dataDxfId="18">
      <calculatedColumnFormula>Table13[[#This Row],[et (12)]]^2</calculatedColumnFormula>
    </tableColumn>
    <tableColumn id="32" xr3:uid="{8DBC76B6-4460-45E7-8CC9-9EC610E460A2}" name="SQ.18" dataDxfId="17">
      <calculatedColumnFormula>Table13[[#This Row],[et (18)]]^2</calculatedColumnFormula>
    </tableColumn>
    <tableColumn id="29" xr3:uid="{072FDE64-D019-4482-ACB4-AD05991589EA}" name="SQ.24" dataDxfId="16">
      <calculatedColumnFormula>Table13[[#This Row],[et (24)]]^2</calculatedColumnFormula>
    </tableColumn>
    <tableColumn id="36" xr3:uid="{4CA8B8F2-B1E2-4565-B63F-EB5C460BB81B}" name="e/d (6)" dataDxfId="15">
      <calculatedColumnFormula>ABS(Table13[[#This Row],[et (6)]]/Table13[[#This Row],[Demand]])</calculatedColumnFormula>
    </tableColumn>
    <tableColumn id="35" xr3:uid="{EBB39842-48D3-4766-BFBC-B65F8A873933}" name="e/d (12)" dataDxfId="14">
      <calculatedColumnFormula>ABS(Table13[[#This Row],[et (12)]]/Table13[[#This Row],[Demand]])</calculatedColumnFormula>
    </tableColumn>
    <tableColumn id="34" xr3:uid="{CB85C63E-2DAB-450F-9A6E-E0161241C625}" name="e/d (18)" dataDxfId="13">
      <calculatedColumnFormula>ABS(Table13[[#This Row],[et (18)]]/Table13[[#This Row],[Demand]])</calculatedColumnFormula>
    </tableColumn>
    <tableColumn id="33" xr3:uid="{F7E9B6B5-0464-4DB8-A0EE-D5BC144F4ADC}" name="e/d (24)" dataDxfId="12">
      <calculatedColumnFormula>ABS(Table13[[#This Row],[et (24)]]/Table13[[#This Row],[Demand]])</calculatedColumnFormula>
    </tableColumn>
    <tableColumn id="20" xr3:uid="{2A52DE48-B526-4D35-845F-71769AEE6890}" name="MAD (6)" dataDxfId="0">
      <calculatedColumnFormula>AVERAGE(M7:M61)</calculatedColumnFormula>
    </tableColumn>
    <tableColumn id="21" xr3:uid="{77C724FC-6745-4D54-8BBF-F3C5EC65E28C}" name="MAD (12)" dataDxfId="11">
      <calculatedColumnFormula>AVERAGE(N13:N61)</calculatedColumnFormula>
    </tableColumn>
    <tableColumn id="22" xr3:uid="{BAAEEAA5-491F-448A-B45A-FDFA7716E129}" name="MAD (18)" dataDxfId="10">
      <calculatedColumnFormula>AVERAGE(O19:O61)</calculatedColumnFormula>
    </tableColumn>
    <tableColumn id="23" xr3:uid="{5BDE4A64-AB0F-4CA5-86DC-65AF8BD30BAD}" name="MAD (24)" dataDxfId="9">
      <calculatedColumnFormula>AVERAGE(P25:P61)</calculatedColumnFormula>
    </tableColumn>
    <tableColumn id="24" xr3:uid="{A44938A4-D712-4D5D-A1FA-16CC25ECF7DC}" name="MSE (6)" dataDxfId="8">
      <calculatedColumnFormula>AVERAGE(Q7:Q61)</calculatedColumnFormula>
    </tableColumn>
    <tableColumn id="3" xr3:uid="{1FEC332E-785E-42DE-818F-4AA54D430F75}" name="MSE (12)" dataDxfId="7">
      <calculatedColumnFormula>AVERAGE(R13:R61)</calculatedColumnFormula>
    </tableColumn>
    <tableColumn id="4" xr3:uid="{1D2C81D5-940B-4CBF-8E36-358CD474E354}" name="MSE (18)" dataDxfId="6">
      <calculatedColumnFormula>AVERAGE(S19:S61)</calculatedColumnFormula>
    </tableColumn>
    <tableColumn id="5" xr3:uid="{4521D9FE-D572-4D5A-82D6-52E333D5C47F}" name="MSE (24)" dataDxfId="5">
      <calculatedColumnFormula>AVERAGE(T25:T61)</calculatedColumnFormula>
    </tableColumn>
    <tableColumn id="6" xr3:uid="{ED4AE0E4-A0B0-45AE-A17C-E01EC10FD722}" name="MAPE (6)" dataDxfId="4">
      <calculatedColumnFormula>AVERAGE(U7:U61)</calculatedColumnFormula>
    </tableColumn>
    <tableColumn id="7" xr3:uid="{B1E01D49-1BA0-434E-A2FE-DADA4D0DB609}" name="MAPE (12)" dataDxfId="3">
      <calculatedColumnFormula>AVERAGE(V13:V61)</calculatedColumnFormula>
    </tableColumn>
    <tableColumn id="9" xr3:uid="{E6A4F6B0-BFBD-49C1-B0A8-CFED984641A6}" name="MAPE (18)" dataDxfId="2">
      <calculatedColumnFormula>AVERAGE(W19:W61)</calculatedColumnFormula>
    </tableColumn>
    <tableColumn id="14" xr3:uid="{5447F380-8AEF-4CBB-9ADE-0B20E6B1D5A7}" name="MAPE (24)" dataDxfId="1">
      <calculatedColumnFormula>AVERAGE(X25:X61)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D0743-F7E3-4A19-A4F6-54644FB70B86}">
  <dimension ref="B1:O15"/>
  <sheetViews>
    <sheetView tabSelected="1" zoomScale="92" workbookViewId="0">
      <selection activeCell="C2" sqref="C2"/>
    </sheetView>
  </sheetViews>
  <sheetFormatPr defaultRowHeight="14.4" x14ac:dyDescent="0.3"/>
  <sheetData>
    <row r="1" spans="2:15" x14ac:dyDescent="0.3">
      <c r="B1" s="1" t="s">
        <v>0</v>
      </c>
      <c r="C1" s="1" t="s">
        <v>14</v>
      </c>
      <c r="D1" s="1" t="s">
        <v>15</v>
      </c>
      <c r="E1" s="1" t="s">
        <v>16</v>
      </c>
      <c r="F1" s="1" t="s">
        <v>17</v>
      </c>
      <c r="G1" s="1" t="s">
        <v>18</v>
      </c>
    </row>
    <row r="2" spans="2:15" x14ac:dyDescent="0.3">
      <c r="B2" s="1" t="s">
        <v>1</v>
      </c>
      <c r="C2">
        <v>742</v>
      </c>
      <c r="D2">
        <v>741</v>
      </c>
      <c r="E2">
        <v>896</v>
      </c>
      <c r="F2">
        <v>951</v>
      </c>
      <c r="G2">
        <v>1030</v>
      </c>
    </row>
    <row r="3" spans="2:15" x14ac:dyDescent="0.3">
      <c r="B3" s="1" t="s">
        <v>2</v>
      </c>
      <c r="C3">
        <v>697</v>
      </c>
      <c r="D3">
        <v>700</v>
      </c>
      <c r="E3">
        <v>793</v>
      </c>
      <c r="F3">
        <v>861</v>
      </c>
      <c r="G3">
        <v>1032</v>
      </c>
    </row>
    <row r="4" spans="2:15" x14ac:dyDescent="0.3">
      <c r="B4" s="1" t="s">
        <v>3</v>
      </c>
      <c r="C4">
        <v>776</v>
      </c>
      <c r="D4">
        <v>774</v>
      </c>
      <c r="E4">
        <v>885</v>
      </c>
      <c r="F4">
        <v>938</v>
      </c>
      <c r="G4">
        <v>1126</v>
      </c>
    </row>
    <row r="5" spans="2:15" x14ac:dyDescent="0.3">
      <c r="B5" s="1" t="s">
        <v>4</v>
      </c>
      <c r="C5">
        <v>898</v>
      </c>
      <c r="D5">
        <v>932</v>
      </c>
      <c r="E5">
        <v>1055</v>
      </c>
      <c r="F5">
        <v>1109</v>
      </c>
      <c r="G5">
        <v>1285</v>
      </c>
    </row>
    <row r="6" spans="2:15" x14ac:dyDescent="0.3">
      <c r="B6" s="1" t="s">
        <v>5</v>
      </c>
      <c r="C6">
        <v>1030</v>
      </c>
      <c r="D6">
        <v>1099</v>
      </c>
      <c r="E6">
        <v>1204</v>
      </c>
      <c r="F6">
        <v>1274</v>
      </c>
      <c r="G6">
        <v>1468</v>
      </c>
    </row>
    <row r="7" spans="2:15" x14ac:dyDescent="0.3">
      <c r="B7" s="1" t="s">
        <v>6</v>
      </c>
      <c r="C7">
        <v>1107</v>
      </c>
      <c r="D7">
        <v>1223</v>
      </c>
      <c r="E7">
        <v>1326</v>
      </c>
      <c r="F7">
        <v>1422</v>
      </c>
      <c r="G7">
        <v>1637</v>
      </c>
    </row>
    <row r="8" spans="2:15" x14ac:dyDescent="0.3">
      <c r="B8" s="1" t="s">
        <v>7</v>
      </c>
      <c r="C8">
        <v>1165</v>
      </c>
      <c r="D8">
        <v>1290</v>
      </c>
      <c r="E8">
        <v>1303</v>
      </c>
      <c r="F8">
        <v>1486</v>
      </c>
      <c r="G8">
        <v>1611</v>
      </c>
    </row>
    <row r="9" spans="2:15" x14ac:dyDescent="0.3">
      <c r="B9" s="1" t="s">
        <v>8</v>
      </c>
      <c r="C9">
        <v>1216</v>
      </c>
      <c r="D9">
        <v>1349</v>
      </c>
      <c r="E9">
        <v>1436</v>
      </c>
      <c r="F9">
        <v>1555</v>
      </c>
      <c r="G9">
        <v>1608</v>
      </c>
    </row>
    <row r="10" spans="2:15" x14ac:dyDescent="0.3">
      <c r="B10" s="1" t="s">
        <v>9</v>
      </c>
      <c r="C10">
        <v>1208</v>
      </c>
      <c r="D10">
        <v>1341</v>
      </c>
      <c r="E10">
        <v>1473</v>
      </c>
      <c r="F10">
        <v>1604</v>
      </c>
      <c r="G10">
        <v>1528</v>
      </c>
    </row>
    <row r="11" spans="2:15" x14ac:dyDescent="0.3">
      <c r="B11" s="1" t="s">
        <v>10</v>
      </c>
      <c r="C11">
        <v>1131</v>
      </c>
      <c r="D11">
        <v>1296</v>
      </c>
      <c r="E11">
        <v>1453</v>
      </c>
      <c r="F11">
        <v>1600</v>
      </c>
      <c r="G11">
        <v>1420</v>
      </c>
    </row>
    <row r="12" spans="2:15" x14ac:dyDescent="0.3">
      <c r="B12" s="1" t="s">
        <v>11</v>
      </c>
      <c r="C12">
        <v>971</v>
      </c>
      <c r="D12">
        <v>1066</v>
      </c>
      <c r="E12">
        <v>1170</v>
      </c>
      <c r="F12">
        <v>1403</v>
      </c>
      <c r="G12">
        <v>1119</v>
      </c>
    </row>
    <row r="13" spans="2:15" x14ac:dyDescent="0.3">
      <c r="B13" s="1" t="s">
        <v>12</v>
      </c>
      <c r="C13">
        <v>783</v>
      </c>
      <c r="D13">
        <v>901</v>
      </c>
      <c r="E13">
        <v>1023</v>
      </c>
      <c r="F13">
        <v>1209</v>
      </c>
      <c r="G13">
        <v>1013</v>
      </c>
    </row>
    <row r="15" spans="2:15" ht="79.2" customHeight="1" x14ac:dyDescent="0.3">
      <c r="B15" s="20" t="s">
        <v>13</v>
      </c>
      <c r="C15" s="20"/>
      <c r="D15" s="20"/>
      <c r="E15" s="20"/>
      <c r="F15" s="20"/>
      <c r="G15" s="20"/>
      <c r="H15" s="20"/>
      <c r="I15" s="20"/>
      <c r="J15" s="20"/>
      <c r="K15" s="20"/>
      <c r="L15" s="20"/>
      <c r="M15" s="20"/>
      <c r="N15" s="20"/>
      <c r="O15" s="20"/>
    </row>
  </sheetData>
  <mergeCells count="1">
    <mergeCell ref="B15:O15"/>
  </mergeCells>
  <phoneticPr fontId="2"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C53B-3B38-4C29-B79B-F62187E5E8D4}">
  <dimension ref="A1:AJ61"/>
  <sheetViews>
    <sheetView zoomScale="42" zoomScaleNormal="76" workbookViewId="0">
      <selection activeCell="E15" sqref="E15"/>
    </sheetView>
  </sheetViews>
  <sheetFormatPr defaultRowHeight="14.4" x14ac:dyDescent="0.3"/>
  <cols>
    <col min="2" max="2" width="11.21875" customWidth="1"/>
    <col min="8" max="8" width="0.44140625" customWidth="1"/>
    <col min="25" max="25" width="10.44140625" customWidth="1"/>
    <col min="26" max="26" width="11.5546875" customWidth="1"/>
    <col min="27" max="27" width="11.88671875" customWidth="1"/>
    <col min="28" max="28" width="11.109375" customWidth="1"/>
    <col min="29" max="29" width="11" customWidth="1"/>
    <col min="30" max="30" width="9.88671875" customWidth="1"/>
    <col min="31" max="31" width="11" customWidth="1"/>
    <col min="32" max="32" width="10.33203125" customWidth="1"/>
    <col min="33" max="33" width="10.6640625" customWidth="1"/>
    <col min="34" max="34" width="11.77734375" customWidth="1"/>
    <col min="35" max="35" width="10.88671875" customWidth="1"/>
    <col min="36" max="36" width="10.5546875" customWidth="1"/>
  </cols>
  <sheetData>
    <row r="1" spans="1:36" x14ac:dyDescent="0.3">
      <c r="A1" s="1" t="s">
        <v>0</v>
      </c>
      <c r="B1" s="6" t="s">
        <v>19</v>
      </c>
      <c r="C1" s="1" t="s">
        <v>92</v>
      </c>
      <c r="D1" s="1" t="s">
        <v>22</v>
      </c>
      <c r="E1" s="1" t="s">
        <v>23</v>
      </c>
      <c r="F1" s="1" t="s">
        <v>24</v>
      </c>
      <c r="G1" s="1" t="s">
        <v>25</v>
      </c>
      <c r="H1" s="1" t="s">
        <v>20</v>
      </c>
      <c r="I1" s="1" t="s">
        <v>26</v>
      </c>
      <c r="J1" s="1" t="s">
        <v>27</v>
      </c>
      <c r="K1" s="1" t="s">
        <v>28</v>
      </c>
      <c r="L1" s="1" t="s">
        <v>29</v>
      </c>
      <c r="M1" s="1" t="s">
        <v>52</v>
      </c>
      <c r="N1" s="1" t="s">
        <v>53</v>
      </c>
      <c r="O1" s="1" t="s">
        <v>54</v>
      </c>
      <c r="P1" s="1" t="s">
        <v>55</v>
      </c>
      <c r="Q1" s="1" t="s">
        <v>56</v>
      </c>
      <c r="R1" s="1" t="s">
        <v>57</v>
      </c>
      <c r="S1" s="1" t="s">
        <v>58</v>
      </c>
      <c r="T1" s="1" t="s">
        <v>59</v>
      </c>
      <c r="U1" s="1" t="s">
        <v>60</v>
      </c>
      <c r="V1" s="1" t="s">
        <v>61</v>
      </c>
      <c r="W1" s="1" t="s">
        <v>62</v>
      </c>
      <c r="X1" s="1" t="s">
        <v>63</v>
      </c>
      <c r="Y1" s="1" t="s">
        <v>31</v>
      </c>
      <c r="Z1" s="1" t="s">
        <v>30</v>
      </c>
      <c r="AA1" s="1" t="s">
        <v>32</v>
      </c>
      <c r="AB1" s="1" t="s">
        <v>33</v>
      </c>
      <c r="AC1" s="1" t="s">
        <v>43</v>
      </c>
      <c r="AD1" s="1" t="s">
        <v>42</v>
      </c>
      <c r="AE1" s="1" t="s">
        <v>44</v>
      </c>
      <c r="AF1" s="1" t="s">
        <v>45</v>
      </c>
      <c r="AG1" s="1" t="s">
        <v>46</v>
      </c>
      <c r="AH1" s="1" t="s">
        <v>47</v>
      </c>
      <c r="AI1" s="1" t="s">
        <v>48</v>
      </c>
      <c r="AJ1" s="1" t="s">
        <v>49</v>
      </c>
    </row>
    <row r="2" spans="1:36" x14ac:dyDescent="0.3">
      <c r="A2" s="4">
        <v>38718</v>
      </c>
      <c r="B2" s="5">
        <v>1</v>
      </c>
      <c r="C2">
        <v>742</v>
      </c>
      <c r="Y2">
        <f t="shared" ref="Y2:Y33" si="0">AVERAGE(M7:M61)</f>
        <v>265.54938271604931</v>
      </c>
      <c r="Z2">
        <f t="shared" ref="Z2" si="1">AVERAGE(N13:N61)</f>
        <v>207.23611111111111</v>
      </c>
      <c r="AA2">
        <f t="shared" ref="AA2" si="2">AVERAGE(O19:O61)</f>
        <v>231.07010582010588</v>
      </c>
      <c r="AB2">
        <f t="shared" ref="AB2" si="3">AVERAGE(P25:P61)</f>
        <v>219.05902777777774</v>
      </c>
      <c r="AC2">
        <f t="shared" ref="AC2" si="4">AVERAGE(Q7:Q61)</f>
        <v>84161.939300411541</v>
      </c>
      <c r="AD2">
        <f t="shared" ref="AD2" si="5">AVERAGE(R13:R61)</f>
        <v>53257.287615740737</v>
      </c>
      <c r="AE2">
        <f t="shared" ref="AE2" si="6">AVERAGE(S19:S61)</f>
        <v>66555.865446796</v>
      </c>
      <c r="AF2">
        <f t="shared" ref="AF2" si="7">AVERAGE(T25:T61)</f>
        <v>62098.137876157401</v>
      </c>
      <c r="AG2" s="18">
        <f t="shared" ref="AG2" si="8">AVERAGE(U7:U61)</f>
        <v>0.23519911162278684</v>
      </c>
      <c r="AH2" s="18">
        <f t="shared" ref="AH2" si="9">AVERAGE(V13:V61)</f>
        <v>0.17772842742284525</v>
      </c>
      <c r="AI2" s="18">
        <f t="shared" ref="AI2" si="10">AVERAGE(W19:W61)</f>
        <v>0.18559505578663579</v>
      </c>
      <c r="AJ2" s="18">
        <f t="shared" ref="AJ2" si="11">AVERAGE(X25:X61)</f>
        <v>0.17138610059684292</v>
      </c>
    </row>
    <row r="3" spans="1:36" x14ac:dyDescent="0.3">
      <c r="A3" s="4">
        <v>38749</v>
      </c>
      <c r="B3" s="5">
        <v>2</v>
      </c>
      <c r="C3">
        <v>697</v>
      </c>
      <c r="AG3" s="17"/>
      <c r="AH3" s="19"/>
      <c r="AI3" s="17"/>
      <c r="AJ3" s="17"/>
    </row>
    <row r="4" spans="1:36" x14ac:dyDescent="0.3">
      <c r="A4" s="4">
        <v>38777</v>
      </c>
      <c r="B4" s="8">
        <v>3</v>
      </c>
      <c r="C4">
        <v>776</v>
      </c>
      <c r="AA4" t="s">
        <v>121</v>
      </c>
      <c r="AG4" s="17"/>
      <c r="AH4" s="19"/>
      <c r="AI4" s="17"/>
      <c r="AJ4" s="17"/>
    </row>
    <row r="5" spans="1:36" x14ac:dyDescent="0.3">
      <c r="A5" s="4">
        <v>38808</v>
      </c>
      <c r="B5" s="8">
        <v>4</v>
      </c>
      <c r="C5">
        <v>898</v>
      </c>
      <c r="AG5" s="17"/>
      <c r="AH5" s="19"/>
      <c r="AI5" s="17"/>
      <c r="AJ5" s="17"/>
    </row>
    <row r="6" spans="1:36" x14ac:dyDescent="0.3">
      <c r="A6" s="4">
        <v>38838</v>
      </c>
      <c r="B6" s="8">
        <v>5</v>
      </c>
      <c r="C6">
        <v>1030</v>
      </c>
      <c r="AG6" s="17"/>
      <c r="AH6" s="19"/>
      <c r="AI6" s="17"/>
      <c r="AJ6" s="17"/>
    </row>
    <row r="7" spans="1:36" x14ac:dyDescent="0.3">
      <c r="A7" s="4">
        <v>38869</v>
      </c>
      <c r="B7" s="8">
        <v>6</v>
      </c>
      <c r="C7">
        <v>1107</v>
      </c>
      <c r="AG7" s="17"/>
      <c r="AH7" s="19"/>
      <c r="AI7" s="17"/>
      <c r="AJ7" s="17"/>
    </row>
    <row r="8" spans="1:36" x14ac:dyDescent="0.3">
      <c r="A8" s="4">
        <v>38899</v>
      </c>
      <c r="B8" s="8">
        <v>7</v>
      </c>
      <c r="C8">
        <v>1165</v>
      </c>
      <c r="D8">
        <f>AVERAGE(C2:C7)</f>
        <v>875</v>
      </c>
      <c r="I8">
        <f>Table13[[#This Row],[MA(6)]]-Table13[[#This Row],[Demand]]</f>
        <v>-290</v>
      </c>
      <c r="M8">
        <f>ABS(Table13[[#This Row],[MA(6)]]-Table13[[#This Row],[Demand]])</f>
        <v>290</v>
      </c>
      <c r="Q8">
        <f>Table13[[#This Row],[et (6)]]^2</f>
        <v>84100</v>
      </c>
      <c r="U8">
        <f>ABS(Table13[[#This Row],[et (6)]]/Table13[[#This Row],[Demand]])</f>
        <v>0.24892703862660945</v>
      </c>
      <c r="AG8" s="17"/>
      <c r="AH8" s="19"/>
      <c r="AI8" s="17"/>
      <c r="AJ8" s="17"/>
    </row>
    <row r="9" spans="1:36" x14ac:dyDescent="0.3">
      <c r="A9" s="4">
        <v>38930</v>
      </c>
      <c r="B9" s="8">
        <v>8</v>
      </c>
      <c r="C9">
        <v>1216</v>
      </c>
      <c r="D9">
        <f t="shared" ref="D9:D61" si="12">AVERAGE(C3:C8)</f>
        <v>945.5</v>
      </c>
      <c r="I9">
        <f>Table13[[#This Row],[MA(6)]]-Table13[[#This Row],[Demand]]</f>
        <v>-270.5</v>
      </c>
      <c r="M9">
        <f>ABS(Table13[[#This Row],[MA(6)]]-Table13[[#This Row],[Demand]])</f>
        <v>270.5</v>
      </c>
      <c r="Q9">
        <f>Table13[[#This Row],[et (6)]]^2</f>
        <v>73170.25</v>
      </c>
      <c r="U9">
        <f>ABS(Table13[[#This Row],[et (6)]]/Table13[[#This Row],[Demand]])</f>
        <v>0.22245065789473684</v>
      </c>
      <c r="AG9" s="17"/>
      <c r="AH9" s="19"/>
      <c r="AI9" s="17"/>
      <c r="AJ9" s="17"/>
    </row>
    <row r="10" spans="1:36" x14ac:dyDescent="0.3">
      <c r="A10" s="4">
        <v>38961</v>
      </c>
      <c r="B10" s="8">
        <v>9</v>
      </c>
      <c r="C10">
        <v>1208</v>
      </c>
      <c r="D10">
        <f t="shared" si="12"/>
        <v>1032</v>
      </c>
      <c r="I10">
        <f>Table13[[#This Row],[MA(6)]]-Table13[[#This Row],[Demand]]</f>
        <v>-176</v>
      </c>
      <c r="M10">
        <f>ABS(Table13[[#This Row],[MA(6)]]-Table13[[#This Row],[Demand]])</f>
        <v>176</v>
      </c>
      <c r="Q10">
        <f>Table13[[#This Row],[et (6)]]^2</f>
        <v>30976</v>
      </c>
      <c r="U10">
        <f>ABS(Table13[[#This Row],[et (6)]]/Table13[[#This Row],[Demand]])</f>
        <v>0.14569536423841059</v>
      </c>
      <c r="AG10" s="17"/>
      <c r="AH10" s="19"/>
      <c r="AI10" s="17"/>
      <c r="AJ10" s="17"/>
    </row>
    <row r="11" spans="1:36" x14ac:dyDescent="0.3">
      <c r="A11" s="4">
        <v>38991</v>
      </c>
      <c r="B11" s="8">
        <v>10</v>
      </c>
      <c r="C11">
        <v>1131</v>
      </c>
      <c r="D11">
        <f t="shared" si="12"/>
        <v>1104</v>
      </c>
      <c r="I11">
        <f>Table13[[#This Row],[MA(6)]]-Table13[[#This Row],[Demand]]</f>
        <v>-27</v>
      </c>
      <c r="M11">
        <f>ABS(Table13[[#This Row],[MA(6)]]-Table13[[#This Row],[Demand]])</f>
        <v>27</v>
      </c>
      <c r="Q11">
        <f>Table13[[#This Row],[et (6)]]^2</f>
        <v>729</v>
      </c>
      <c r="U11">
        <f>ABS(Table13[[#This Row],[et (6)]]/Table13[[#This Row],[Demand]])</f>
        <v>2.3872679045092837E-2</v>
      </c>
      <c r="AG11" s="17"/>
      <c r="AH11" s="19"/>
      <c r="AI11" s="17"/>
      <c r="AJ11" s="17"/>
    </row>
    <row r="12" spans="1:36" x14ac:dyDescent="0.3">
      <c r="A12" s="4">
        <v>39022</v>
      </c>
      <c r="B12" s="8">
        <v>11</v>
      </c>
      <c r="C12">
        <v>971</v>
      </c>
      <c r="D12">
        <f t="shared" si="12"/>
        <v>1142.8333333333333</v>
      </c>
      <c r="I12">
        <f>Table13[[#This Row],[MA(6)]]-Table13[[#This Row],[Demand]]</f>
        <v>171.83333333333326</v>
      </c>
      <c r="M12">
        <f>ABS(Table13[[#This Row],[MA(6)]]-Table13[[#This Row],[Demand]])</f>
        <v>171.83333333333326</v>
      </c>
      <c r="Q12">
        <f>Table13[[#This Row],[et (6)]]^2</f>
        <v>29526.69444444442</v>
      </c>
      <c r="U12">
        <f>ABS(Table13[[#This Row],[et (6)]]/Table13[[#This Row],[Demand]])</f>
        <v>0.17696532784071398</v>
      </c>
      <c r="AG12" s="17"/>
      <c r="AH12" s="19"/>
      <c r="AI12" s="17"/>
      <c r="AJ12" s="17"/>
    </row>
    <row r="13" spans="1:36" x14ac:dyDescent="0.3">
      <c r="A13" s="4">
        <v>39052</v>
      </c>
      <c r="B13" s="8">
        <v>12</v>
      </c>
      <c r="C13">
        <v>783</v>
      </c>
      <c r="D13">
        <f t="shared" si="12"/>
        <v>1133</v>
      </c>
      <c r="I13">
        <f>Table13[[#This Row],[MA(6)]]-Table13[[#This Row],[Demand]]</f>
        <v>350</v>
      </c>
      <c r="M13">
        <f>ABS(Table13[[#This Row],[MA(6)]]-Table13[[#This Row],[Demand]])</f>
        <v>350</v>
      </c>
      <c r="Q13">
        <f>Table13[[#This Row],[et (6)]]^2</f>
        <v>122500</v>
      </c>
      <c r="U13">
        <f>ABS(Table13[[#This Row],[et (6)]]/Table13[[#This Row],[Demand]])</f>
        <v>0.44699872286079184</v>
      </c>
      <c r="AG13" s="17"/>
      <c r="AH13" s="19"/>
      <c r="AI13" s="17"/>
      <c r="AJ13" s="17"/>
    </row>
    <row r="14" spans="1:36" x14ac:dyDescent="0.3">
      <c r="A14" s="4">
        <v>39083</v>
      </c>
      <c r="B14" s="8">
        <v>13</v>
      </c>
      <c r="C14">
        <v>741</v>
      </c>
      <c r="D14">
        <f t="shared" si="12"/>
        <v>1079</v>
      </c>
      <c r="E14">
        <f>AVERAGE(C2:C13)</f>
        <v>977</v>
      </c>
      <c r="I14">
        <f>Table13[[#This Row],[MA(6)]]-Table13[[#This Row],[Demand]]</f>
        <v>338</v>
      </c>
      <c r="J14">
        <f>Table13[[#This Row],[MA(12)]]-Table13[[#This Row],[Demand]]</f>
        <v>236</v>
      </c>
      <c r="M14">
        <f>ABS(Table13[[#This Row],[MA(6)]]-Table13[[#This Row],[Demand]])</f>
        <v>338</v>
      </c>
      <c r="N14">
        <f>ABS(Table13[[#This Row],[MA(12)]]-Table13[[#This Row],[Demand]])</f>
        <v>236</v>
      </c>
      <c r="Q14">
        <f>Table13[[#This Row],[et (6)]]^2</f>
        <v>114244</v>
      </c>
      <c r="R14">
        <f>Table13[[#This Row],[et (12)]]^2</f>
        <v>55696</v>
      </c>
      <c r="U14">
        <f>ABS(Table13[[#This Row],[et (6)]]/Table13[[#This Row],[Demand]])</f>
        <v>0.45614035087719296</v>
      </c>
      <c r="V14">
        <f>ABS(Table13[[#This Row],[et (12)]]/Table13[[#This Row],[Demand]])</f>
        <v>0.31848852901484481</v>
      </c>
      <c r="AG14" s="17"/>
      <c r="AH14" s="19"/>
      <c r="AI14" s="17"/>
      <c r="AJ14" s="17"/>
    </row>
    <row r="15" spans="1:36" x14ac:dyDescent="0.3">
      <c r="A15" s="4">
        <v>39114</v>
      </c>
      <c r="B15" s="8">
        <v>14</v>
      </c>
      <c r="C15">
        <v>700</v>
      </c>
      <c r="D15">
        <f t="shared" si="12"/>
        <v>1008.3333333333334</v>
      </c>
      <c r="E15">
        <f t="shared" ref="E15:E61" si="13">AVERAGE(C3:C14)</f>
        <v>976.91666666666663</v>
      </c>
      <c r="I15">
        <f>Table13[[#This Row],[MA(6)]]-Table13[[#This Row],[Demand]]</f>
        <v>308.33333333333337</v>
      </c>
      <c r="J15">
        <f>Table13[[#This Row],[MA(12)]]-Table13[[#This Row],[Demand]]</f>
        <v>276.91666666666663</v>
      </c>
      <c r="M15">
        <f>ABS(Table13[[#This Row],[MA(6)]]-Table13[[#This Row],[Demand]])</f>
        <v>308.33333333333337</v>
      </c>
      <c r="N15">
        <f>ABS(Table13[[#This Row],[MA(12)]]-Table13[[#This Row],[Demand]])</f>
        <v>276.91666666666663</v>
      </c>
      <c r="Q15">
        <f>Table13[[#This Row],[et (6)]]^2</f>
        <v>95069.444444444467</v>
      </c>
      <c r="R15">
        <f>Table13[[#This Row],[et (12)]]^2</f>
        <v>76682.840277777752</v>
      </c>
      <c r="U15">
        <f>ABS(Table13[[#This Row],[et (6)]]/Table13[[#This Row],[Demand]])</f>
        <v>0.44047619047619052</v>
      </c>
      <c r="V15">
        <f>ABS(Table13[[#This Row],[et (12)]]/Table13[[#This Row],[Demand]])</f>
        <v>0.39559523809523806</v>
      </c>
      <c r="AG15" s="17"/>
      <c r="AH15" s="19"/>
      <c r="AI15" s="17"/>
      <c r="AJ15" s="17"/>
    </row>
    <row r="16" spans="1:36" x14ac:dyDescent="0.3">
      <c r="A16" s="4">
        <v>39142</v>
      </c>
      <c r="B16" s="8">
        <v>15</v>
      </c>
      <c r="C16">
        <v>774</v>
      </c>
      <c r="D16">
        <f t="shared" si="12"/>
        <v>922.33333333333337</v>
      </c>
      <c r="E16">
        <f t="shared" si="13"/>
        <v>977.16666666666663</v>
      </c>
      <c r="I16">
        <f>Table13[[#This Row],[MA(6)]]-Table13[[#This Row],[Demand]]</f>
        <v>148.33333333333337</v>
      </c>
      <c r="J16">
        <f>Table13[[#This Row],[MA(12)]]-Table13[[#This Row],[Demand]]</f>
        <v>203.16666666666663</v>
      </c>
      <c r="M16">
        <f>ABS(Table13[[#This Row],[MA(6)]]-Table13[[#This Row],[Demand]])</f>
        <v>148.33333333333337</v>
      </c>
      <c r="N16">
        <f>ABS(Table13[[#This Row],[MA(12)]]-Table13[[#This Row],[Demand]])</f>
        <v>203.16666666666663</v>
      </c>
      <c r="Q16">
        <f>Table13[[#This Row],[et (6)]]^2</f>
        <v>22002.777777777788</v>
      </c>
      <c r="R16">
        <f>Table13[[#This Row],[et (12)]]^2</f>
        <v>41276.694444444431</v>
      </c>
      <c r="U16">
        <f>ABS(Table13[[#This Row],[et (6)]]/Table13[[#This Row],[Demand]])</f>
        <v>0.19164513350559867</v>
      </c>
      <c r="V16">
        <f>ABS(Table13[[#This Row],[et (12)]]/Table13[[#This Row],[Demand]])</f>
        <v>0.26248923341946595</v>
      </c>
      <c r="AG16" s="17"/>
      <c r="AH16" s="19"/>
      <c r="AI16" s="17"/>
      <c r="AJ16" s="17"/>
    </row>
    <row r="17" spans="1:36" x14ac:dyDescent="0.3">
      <c r="A17" s="4">
        <v>39173</v>
      </c>
      <c r="B17" s="8">
        <v>16</v>
      </c>
      <c r="C17">
        <v>932</v>
      </c>
      <c r="D17">
        <f t="shared" si="12"/>
        <v>850</v>
      </c>
      <c r="E17">
        <f t="shared" si="13"/>
        <v>977</v>
      </c>
      <c r="I17">
        <f>Table13[[#This Row],[MA(6)]]-Table13[[#This Row],[Demand]]</f>
        <v>-82</v>
      </c>
      <c r="J17">
        <f>Table13[[#This Row],[MA(12)]]-Table13[[#This Row],[Demand]]</f>
        <v>45</v>
      </c>
      <c r="M17">
        <f>ABS(Table13[[#This Row],[MA(6)]]-Table13[[#This Row],[Demand]])</f>
        <v>82</v>
      </c>
      <c r="N17">
        <f>ABS(Table13[[#This Row],[MA(12)]]-Table13[[#This Row],[Demand]])</f>
        <v>45</v>
      </c>
      <c r="Q17">
        <f>Table13[[#This Row],[et (6)]]^2</f>
        <v>6724</v>
      </c>
      <c r="R17">
        <f>Table13[[#This Row],[et (12)]]^2</f>
        <v>2025</v>
      </c>
      <c r="U17">
        <f>ABS(Table13[[#This Row],[et (6)]]/Table13[[#This Row],[Demand]])</f>
        <v>8.7982832618025753E-2</v>
      </c>
      <c r="V17">
        <f>ABS(Table13[[#This Row],[et (12)]]/Table13[[#This Row],[Demand]])</f>
        <v>4.8283261802575105E-2</v>
      </c>
      <c r="AG17" s="17"/>
      <c r="AH17" s="19"/>
      <c r="AI17" s="17"/>
      <c r="AJ17" s="17"/>
    </row>
    <row r="18" spans="1:36" x14ac:dyDescent="0.3">
      <c r="A18" s="4">
        <v>39203</v>
      </c>
      <c r="B18" s="8">
        <v>17</v>
      </c>
      <c r="C18">
        <v>1099</v>
      </c>
      <c r="D18">
        <f t="shared" si="12"/>
        <v>816.83333333333337</v>
      </c>
      <c r="E18">
        <f t="shared" si="13"/>
        <v>979.83333333333337</v>
      </c>
      <c r="I18">
        <f>Table13[[#This Row],[MA(6)]]-Table13[[#This Row],[Demand]]</f>
        <v>-282.16666666666663</v>
      </c>
      <c r="J18">
        <f>Table13[[#This Row],[MA(12)]]-Table13[[#This Row],[Demand]]</f>
        <v>-119.16666666666663</v>
      </c>
      <c r="M18">
        <f>ABS(Table13[[#This Row],[MA(6)]]-Table13[[#This Row],[Demand]])</f>
        <v>282.16666666666663</v>
      </c>
      <c r="N18">
        <f>ABS(Table13[[#This Row],[MA(12)]]-Table13[[#This Row],[Demand]])</f>
        <v>119.16666666666663</v>
      </c>
      <c r="Q18">
        <f>Table13[[#This Row],[et (6)]]^2</f>
        <v>79618.027777777752</v>
      </c>
      <c r="R18">
        <f>Table13[[#This Row],[et (12)]]^2</f>
        <v>14200.694444444436</v>
      </c>
      <c r="U18">
        <f>ABS(Table13[[#This Row],[et (6)]]/Table13[[#This Row],[Demand]])</f>
        <v>0.25674855929632995</v>
      </c>
      <c r="V18">
        <f>ABS(Table13[[#This Row],[et (12)]]/Table13[[#This Row],[Demand]])</f>
        <v>0.10843190779496509</v>
      </c>
      <c r="AG18" s="17"/>
      <c r="AH18" s="19"/>
      <c r="AI18" s="17"/>
      <c r="AJ18" s="17"/>
    </row>
    <row r="19" spans="1:36" x14ac:dyDescent="0.3">
      <c r="A19" s="4">
        <v>39234</v>
      </c>
      <c r="B19" s="8">
        <v>18</v>
      </c>
      <c r="C19">
        <v>1223</v>
      </c>
      <c r="D19">
        <f t="shared" si="12"/>
        <v>838.16666666666663</v>
      </c>
      <c r="E19">
        <f t="shared" si="13"/>
        <v>985.58333333333337</v>
      </c>
      <c r="I19">
        <f>Table13[[#This Row],[MA(6)]]-Table13[[#This Row],[Demand]]</f>
        <v>-384.83333333333337</v>
      </c>
      <c r="J19">
        <f>Table13[[#This Row],[MA(12)]]-Table13[[#This Row],[Demand]]</f>
        <v>-237.41666666666663</v>
      </c>
      <c r="M19">
        <f>ABS(Table13[[#This Row],[MA(6)]]-Table13[[#This Row],[Demand]])</f>
        <v>384.83333333333337</v>
      </c>
      <c r="N19">
        <f>ABS(Table13[[#This Row],[MA(12)]]-Table13[[#This Row],[Demand]])</f>
        <v>237.41666666666663</v>
      </c>
      <c r="Q19">
        <f>Table13[[#This Row],[et (6)]]^2</f>
        <v>148096.69444444447</v>
      </c>
      <c r="R19">
        <f>Table13[[#This Row],[et (12)]]^2</f>
        <v>56366.673611111095</v>
      </c>
      <c r="U19">
        <f>ABS(Table13[[#This Row],[et (6)]]/Table13[[#This Row],[Demand]])</f>
        <v>0.31466339602071414</v>
      </c>
      <c r="V19">
        <f>ABS(Table13[[#This Row],[et (12)]]/Table13[[#This Row],[Demand]])</f>
        <v>0.19412646497683289</v>
      </c>
      <c r="AG19" s="17"/>
      <c r="AH19" s="19"/>
      <c r="AI19" s="17"/>
      <c r="AJ19" s="17"/>
    </row>
    <row r="20" spans="1:36" x14ac:dyDescent="0.3">
      <c r="A20" s="4">
        <v>39264</v>
      </c>
      <c r="B20" s="8">
        <v>19</v>
      </c>
      <c r="C20">
        <v>1290</v>
      </c>
      <c r="D20">
        <f t="shared" si="12"/>
        <v>911.5</v>
      </c>
      <c r="E20">
        <f t="shared" si="13"/>
        <v>995.25</v>
      </c>
      <c r="F20">
        <f>AVERAGE(C2:C19)</f>
        <v>955.16666666666663</v>
      </c>
      <c r="I20">
        <f>Table13[[#This Row],[MA(6)]]-Table13[[#This Row],[Demand]]</f>
        <v>-378.5</v>
      </c>
      <c r="J20">
        <f>Table13[[#This Row],[MA(12)]]-Table13[[#This Row],[Demand]]</f>
        <v>-294.75</v>
      </c>
      <c r="K20">
        <f>Table13[[#This Row],[MA(18)]]-Table13[[#This Row],[Demand]]</f>
        <v>-334.83333333333337</v>
      </c>
      <c r="M20">
        <f>ABS(Table13[[#This Row],[MA(6)]]-Table13[[#This Row],[Demand]])</f>
        <v>378.5</v>
      </c>
      <c r="N20">
        <f>ABS(Table13[[#This Row],[MA(12)]]-Table13[[#This Row],[Demand]])</f>
        <v>294.75</v>
      </c>
      <c r="O20">
        <f>ABS(Table13[[#This Row],[MA(18)]]-Table13[[#This Row],[Demand]])</f>
        <v>334.83333333333337</v>
      </c>
      <c r="Q20">
        <f>Table13[[#This Row],[et (6)]]^2</f>
        <v>143262.25</v>
      </c>
      <c r="R20">
        <f>Table13[[#This Row],[et (12)]]^2</f>
        <v>86877.5625</v>
      </c>
      <c r="S20">
        <f>Table13[[#This Row],[et (18)]]^2</f>
        <v>112113.36111111114</v>
      </c>
      <c r="U20">
        <f>ABS(Table13[[#This Row],[et (6)]]/Table13[[#This Row],[Demand]])</f>
        <v>0.29341085271317829</v>
      </c>
      <c r="V20">
        <f>ABS(Table13[[#This Row],[et (12)]]/Table13[[#This Row],[Demand]])</f>
        <v>0.22848837209302325</v>
      </c>
      <c r="W20">
        <f>ABS(Table13[[#This Row],[et (18)]]/Table13[[#This Row],[Demand]])</f>
        <v>0.25956072351421189</v>
      </c>
      <c r="AG20" s="17"/>
      <c r="AH20" s="19"/>
      <c r="AI20" s="17"/>
      <c r="AJ20" s="17"/>
    </row>
    <row r="21" spans="1:36" x14ac:dyDescent="0.3">
      <c r="A21" s="4">
        <v>39295</v>
      </c>
      <c r="B21" s="8">
        <v>20</v>
      </c>
      <c r="C21">
        <v>1349</v>
      </c>
      <c r="D21">
        <f t="shared" si="12"/>
        <v>1003</v>
      </c>
      <c r="E21">
        <f t="shared" si="13"/>
        <v>1005.6666666666666</v>
      </c>
      <c r="F21">
        <f t="shared" ref="F21:F61" si="14">AVERAGE(C3:C20)</f>
        <v>985.61111111111109</v>
      </c>
      <c r="I21">
        <f>Table13[[#This Row],[MA(6)]]-Table13[[#This Row],[Demand]]</f>
        <v>-346</v>
      </c>
      <c r="J21">
        <f>Table13[[#This Row],[MA(12)]]-Table13[[#This Row],[Demand]]</f>
        <v>-343.33333333333337</v>
      </c>
      <c r="K21">
        <f>Table13[[#This Row],[MA(18)]]-Table13[[#This Row],[Demand]]</f>
        <v>-363.38888888888891</v>
      </c>
      <c r="M21">
        <f>ABS(Table13[[#This Row],[MA(6)]]-Table13[[#This Row],[Demand]])</f>
        <v>346</v>
      </c>
      <c r="N21">
        <f>ABS(Table13[[#This Row],[MA(12)]]-Table13[[#This Row],[Demand]])</f>
        <v>343.33333333333337</v>
      </c>
      <c r="O21">
        <f>ABS(Table13[[#This Row],[MA(18)]]-Table13[[#This Row],[Demand]])</f>
        <v>363.38888888888891</v>
      </c>
      <c r="Q21">
        <f>Table13[[#This Row],[et (6)]]^2</f>
        <v>119716</v>
      </c>
      <c r="R21">
        <f>Table13[[#This Row],[et (12)]]^2</f>
        <v>117877.77777777781</v>
      </c>
      <c r="S21">
        <f>Table13[[#This Row],[et (18)]]^2</f>
        <v>132051.48456790127</v>
      </c>
      <c r="U21">
        <f>ABS(Table13[[#This Row],[et (6)]]/Table13[[#This Row],[Demand]])</f>
        <v>0.25648628613787994</v>
      </c>
      <c r="V21">
        <f>ABS(Table13[[#This Row],[et (12)]]/Table13[[#This Row],[Demand]])</f>
        <v>0.25450951321966891</v>
      </c>
      <c r="W21">
        <f>ABS(Table13[[#This Row],[et (18)]]/Table13[[#This Row],[Demand]])</f>
        <v>0.26937649287538096</v>
      </c>
      <c r="AG21" s="17"/>
      <c r="AH21" s="19"/>
      <c r="AI21" s="17"/>
      <c r="AJ21" s="17"/>
    </row>
    <row r="22" spans="1:36" x14ac:dyDescent="0.3">
      <c r="A22" s="4">
        <v>39326</v>
      </c>
      <c r="B22" s="8">
        <v>21</v>
      </c>
      <c r="C22">
        <v>1341</v>
      </c>
      <c r="D22">
        <f t="shared" si="12"/>
        <v>1111.1666666666667</v>
      </c>
      <c r="E22">
        <f t="shared" si="13"/>
        <v>1016.75</v>
      </c>
      <c r="F22">
        <f t="shared" si="14"/>
        <v>1021.8333333333334</v>
      </c>
      <c r="I22">
        <f>Table13[[#This Row],[MA(6)]]-Table13[[#This Row],[Demand]]</f>
        <v>-229.83333333333326</v>
      </c>
      <c r="J22">
        <f>Table13[[#This Row],[MA(12)]]-Table13[[#This Row],[Demand]]</f>
        <v>-324.25</v>
      </c>
      <c r="K22">
        <f>Table13[[#This Row],[MA(18)]]-Table13[[#This Row],[Demand]]</f>
        <v>-319.16666666666663</v>
      </c>
      <c r="M22">
        <f>ABS(Table13[[#This Row],[MA(6)]]-Table13[[#This Row],[Demand]])</f>
        <v>229.83333333333326</v>
      </c>
      <c r="N22">
        <f>ABS(Table13[[#This Row],[MA(12)]]-Table13[[#This Row],[Demand]])</f>
        <v>324.25</v>
      </c>
      <c r="O22">
        <f>ABS(Table13[[#This Row],[MA(18)]]-Table13[[#This Row],[Demand]])</f>
        <v>319.16666666666663</v>
      </c>
      <c r="Q22">
        <f>Table13[[#This Row],[et (6)]]^2</f>
        <v>52823.361111111073</v>
      </c>
      <c r="R22">
        <f>Table13[[#This Row],[et (12)]]^2</f>
        <v>105138.0625</v>
      </c>
      <c r="S22">
        <f>Table13[[#This Row],[et (18)]]^2</f>
        <v>101867.36111111108</v>
      </c>
      <c r="U22">
        <f>ABS(Table13[[#This Row],[et (6)]]/Table13[[#This Row],[Demand]])</f>
        <v>0.17138951031568475</v>
      </c>
      <c r="V22">
        <f>ABS(Table13[[#This Row],[et (12)]]/Table13[[#This Row],[Demand]])</f>
        <v>0.24179716629381059</v>
      </c>
      <c r="W22">
        <f>ABS(Table13[[#This Row],[et (18)]]/Table13[[#This Row],[Demand]])</f>
        <v>0.23800646283867757</v>
      </c>
      <c r="AG22" s="17"/>
      <c r="AH22" s="19"/>
      <c r="AI22" s="17"/>
      <c r="AJ22" s="17"/>
    </row>
    <row r="23" spans="1:36" x14ac:dyDescent="0.3">
      <c r="A23" s="4">
        <v>39356</v>
      </c>
      <c r="B23" s="8">
        <v>22</v>
      </c>
      <c r="C23">
        <v>1296</v>
      </c>
      <c r="D23">
        <f t="shared" si="12"/>
        <v>1205.6666666666667</v>
      </c>
      <c r="E23">
        <f t="shared" si="13"/>
        <v>1027.8333333333333</v>
      </c>
      <c r="F23">
        <f t="shared" si="14"/>
        <v>1053.2222222222222</v>
      </c>
      <c r="I23">
        <f>Table13[[#This Row],[MA(6)]]-Table13[[#This Row],[Demand]]</f>
        <v>-90.333333333333258</v>
      </c>
      <c r="J23">
        <f>Table13[[#This Row],[MA(12)]]-Table13[[#This Row],[Demand]]</f>
        <v>-268.16666666666674</v>
      </c>
      <c r="K23">
        <f>Table13[[#This Row],[MA(18)]]-Table13[[#This Row],[Demand]]</f>
        <v>-242.77777777777783</v>
      </c>
      <c r="M23">
        <f>ABS(Table13[[#This Row],[MA(6)]]-Table13[[#This Row],[Demand]])</f>
        <v>90.333333333333258</v>
      </c>
      <c r="N23">
        <f>ABS(Table13[[#This Row],[MA(12)]]-Table13[[#This Row],[Demand]])</f>
        <v>268.16666666666674</v>
      </c>
      <c r="O23">
        <f>ABS(Table13[[#This Row],[MA(18)]]-Table13[[#This Row],[Demand]])</f>
        <v>242.77777777777783</v>
      </c>
      <c r="Q23">
        <f>Table13[[#This Row],[et (6)]]^2</f>
        <v>8160.1111111110977</v>
      </c>
      <c r="R23">
        <f>Table13[[#This Row],[et (12)]]^2</f>
        <v>71913.361111111153</v>
      </c>
      <c r="S23">
        <f>Table13[[#This Row],[et (18)]]^2</f>
        <v>58941.049382716075</v>
      </c>
      <c r="U23">
        <f>ABS(Table13[[#This Row],[et (6)]]/Table13[[#This Row],[Demand]])</f>
        <v>6.9701646090534919E-2</v>
      </c>
      <c r="V23">
        <f>ABS(Table13[[#This Row],[et (12)]]/Table13[[#This Row],[Demand]])</f>
        <v>0.20691872427983546</v>
      </c>
      <c r="W23">
        <f>ABS(Table13[[#This Row],[et (18)]]/Table13[[#This Row],[Demand]])</f>
        <v>0.18732853223593968</v>
      </c>
      <c r="AG23" s="17"/>
      <c r="AH23" s="19"/>
      <c r="AI23" s="17"/>
      <c r="AJ23" s="17"/>
    </row>
    <row r="24" spans="1:36" x14ac:dyDescent="0.3">
      <c r="A24" s="4">
        <v>39387</v>
      </c>
      <c r="B24" s="8">
        <v>23</v>
      </c>
      <c r="C24">
        <v>1066</v>
      </c>
      <c r="D24">
        <f t="shared" si="12"/>
        <v>1266.3333333333333</v>
      </c>
      <c r="E24">
        <f t="shared" si="13"/>
        <v>1041.5833333333333</v>
      </c>
      <c r="F24">
        <f t="shared" si="14"/>
        <v>1075.3333333333333</v>
      </c>
      <c r="I24">
        <f>Table13[[#This Row],[MA(6)]]-Table13[[#This Row],[Demand]]</f>
        <v>200.33333333333326</v>
      </c>
      <c r="J24">
        <f>Table13[[#This Row],[MA(12)]]-Table13[[#This Row],[Demand]]</f>
        <v>-24.416666666666742</v>
      </c>
      <c r="K24">
        <f>Table13[[#This Row],[MA(18)]]-Table13[[#This Row],[Demand]]</f>
        <v>9.3333333333332575</v>
      </c>
      <c r="M24">
        <f>ABS(Table13[[#This Row],[MA(6)]]-Table13[[#This Row],[Demand]])</f>
        <v>200.33333333333326</v>
      </c>
      <c r="N24">
        <f>ABS(Table13[[#This Row],[MA(12)]]-Table13[[#This Row],[Demand]])</f>
        <v>24.416666666666742</v>
      </c>
      <c r="O24">
        <f>ABS(Table13[[#This Row],[MA(18)]]-Table13[[#This Row],[Demand]])</f>
        <v>9.3333333333332575</v>
      </c>
      <c r="Q24">
        <f>Table13[[#This Row],[et (6)]]^2</f>
        <v>40133.444444444416</v>
      </c>
      <c r="R24">
        <f>Table13[[#This Row],[et (12)]]^2</f>
        <v>596.17361111111484</v>
      </c>
      <c r="S24">
        <f>Table13[[#This Row],[et (18)]]^2</f>
        <v>87.111111111109693</v>
      </c>
      <c r="U24">
        <f>ABS(Table13[[#This Row],[et (6)]]/Table13[[#This Row],[Demand]])</f>
        <v>0.18792995622263908</v>
      </c>
      <c r="V24">
        <f>ABS(Table13[[#This Row],[et (12)]]/Table13[[#This Row],[Demand]])</f>
        <v>2.2904940587867489E-2</v>
      </c>
      <c r="W24">
        <f>ABS(Table13[[#This Row],[et (18)]]/Table13[[#This Row],[Demand]])</f>
        <v>8.7554721701062453E-3</v>
      </c>
      <c r="AG24" s="17"/>
      <c r="AH24" s="19"/>
      <c r="AI24" s="17"/>
      <c r="AJ24" s="17"/>
    </row>
    <row r="25" spans="1:36" x14ac:dyDescent="0.3">
      <c r="A25" s="4">
        <v>39417</v>
      </c>
      <c r="B25" s="8">
        <v>24</v>
      </c>
      <c r="C25">
        <v>901</v>
      </c>
      <c r="D25">
        <f t="shared" si="12"/>
        <v>1260.8333333333333</v>
      </c>
      <c r="E25">
        <f t="shared" si="13"/>
        <v>1049.5</v>
      </c>
      <c r="F25">
        <f t="shared" si="14"/>
        <v>1077.3333333333333</v>
      </c>
      <c r="I25">
        <f>Table13[[#This Row],[MA(6)]]-Table13[[#This Row],[Demand]]</f>
        <v>359.83333333333326</v>
      </c>
      <c r="J25">
        <f>Table13[[#This Row],[MA(12)]]-Table13[[#This Row],[Demand]]</f>
        <v>148.5</v>
      </c>
      <c r="K25">
        <f>Table13[[#This Row],[MA(18)]]-Table13[[#This Row],[Demand]]</f>
        <v>176.33333333333326</v>
      </c>
      <c r="M25">
        <f>ABS(Table13[[#This Row],[MA(6)]]-Table13[[#This Row],[Demand]])</f>
        <v>359.83333333333326</v>
      </c>
      <c r="N25">
        <f>ABS(Table13[[#This Row],[MA(12)]]-Table13[[#This Row],[Demand]])</f>
        <v>148.5</v>
      </c>
      <c r="O25">
        <f>ABS(Table13[[#This Row],[MA(18)]]-Table13[[#This Row],[Demand]])</f>
        <v>176.33333333333326</v>
      </c>
      <c r="Q25">
        <f>Table13[[#This Row],[et (6)]]^2</f>
        <v>129480.02777777772</v>
      </c>
      <c r="R25">
        <f>Table13[[#This Row],[et (12)]]^2</f>
        <v>22052.25</v>
      </c>
      <c r="S25">
        <f>Table13[[#This Row],[et (18)]]^2</f>
        <v>31093.444444444416</v>
      </c>
      <c r="U25">
        <f>ABS(Table13[[#This Row],[et (6)]]/Table13[[#This Row],[Demand]])</f>
        <v>0.39937106918238985</v>
      </c>
      <c r="V25">
        <f>ABS(Table13[[#This Row],[et (12)]]/Table13[[#This Row],[Demand]])</f>
        <v>0.16481687014428412</v>
      </c>
      <c r="W25">
        <f>ABS(Table13[[#This Row],[et (18)]]/Table13[[#This Row],[Demand]])</f>
        <v>0.19570847206807243</v>
      </c>
      <c r="AG25" s="17"/>
      <c r="AH25" s="19"/>
      <c r="AI25" s="17"/>
      <c r="AJ25" s="17"/>
    </row>
    <row r="26" spans="1:36" x14ac:dyDescent="0.3">
      <c r="A26" s="4">
        <v>39448</v>
      </c>
      <c r="B26" s="8">
        <v>25</v>
      </c>
      <c r="C26">
        <v>896</v>
      </c>
      <c r="D26">
        <f t="shared" si="12"/>
        <v>1207.1666666666667</v>
      </c>
      <c r="E26">
        <f t="shared" si="13"/>
        <v>1059.3333333333333</v>
      </c>
      <c r="F26">
        <f t="shared" si="14"/>
        <v>1065.8888888888889</v>
      </c>
      <c r="G26">
        <f>AVERAGE(C2:C25)</f>
        <v>1018.1666666666666</v>
      </c>
      <c r="I26">
        <f>Table13[[#This Row],[MA(6)]]-Table13[[#This Row],[Demand]]</f>
        <v>311.16666666666674</v>
      </c>
      <c r="J26">
        <f>Table13[[#This Row],[MA(12)]]-Table13[[#This Row],[Demand]]</f>
        <v>163.33333333333326</v>
      </c>
      <c r="K26">
        <f>Table13[[#This Row],[MA(18)]]-Table13[[#This Row],[Demand]]</f>
        <v>169.88888888888891</v>
      </c>
      <c r="L26">
        <f>Table13[[#This Row],[MA(24)]]-Table13[[#This Row],[Demand]]</f>
        <v>122.16666666666663</v>
      </c>
      <c r="M26">
        <f>ABS(Table13[[#This Row],[MA(6)]]-Table13[[#This Row],[Demand]])</f>
        <v>311.16666666666674</v>
      </c>
      <c r="N26">
        <f>ABS(Table13[[#This Row],[MA(12)]]-Table13[[#This Row],[Demand]])</f>
        <v>163.33333333333326</v>
      </c>
      <c r="O26">
        <f>ABS(Table13[[#This Row],[MA(18)]]-Table13[[#This Row],[Demand]])</f>
        <v>169.88888888888891</v>
      </c>
      <c r="P26">
        <f>ABS(Table13[[#This Row],[MA(24)]]-Table13[[#This Row],[Demand]])</f>
        <v>122.16666666666663</v>
      </c>
      <c r="Q26">
        <f>Table13[[#This Row],[et (6)]]^2</f>
        <v>96824.694444444496</v>
      </c>
      <c r="R26">
        <f>Table13[[#This Row],[et (12)]]^2</f>
        <v>26677.777777777752</v>
      </c>
      <c r="S26">
        <f>Table13[[#This Row],[et (18)]]^2</f>
        <v>28862.234567901243</v>
      </c>
      <c r="T26">
        <f>Table13[[#This Row],[et (24)]]^2</f>
        <v>14924.694444444434</v>
      </c>
      <c r="U26">
        <f>ABS(Table13[[#This Row],[et (6)]]/Table13[[#This Row],[Demand]])</f>
        <v>0.34728422619047628</v>
      </c>
      <c r="V26">
        <f>ABS(Table13[[#This Row],[et (12)]]/Table13[[#This Row],[Demand]])</f>
        <v>0.18229166666666657</v>
      </c>
      <c r="W26">
        <f>ABS(Table13[[#This Row],[et (18)]]/Table13[[#This Row],[Demand]])</f>
        <v>0.18960813492063494</v>
      </c>
      <c r="X26">
        <f>ABS(Table13[[#This Row],[et (24)]]/Table13[[#This Row],[Demand]])</f>
        <v>0.13634672619047614</v>
      </c>
      <c r="AG26" s="17"/>
      <c r="AH26" s="19"/>
      <c r="AI26" s="17"/>
      <c r="AJ26" s="17"/>
    </row>
    <row r="27" spans="1:36" x14ac:dyDescent="0.3">
      <c r="A27" s="4">
        <v>39479</v>
      </c>
      <c r="B27" s="8">
        <v>26</v>
      </c>
      <c r="C27">
        <v>793</v>
      </c>
      <c r="D27">
        <f t="shared" si="12"/>
        <v>1141.5</v>
      </c>
      <c r="E27">
        <f t="shared" si="13"/>
        <v>1072.25</v>
      </c>
      <c r="F27">
        <f t="shared" si="14"/>
        <v>1050.9444444444443</v>
      </c>
      <c r="G27">
        <f t="shared" ref="G27:G61" si="15">AVERAGE(C3:C26)</f>
        <v>1024.5833333333333</v>
      </c>
      <c r="I27">
        <f>Table13[[#This Row],[MA(6)]]-Table13[[#This Row],[Demand]]</f>
        <v>348.5</v>
      </c>
      <c r="J27">
        <f>Table13[[#This Row],[MA(12)]]-Table13[[#This Row],[Demand]]</f>
        <v>279.25</v>
      </c>
      <c r="K27">
        <f>Table13[[#This Row],[MA(18)]]-Table13[[#This Row],[Demand]]</f>
        <v>257.94444444444434</v>
      </c>
      <c r="L27">
        <f>Table13[[#This Row],[MA(24)]]-Table13[[#This Row],[Demand]]</f>
        <v>231.58333333333326</v>
      </c>
      <c r="M27">
        <f>ABS(Table13[[#This Row],[MA(6)]]-Table13[[#This Row],[Demand]])</f>
        <v>348.5</v>
      </c>
      <c r="N27">
        <f>ABS(Table13[[#This Row],[MA(12)]]-Table13[[#This Row],[Demand]])</f>
        <v>279.25</v>
      </c>
      <c r="O27">
        <f>ABS(Table13[[#This Row],[MA(18)]]-Table13[[#This Row],[Demand]])</f>
        <v>257.94444444444434</v>
      </c>
      <c r="P27">
        <f>ABS(Table13[[#This Row],[MA(24)]]-Table13[[#This Row],[Demand]])</f>
        <v>231.58333333333326</v>
      </c>
      <c r="Q27">
        <f>Table13[[#This Row],[et (6)]]^2</f>
        <v>121452.25</v>
      </c>
      <c r="R27">
        <f>Table13[[#This Row],[et (12)]]^2</f>
        <v>77980.5625</v>
      </c>
      <c r="S27">
        <f>Table13[[#This Row],[et (18)]]^2</f>
        <v>66535.336419753032</v>
      </c>
      <c r="T27">
        <f>Table13[[#This Row],[et (24)]]^2</f>
        <v>53630.840277777745</v>
      </c>
      <c r="U27">
        <f>ABS(Table13[[#This Row],[et (6)]]/Table13[[#This Row],[Demand]])</f>
        <v>0.43947036569987391</v>
      </c>
      <c r="V27">
        <f>ABS(Table13[[#This Row],[et (12)]]/Table13[[#This Row],[Demand]])</f>
        <v>0.35214375788146279</v>
      </c>
      <c r="W27">
        <f>ABS(Table13[[#This Row],[et (18)]]/Table13[[#This Row],[Demand]])</f>
        <v>0.32527672691607107</v>
      </c>
      <c r="X27">
        <f>ABS(Table13[[#This Row],[et (24)]]/Table13[[#This Row],[Demand]])</f>
        <v>0.29203446826397639</v>
      </c>
      <c r="AG27" s="17"/>
      <c r="AH27" s="19"/>
      <c r="AI27" s="17"/>
      <c r="AJ27" s="17"/>
    </row>
    <row r="28" spans="1:36" x14ac:dyDescent="0.3">
      <c r="A28" s="4">
        <v>39508</v>
      </c>
      <c r="B28" s="8">
        <v>27</v>
      </c>
      <c r="C28">
        <v>885</v>
      </c>
      <c r="D28">
        <f t="shared" si="12"/>
        <v>1048.8333333333333</v>
      </c>
      <c r="E28">
        <f t="shared" si="13"/>
        <v>1080</v>
      </c>
      <c r="F28">
        <f t="shared" si="14"/>
        <v>1027.4444444444443</v>
      </c>
      <c r="G28">
        <f t="shared" si="15"/>
        <v>1028.5833333333333</v>
      </c>
      <c r="I28">
        <f>Table13[[#This Row],[MA(6)]]-Table13[[#This Row],[Demand]]</f>
        <v>163.83333333333326</v>
      </c>
      <c r="J28">
        <f>Table13[[#This Row],[MA(12)]]-Table13[[#This Row],[Demand]]</f>
        <v>195</v>
      </c>
      <c r="K28">
        <f>Table13[[#This Row],[MA(18)]]-Table13[[#This Row],[Demand]]</f>
        <v>142.44444444444434</v>
      </c>
      <c r="L28">
        <f>Table13[[#This Row],[MA(24)]]-Table13[[#This Row],[Demand]]</f>
        <v>143.58333333333326</v>
      </c>
      <c r="M28">
        <f>ABS(Table13[[#This Row],[MA(6)]]-Table13[[#This Row],[Demand]])</f>
        <v>163.83333333333326</v>
      </c>
      <c r="N28">
        <f>ABS(Table13[[#This Row],[MA(12)]]-Table13[[#This Row],[Demand]])</f>
        <v>195</v>
      </c>
      <c r="O28">
        <f>ABS(Table13[[#This Row],[MA(18)]]-Table13[[#This Row],[Demand]])</f>
        <v>142.44444444444434</v>
      </c>
      <c r="P28">
        <f>ABS(Table13[[#This Row],[MA(24)]]-Table13[[#This Row],[Demand]])</f>
        <v>143.58333333333326</v>
      </c>
      <c r="Q28">
        <f>Table13[[#This Row],[et (6)]]^2</f>
        <v>26841.361111111088</v>
      </c>
      <c r="R28">
        <f>Table13[[#This Row],[et (12)]]^2</f>
        <v>38025</v>
      </c>
      <c r="S28">
        <f>Table13[[#This Row],[et (18)]]^2</f>
        <v>20290.419753086389</v>
      </c>
      <c r="T28">
        <f>Table13[[#This Row],[et (24)]]^2</f>
        <v>20616.173611111088</v>
      </c>
      <c r="U28">
        <f>ABS(Table13[[#This Row],[et (6)]]/Table13[[#This Row],[Demand]])</f>
        <v>0.18512241054613929</v>
      </c>
      <c r="V28">
        <f>ABS(Table13[[#This Row],[et (12)]]/Table13[[#This Row],[Demand]])</f>
        <v>0.22033898305084745</v>
      </c>
      <c r="W28">
        <f>ABS(Table13[[#This Row],[et (18)]]/Table13[[#This Row],[Demand]])</f>
        <v>0.16095417451349645</v>
      </c>
      <c r="X28">
        <f>ABS(Table13[[#This Row],[et (24)]]/Table13[[#This Row],[Demand]])</f>
        <v>0.1622410546139359</v>
      </c>
      <c r="AG28" s="17"/>
      <c r="AH28" s="19"/>
      <c r="AI28" s="17"/>
      <c r="AJ28" s="17"/>
    </row>
    <row r="29" spans="1:36" x14ac:dyDescent="0.3">
      <c r="A29" s="4">
        <v>39539</v>
      </c>
      <c r="B29" s="8">
        <v>28</v>
      </c>
      <c r="C29">
        <v>1055</v>
      </c>
      <c r="D29">
        <f t="shared" si="12"/>
        <v>972.83333333333337</v>
      </c>
      <c r="E29">
        <f t="shared" si="13"/>
        <v>1089.25</v>
      </c>
      <c r="F29">
        <f t="shared" si="14"/>
        <v>1009.5</v>
      </c>
      <c r="G29">
        <f t="shared" si="15"/>
        <v>1033.125</v>
      </c>
      <c r="I29">
        <f>Table13[[#This Row],[MA(6)]]-Table13[[#This Row],[Demand]]</f>
        <v>-82.166666666666629</v>
      </c>
      <c r="J29">
        <f>Table13[[#This Row],[MA(12)]]-Table13[[#This Row],[Demand]]</f>
        <v>34.25</v>
      </c>
      <c r="K29">
        <f>Table13[[#This Row],[MA(18)]]-Table13[[#This Row],[Demand]]</f>
        <v>-45.5</v>
      </c>
      <c r="L29">
        <f>Table13[[#This Row],[MA(24)]]-Table13[[#This Row],[Demand]]</f>
        <v>-21.875</v>
      </c>
      <c r="M29">
        <f>ABS(Table13[[#This Row],[MA(6)]]-Table13[[#This Row],[Demand]])</f>
        <v>82.166666666666629</v>
      </c>
      <c r="N29">
        <f>ABS(Table13[[#This Row],[MA(12)]]-Table13[[#This Row],[Demand]])</f>
        <v>34.25</v>
      </c>
      <c r="O29">
        <f>ABS(Table13[[#This Row],[MA(18)]]-Table13[[#This Row],[Demand]])</f>
        <v>45.5</v>
      </c>
      <c r="P29">
        <f>ABS(Table13[[#This Row],[MA(24)]]-Table13[[#This Row],[Demand]])</f>
        <v>21.875</v>
      </c>
      <c r="Q29">
        <f>Table13[[#This Row],[et (6)]]^2</f>
        <v>6751.3611111111049</v>
      </c>
      <c r="R29">
        <f>Table13[[#This Row],[et (12)]]^2</f>
        <v>1173.0625</v>
      </c>
      <c r="S29">
        <f>Table13[[#This Row],[et (18)]]^2</f>
        <v>2070.25</v>
      </c>
      <c r="T29">
        <f>Table13[[#This Row],[et (24)]]^2</f>
        <v>478.515625</v>
      </c>
      <c r="U29">
        <f>ABS(Table13[[#This Row],[et (6)]]/Table13[[#This Row],[Demand]])</f>
        <v>7.7883096366508656E-2</v>
      </c>
      <c r="V29">
        <f>ABS(Table13[[#This Row],[et (12)]]/Table13[[#This Row],[Demand]])</f>
        <v>3.246445497630332E-2</v>
      </c>
      <c r="W29">
        <f>ABS(Table13[[#This Row],[et (18)]]/Table13[[#This Row],[Demand]])</f>
        <v>4.3127962085308058E-2</v>
      </c>
      <c r="X29">
        <f>ABS(Table13[[#This Row],[et (24)]]/Table13[[#This Row],[Demand]])</f>
        <v>2.0734597156398103E-2</v>
      </c>
      <c r="AG29" s="17"/>
      <c r="AH29" s="19"/>
      <c r="AI29" s="17"/>
      <c r="AJ29" s="17"/>
    </row>
    <row r="30" spans="1:36" x14ac:dyDescent="0.3">
      <c r="A30" s="4">
        <v>39569</v>
      </c>
      <c r="B30" s="8">
        <v>29</v>
      </c>
      <c r="C30">
        <v>1204</v>
      </c>
      <c r="D30">
        <f t="shared" si="12"/>
        <v>932.66666666666663</v>
      </c>
      <c r="E30">
        <f t="shared" si="13"/>
        <v>1099.5</v>
      </c>
      <c r="F30">
        <f t="shared" si="14"/>
        <v>1005.2777777777778</v>
      </c>
      <c r="G30">
        <f t="shared" si="15"/>
        <v>1039.6666666666667</v>
      </c>
      <c r="I30">
        <f>Table13[[#This Row],[MA(6)]]-Table13[[#This Row],[Demand]]</f>
        <v>-271.33333333333337</v>
      </c>
      <c r="J30">
        <f>Table13[[#This Row],[MA(12)]]-Table13[[#This Row],[Demand]]</f>
        <v>-104.5</v>
      </c>
      <c r="K30">
        <f>Table13[[#This Row],[MA(18)]]-Table13[[#This Row],[Demand]]</f>
        <v>-198.72222222222217</v>
      </c>
      <c r="L30">
        <f>Table13[[#This Row],[MA(24)]]-Table13[[#This Row],[Demand]]</f>
        <v>-164.33333333333326</v>
      </c>
      <c r="M30">
        <f>ABS(Table13[[#This Row],[MA(6)]]-Table13[[#This Row],[Demand]])</f>
        <v>271.33333333333337</v>
      </c>
      <c r="N30">
        <f>ABS(Table13[[#This Row],[MA(12)]]-Table13[[#This Row],[Demand]])</f>
        <v>104.5</v>
      </c>
      <c r="O30">
        <f>ABS(Table13[[#This Row],[MA(18)]]-Table13[[#This Row],[Demand]])</f>
        <v>198.72222222222217</v>
      </c>
      <c r="P30">
        <f>ABS(Table13[[#This Row],[MA(24)]]-Table13[[#This Row],[Demand]])</f>
        <v>164.33333333333326</v>
      </c>
      <c r="Q30">
        <f>Table13[[#This Row],[et (6)]]^2</f>
        <v>73621.777777777796</v>
      </c>
      <c r="R30">
        <f>Table13[[#This Row],[et (12)]]^2</f>
        <v>10920.25</v>
      </c>
      <c r="S30">
        <f>Table13[[#This Row],[et (18)]]^2</f>
        <v>39490.521604938251</v>
      </c>
      <c r="T30">
        <f>Table13[[#This Row],[et (24)]]^2</f>
        <v>27005.44444444442</v>
      </c>
      <c r="U30">
        <f>ABS(Table13[[#This Row],[et (6)]]/Table13[[#This Row],[Demand]])</f>
        <v>0.22535991140642306</v>
      </c>
      <c r="V30">
        <f>ABS(Table13[[#This Row],[et (12)]]/Table13[[#This Row],[Demand]])</f>
        <v>8.6794019933554817E-2</v>
      </c>
      <c r="W30">
        <f>ABS(Table13[[#This Row],[et (18)]]/Table13[[#This Row],[Demand]])</f>
        <v>0.16505167958656328</v>
      </c>
      <c r="X30">
        <f>ABS(Table13[[#This Row],[et (24)]]/Table13[[#This Row],[Demand]])</f>
        <v>0.13648947951273527</v>
      </c>
      <c r="AG30" s="17"/>
      <c r="AH30" s="19"/>
      <c r="AI30" s="17"/>
      <c r="AJ30" s="17"/>
    </row>
    <row r="31" spans="1:36" x14ac:dyDescent="0.3">
      <c r="A31" s="4">
        <v>39600</v>
      </c>
      <c r="B31" s="8">
        <v>30</v>
      </c>
      <c r="C31">
        <v>1326</v>
      </c>
      <c r="D31">
        <f t="shared" si="12"/>
        <v>955.66666666666663</v>
      </c>
      <c r="E31">
        <f t="shared" si="13"/>
        <v>1108.25</v>
      </c>
      <c r="F31">
        <f t="shared" si="14"/>
        <v>1018.2222222222222</v>
      </c>
      <c r="G31">
        <f t="shared" si="15"/>
        <v>1046.9166666666667</v>
      </c>
      <c r="I31">
        <f>Table13[[#This Row],[MA(6)]]-Table13[[#This Row],[Demand]]</f>
        <v>-370.33333333333337</v>
      </c>
      <c r="J31">
        <f>Table13[[#This Row],[MA(12)]]-Table13[[#This Row],[Demand]]</f>
        <v>-217.75</v>
      </c>
      <c r="K31">
        <f>Table13[[#This Row],[MA(18)]]-Table13[[#This Row],[Demand]]</f>
        <v>-307.77777777777783</v>
      </c>
      <c r="L31">
        <f>Table13[[#This Row],[MA(24)]]-Table13[[#This Row],[Demand]]</f>
        <v>-279.08333333333326</v>
      </c>
      <c r="M31">
        <f>ABS(Table13[[#This Row],[MA(6)]]-Table13[[#This Row],[Demand]])</f>
        <v>370.33333333333337</v>
      </c>
      <c r="N31">
        <f>ABS(Table13[[#This Row],[MA(12)]]-Table13[[#This Row],[Demand]])</f>
        <v>217.75</v>
      </c>
      <c r="O31">
        <f>ABS(Table13[[#This Row],[MA(18)]]-Table13[[#This Row],[Demand]])</f>
        <v>307.77777777777783</v>
      </c>
      <c r="P31">
        <f>ABS(Table13[[#This Row],[MA(24)]]-Table13[[#This Row],[Demand]])</f>
        <v>279.08333333333326</v>
      </c>
      <c r="Q31">
        <f>Table13[[#This Row],[et (6)]]^2</f>
        <v>137146.77777777781</v>
      </c>
      <c r="R31">
        <f>Table13[[#This Row],[et (12)]]^2</f>
        <v>47415.0625</v>
      </c>
      <c r="S31">
        <f>Table13[[#This Row],[et (18)]]^2</f>
        <v>94727.160493827192</v>
      </c>
      <c r="T31">
        <f>Table13[[#This Row],[et (24)]]^2</f>
        <v>77887.506944444409</v>
      </c>
      <c r="U31">
        <f>ABS(Table13[[#This Row],[et (6)]]/Table13[[#This Row],[Demand]])</f>
        <v>0.27928607340372047</v>
      </c>
      <c r="V31">
        <f>ABS(Table13[[#This Row],[et (12)]]/Table13[[#This Row],[Demand]])</f>
        <v>0.1642156862745098</v>
      </c>
      <c r="W31">
        <f>ABS(Table13[[#This Row],[et (18)]]/Table13[[#This Row],[Demand]])</f>
        <v>0.23210993799229096</v>
      </c>
      <c r="X31">
        <f>ABS(Table13[[#This Row],[et (24)]]/Table13[[#This Row],[Demand]])</f>
        <v>0.21047008547008542</v>
      </c>
      <c r="AG31" s="17"/>
      <c r="AH31" s="19"/>
      <c r="AI31" s="17"/>
      <c r="AJ31" s="17"/>
    </row>
    <row r="32" spans="1:36" x14ac:dyDescent="0.3">
      <c r="A32" s="4">
        <v>39630</v>
      </c>
      <c r="B32" s="8">
        <v>31</v>
      </c>
      <c r="C32">
        <v>1303</v>
      </c>
      <c r="D32">
        <f t="shared" si="12"/>
        <v>1026.5</v>
      </c>
      <c r="E32">
        <f t="shared" si="13"/>
        <v>1116.8333333333333</v>
      </c>
      <c r="F32">
        <f t="shared" si="14"/>
        <v>1048.3888888888889</v>
      </c>
      <c r="G32">
        <f t="shared" si="15"/>
        <v>1056.0416666666667</v>
      </c>
      <c r="I32">
        <f>Table13[[#This Row],[MA(6)]]-Table13[[#This Row],[Demand]]</f>
        <v>-276.5</v>
      </c>
      <c r="J32">
        <f>Table13[[#This Row],[MA(12)]]-Table13[[#This Row],[Demand]]</f>
        <v>-186.16666666666674</v>
      </c>
      <c r="K32">
        <f>Table13[[#This Row],[MA(18)]]-Table13[[#This Row],[Demand]]</f>
        <v>-254.61111111111109</v>
      </c>
      <c r="L32">
        <f>Table13[[#This Row],[MA(24)]]-Table13[[#This Row],[Demand]]</f>
        <v>-246.95833333333326</v>
      </c>
      <c r="M32">
        <f>ABS(Table13[[#This Row],[MA(6)]]-Table13[[#This Row],[Demand]])</f>
        <v>276.5</v>
      </c>
      <c r="N32">
        <f>ABS(Table13[[#This Row],[MA(12)]]-Table13[[#This Row],[Demand]])</f>
        <v>186.16666666666674</v>
      </c>
      <c r="O32">
        <f>ABS(Table13[[#This Row],[MA(18)]]-Table13[[#This Row],[Demand]])</f>
        <v>254.61111111111109</v>
      </c>
      <c r="P32">
        <f>ABS(Table13[[#This Row],[MA(24)]]-Table13[[#This Row],[Demand]])</f>
        <v>246.95833333333326</v>
      </c>
      <c r="Q32">
        <f>Table13[[#This Row],[et (6)]]^2</f>
        <v>76452.25</v>
      </c>
      <c r="R32">
        <f>Table13[[#This Row],[et (12)]]^2</f>
        <v>34658.027777777803</v>
      </c>
      <c r="S32">
        <f>Table13[[#This Row],[et (18)]]^2</f>
        <v>64826.817901234557</v>
      </c>
      <c r="T32">
        <f>Table13[[#This Row],[et (24)]]^2</f>
        <v>60988.418402777737</v>
      </c>
      <c r="U32">
        <f>ABS(Table13[[#This Row],[et (6)]]/Table13[[#This Row],[Demand]])</f>
        <v>0.21220260936300844</v>
      </c>
      <c r="V32">
        <f>ABS(Table13[[#This Row],[et (12)]]/Table13[[#This Row],[Demand]])</f>
        <v>0.14287541570734208</v>
      </c>
      <c r="W32">
        <f>ABS(Table13[[#This Row],[et (18)]]/Table13[[#This Row],[Demand]])</f>
        <v>0.19540376907990106</v>
      </c>
      <c r="X32">
        <f>ABS(Table13[[#This Row],[et (24)]]/Table13[[#This Row],[Demand]])</f>
        <v>0.18953057047838315</v>
      </c>
      <c r="AG32" s="17"/>
      <c r="AH32" s="19"/>
      <c r="AI32" s="17"/>
      <c r="AJ32" s="17"/>
    </row>
    <row r="33" spans="1:36" x14ac:dyDescent="0.3">
      <c r="A33" s="4">
        <v>39661</v>
      </c>
      <c r="B33" s="8">
        <v>32</v>
      </c>
      <c r="C33">
        <v>1436</v>
      </c>
      <c r="D33">
        <f t="shared" si="12"/>
        <v>1094.3333333333333</v>
      </c>
      <c r="E33">
        <f t="shared" si="13"/>
        <v>1117.9166666666667</v>
      </c>
      <c r="F33">
        <f t="shared" si="14"/>
        <v>1079.6111111111111</v>
      </c>
      <c r="G33">
        <f t="shared" si="15"/>
        <v>1061.7916666666667</v>
      </c>
      <c r="I33">
        <f>Table13[[#This Row],[MA(6)]]-Table13[[#This Row],[Demand]]</f>
        <v>-341.66666666666674</v>
      </c>
      <c r="J33">
        <f>Table13[[#This Row],[MA(12)]]-Table13[[#This Row],[Demand]]</f>
        <v>-318.08333333333326</v>
      </c>
      <c r="K33">
        <f>Table13[[#This Row],[MA(18)]]-Table13[[#This Row],[Demand]]</f>
        <v>-356.38888888888891</v>
      </c>
      <c r="L33">
        <f>Table13[[#This Row],[MA(24)]]-Table13[[#This Row],[Demand]]</f>
        <v>-374.20833333333326</v>
      </c>
      <c r="M33">
        <f>ABS(Table13[[#This Row],[MA(6)]]-Table13[[#This Row],[Demand]])</f>
        <v>341.66666666666674</v>
      </c>
      <c r="N33">
        <f>ABS(Table13[[#This Row],[MA(12)]]-Table13[[#This Row],[Demand]])</f>
        <v>318.08333333333326</v>
      </c>
      <c r="O33">
        <f>ABS(Table13[[#This Row],[MA(18)]]-Table13[[#This Row],[Demand]])</f>
        <v>356.38888888888891</v>
      </c>
      <c r="P33">
        <f>ABS(Table13[[#This Row],[MA(24)]]-Table13[[#This Row],[Demand]])</f>
        <v>374.20833333333326</v>
      </c>
      <c r="Q33">
        <f>Table13[[#This Row],[et (6)]]^2</f>
        <v>116736.11111111117</v>
      </c>
      <c r="R33">
        <f>Table13[[#This Row],[et (12)]]^2</f>
        <v>101177.00694444439</v>
      </c>
      <c r="S33">
        <f>Table13[[#This Row],[et (18)]]^2</f>
        <v>127013.04012345681</v>
      </c>
      <c r="T33">
        <f>Table13[[#This Row],[et (24)]]^2</f>
        <v>140031.87673611107</v>
      </c>
      <c r="U33">
        <f>ABS(Table13[[#This Row],[et (6)]]/Table13[[#This Row],[Demand]])</f>
        <v>0.23792943361188493</v>
      </c>
      <c r="V33">
        <f>ABS(Table13[[#This Row],[et (12)]]/Table13[[#This Row],[Demand]])</f>
        <v>0.22150649953574739</v>
      </c>
      <c r="W33">
        <f>ABS(Table13[[#This Row],[et (18)]]/Table13[[#This Row],[Demand]])</f>
        <v>0.24818167749922626</v>
      </c>
      <c r="X33">
        <f>ABS(Table13[[#This Row],[et (24)]]/Table13[[#This Row],[Demand]])</f>
        <v>0.26059076137418752</v>
      </c>
      <c r="AG33" s="17"/>
      <c r="AH33" s="19"/>
      <c r="AI33" s="17"/>
      <c r="AJ33" s="17"/>
    </row>
    <row r="34" spans="1:36" x14ac:dyDescent="0.3">
      <c r="A34" s="4">
        <v>39692</v>
      </c>
      <c r="B34" s="8">
        <v>33</v>
      </c>
      <c r="C34">
        <v>1473</v>
      </c>
      <c r="D34">
        <f t="shared" si="12"/>
        <v>1201.5</v>
      </c>
      <c r="E34">
        <f t="shared" si="13"/>
        <v>1125.1666666666667</v>
      </c>
      <c r="F34">
        <f t="shared" si="14"/>
        <v>1120.5</v>
      </c>
      <c r="G34">
        <f t="shared" si="15"/>
        <v>1070.9583333333333</v>
      </c>
      <c r="I34">
        <f>Table13[[#This Row],[MA(6)]]-Table13[[#This Row],[Demand]]</f>
        <v>-271.5</v>
      </c>
      <c r="J34">
        <f>Table13[[#This Row],[MA(12)]]-Table13[[#This Row],[Demand]]</f>
        <v>-347.83333333333326</v>
      </c>
      <c r="K34">
        <f>Table13[[#This Row],[MA(18)]]-Table13[[#This Row],[Demand]]</f>
        <v>-352.5</v>
      </c>
      <c r="L34">
        <f>Table13[[#This Row],[MA(24)]]-Table13[[#This Row],[Demand]]</f>
        <v>-402.04166666666674</v>
      </c>
      <c r="M34">
        <f>ABS(Table13[[#This Row],[MA(6)]]-Table13[[#This Row],[Demand]])</f>
        <v>271.5</v>
      </c>
      <c r="N34">
        <f>ABS(Table13[[#This Row],[MA(12)]]-Table13[[#This Row],[Demand]])</f>
        <v>347.83333333333326</v>
      </c>
      <c r="O34">
        <f>ABS(Table13[[#This Row],[MA(18)]]-Table13[[#This Row],[Demand]])</f>
        <v>352.5</v>
      </c>
      <c r="P34">
        <f>ABS(Table13[[#This Row],[MA(24)]]-Table13[[#This Row],[Demand]])</f>
        <v>402.04166666666674</v>
      </c>
      <c r="Q34">
        <f>Table13[[#This Row],[et (6)]]^2</f>
        <v>73712.25</v>
      </c>
      <c r="R34">
        <f>Table13[[#This Row],[et (12)]]^2</f>
        <v>120988.02777777772</v>
      </c>
      <c r="S34">
        <f>Table13[[#This Row],[et (18)]]^2</f>
        <v>124256.25</v>
      </c>
      <c r="T34">
        <f>Table13[[#This Row],[et (24)]]^2</f>
        <v>161637.50173611118</v>
      </c>
      <c r="U34">
        <f>ABS(Table13[[#This Row],[et (6)]]/Table13[[#This Row],[Demand]])</f>
        <v>0.18431771894093688</v>
      </c>
      <c r="V34">
        <f>ABS(Table13[[#This Row],[et (12)]]/Table13[[#This Row],[Demand]])</f>
        <v>0.23613939805385828</v>
      </c>
      <c r="W34">
        <f>ABS(Table13[[#This Row],[et (18)]]/Table13[[#This Row],[Demand]])</f>
        <v>0.23930753564154786</v>
      </c>
      <c r="X34">
        <f>ABS(Table13[[#This Row],[et (24)]]/Table13[[#This Row],[Demand]])</f>
        <v>0.27294071056800184</v>
      </c>
      <c r="AG34" s="17"/>
      <c r="AH34" s="19"/>
      <c r="AI34" s="17"/>
      <c r="AJ34" s="17"/>
    </row>
    <row r="35" spans="1:36" x14ac:dyDescent="0.3">
      <c r="A35" s="4">
        <v>39722</v>
      </c>
      <c r="B35" s="8">
        <v>34</v>
      </c>
      <c r="C35">
        <v>1453</v>
      </c>
      <c r="D35">
        <f t="shared" si="12"/>
        <v>1299.5</v>
      </c>
      <c r="E35">
        <f t="shared" si="13"/>
        <v>1136.1666666666667</v>
      </c>
      <c r="F35">
        <f t="shared" si="14"/>
        <v>1159.3333333333333</v>
      </c>
      <c r="G35">
        <f t="shared" si="15"/>
        <v>1082</v>
      </c>
      <c r="I35">
        <f>Table13[[#This Row],[MA(6)]]-Table13[[#This Row],[Demand]]</f>
        <v>-153.5</v>
      </c>
      <c r="J35">
        <f>Table13[[#This Row],[MA(12)]]-Table13[[#This Row],[Demand]]</f>
        <v>-316.83333333333326</v>
      </c>
      <c r="K35">
        <f>Table13[[#This Row],[MA(18)]]-Table13[[#This Row],[Demand]]</f>
        <v>-293.66666666666674</v>
      </c>
      <c r="L35">
        <f>Table13[[#This Row],[MA(24)]]-Table13[[#This Row],[Demand]]</f>
        <v>-371</v>
      </c>
      <c r="M35">
        <f>ABS(Table13[[#This Row],[MA(6)]]-Table13[[#This Row],[Demand]])</f>
        <v>153.5</v>
      </c>
      <c r="N35">
        <f>ABS(Table13[[#This Row],[MA(12)]]-Table13[[#This Row],[Demand]])</f>
        <v>316.83333333333326</v>
      </c>
      <c r="O35">
        <f>ABS(Table13[[#This Row],[MA(18)]]-Table13[[#This Row],[Demand]])</f>
        <v>293.66666666666674</v>
      </c>
      <c r="P35">
        <f>ABS(Table13[[#This Row],[MA(24)]]-Table13[[#This Row],[Demand]])</f>
        <v>371</v>
      </c>
      <c r="Q35">
        <f>Table13[[#This Row],[et (6)]]^2</f>
        <v>23562.25</v>
      </c>
      <c r="R35">
        <f>Table13[[#This Row],[et (12)]]^2</f>
        <v>100383.36111111107</v>
      </c>
      <c r="S35">
        <f>Table13[[#This Row],[et (18)]]^2</f>
        <v>86240.111111111153</v>
      </c>
      <c r="T35">
        <f>Table13[[#This Row],[et (24)]]^2</f>
        <v>137641</v>
      </c>
      <c r="U35">
        <f>ABS(Table13[[#This Row],[et (6)]]/Table13[[#This Row],[Demand]])</f>
        <v>0.10564349621472816</v>
      </c>
      <c r="V35">
        <f>ABS(Table13[[#This Row],[et (12)]]/Table13[[#This Row],[Demand]])</f>
        <v>0.21805459967882537</v>
      </c>
      <c r="W35">
        <f>ABS(Table13[[#This Row],[et (18)]]/Table13[[#This Row],[Demand]])</f>
        <v>0.20211057582014227</v>
      </c>
      <c r="X35">
        <f>ABS(Table13[[#This Row],[et (24)]]/Table13[[#This Row],[Demand]])</f>
        <v>0.2553337921541638</v>
      </c>
      <c r="AG35" s="17"/>
      <c r="AH35" s="19"/>
      <c r="AI35" s="17"/>
      <c r="AJ35" s="17"/>
    </row>
    <row r="36" spans="1:36" x14ac:dyDescent="0.3">
      <c r="A36" s="4">
        <v>39753</v>
      </c>
      <c r="B36" s="8">
        <v>35</v>
      </c>
      <c r="C36">
        <v>1170</v>
      </c>
      <c r="D36">
        <f t="shared" si="12"/>
        <v>1365.8333333333333</v>
      </c>
      <c r="E36">
        <f t="shared" si="13"/>
        <v>1149.25</v>
      </c>
      <c r="F36">
        <f t="shared" si="14"/>
        <v>1188.2777777777778</v>
      </c>
      <c r="G36">
        <f t="shared" si="15"/>
        <v>1095.4166666666667</v>
      </c>
      <c r="I36">
        <f>Table13[[#This Row],[MA(6)]]-Table13[[#This Row],[Demand]]</f>
        <v>195.83333333333326</v>
      </c>
      <c r="J36">
        <f>Table13[[#This Row],[MA(12)]]-Table13[[#This Row],[Demand]]</f>
        <v>-20.75</v>
      </c>
      <c r="K36">
        <f>Table13[[#This Row],[MA(18)]]-Table13[[#This Row],[Demand]]</f>
        <v>18.277777777777828</v>
      </c>
      <c r="L36">
        <f>Table13[[#This Row],[MA(24)]]-Table13[[#This Row],[Demand]]</f>
        <v>-74.583333333333258</v>
      </c>
      <c r="M36">
        <f>ABS(Table13[[#This Row],[MA(6)]]-Table13[[#This Row],[Demand]])</f>
        <v>195.83333333333326</v>
      </c>
      <c r="N36">
        <f>ABS(Table13[[#This Row],[MA(12)]]-Table13[[#This Row],[Demand]])</f>
        <v>20.75</v>
      </c>
      <c r="O36">
        <f>ABS(Table13[[#This Row],[MA(18)]]-Table13[[#This Row],[Demand]])</f>
        <v>18.277777777777828</v>
      </c>
      <c r="P36">
        <f>ABS(Table13[[#This Row],[MA(24)]]-Table13[[#This Row],[Demand]])</f>
        <v>74.583333333333258</v>
      </c>
      <c r="Q36">
        <f>Table13[[#This Row],[et (6)]]^2</f>
        <v>38350.694444444416</v>
      </c>
      <c r="R36">
        <f>Table13[[#This Row],[et (12)]]^2</f>
        <v>430.5625</v>
      </c>
      <c r="S36">
        <f>Table13[[#This Row],[et (18)]]^2</f>
        <v>334.07716049382901</v>
      </c>
      <c r="T36">
        <f>Table13[[#This Row],[et (24)]]^2</f>
        <v>5562.6736111110995</v>
      </c>
      <c r="U36">
        <f>ABS(Table13[[#This Row],[et (6)]]/Table13[[#This Row],[Demand]])</f>
        <v>0.1673789173789173</v>
      </c>
      <c r="V36">
        <f>ABS(Table13[[#This Row],[et (12)]]/Table13[[#This Row],[Demand]])</f>
        <v>1.7735042735042734E-2</v>
      </c>
      <c r="W36">
        <f>ABS(Table13[[#This Row],[et (18)]]/Table13[[#This Row],[Demand]])</f>
        <v>1.5622032288698998E-2</v>
      </c>
      <c r="X36">
        <f>ABS(Table13[[#This Row],[et (24)]]/Table13[[#This Row],[Demand]])</f>
        <v>6.3746438746438677E-2</v>
      </c>
      <c r="AG36" s="17"/>
      <c r="AH36" s="19"/>
      <c r="AI36" s="17"/>
      <c r="AJ36" s="17"/>
    </row>
    <row r="37" spans="1:36" x14ac:dyDescent="0.3">
      <c r="A37" s="4">
        <v>39783</v>
      </c>
      <c r="B37" s="8">
        <v>36</v>
      </c>
      <c r="C37">
        <v>1023</v>
      </c>
      <c r="D37">
        <f t="shared" si="12"/>
        <v>1360.1666666666667</v>
      </c>
      <c r="E37">
        <f t="shared" si="13"/>
        <v>1157.9166666666667</v>
      </c>
      <c r="F37">
        <f t="shared" si="14"/>
        <v>1192.2222222222222</v>
      </c>
      <c r="G37">
        <f t="shared" si="15"/>
        <v>1103.7083333333333</v>
      </c>
      <c r="I37">
        <f>Table13[[#This Row],[MA(6)]]-Table13[[#This Row],[Demand]]</f>
        <v>337.16666666666674</v>
      </c>
      <c r="J37">
        <f>Table13[[#This Row],[MA(12)]]-Table13[[#This Row],[Demand]]</f>
        <v>134.91666666666674</v>
      </c>
      <c r="K37">
        <f>Table13[[#This Row],[MA(18)]]-Table13[[#This Row],[Demand]]</f>
        <v>169.22222222222217</v>
      </c>
      <c r="L37">
        <f>Table13[[#This Row],[MA(24)]]-Table13[[#This Row],[Demand]]</f>
        <v>80.708333333333258</v>
      </c>
      <c r="M37">
        <f>ABS(Table13[[#This Row],[MA(6)]]-Table13[[#This Row],[Demand]])</f>
        <v>337.16666666666674</v>
      </c>
      <c r="N37">
        <f>ABS(Table13[[#This Row],[MA(12)]]-Table13[[#This Row],[Demand]])</f>
        <v>134.91666666666674</v>
      </c>
      <c r="O37">
        <f>ABS(Table13[[#This Row],[MA(18)]]-Table13[[#This Row],[Demand]])</f>
        <v>169.22222222222217</v>
      </c>
      <c r="P37">
        <f>ABS(Table13[[#This Row],[MA(24)]]-Table13[[#This Row],[Demand]])</f>
        <v>80.708333333333258</v>
      </c>
      <c r="Q37">
        <f>Table13[[#This Row],[et (6)]]^2</f>
        <v>113681.36111111117</v>
      </c>
      <c r="R37">
        <f>Table13[[#This Row],[et (12)]]^2</f>
        <v>18202.506944444463</v>
      </c>
      <c r="S37">
        <f>Table13[[#This Row],[et (18)]]^2</f>
        <v>28636.160493827145</v>
      </c>
      <c r="T37">
        <f>Table13[[#This Row],[et (24)]]^2</f>
        <v>6513.8350694444325</v>
      </c>
      <c r="U37">
        <f>ABS(Table13[[#This Row],[et (6)]]/Table13[[#This Row],[Demand]])</f>
        <v>0.32958618442489418</v>
      </c>
      <c r="V37">
        <f>ABS(Table13[[#This Row],[et (12)]]/Table13[[#This Row],[Demand]])</f>
        <v>0.1318833496252852</v>
      </c>
      <c r="W37">
        <f>ABS(Table13[[#This Row],[et (18)]]/Table13[[#This Row],[Demand]])</f>
        <v>0.16541761703052021</v>
      </c>
      <c r="X37">
        <f>ABS(Table13[[#This Row],[et (24)]]/Table13[[#This Row],[Demand]])</f>
        <v>7.8893776474421556E-2</v>
      </c>
      <c r="AG37" s="17"/>
      <c r="AH37" s="19"/>
      <c r="AI37" s="17"/>
      <c r="AJ37" s="17"/>
    </row>
    <row r="38" spans="1:36" x14ac:dyDescent="0.3">
      <c r="A38" s="4">
        <v>39814</v>
      </c>
      <c r="B38" s="8">
        <v>37</v>
      </c>
      <c r="C38">
        <v>951</v>
      </c>
      <c r="D38">
        <f t="shared" si="12"/>
        <v>1309.6666666666667</v>
      </c>
      <c r="E38">
        <f t="shared" si="13"/>
        <v>1168.0833333333333</v>
      </c>
      <c r="F38">
        <f t="shared" si="14"/>
        <v>1181.1111111111111</v>
      </c>
      <c r="G38">
        <f t="shared" si="15"/>
        <v>1113.7083333333333</v>
      </c>
      <c r="I38">
        <f>Table13[[#This Row],[MA(6)]]-Table13[[#This Row],[Demand]]</f>
        <v>358.66666666666674</v>
      </c>
      <c r="J38">
        <f>Table13[[#This Row],[MA(12)]]-Table13[[#This Row],[Demand]]</f>
        <v>217.08333333333326</v>
      </c>
      <c r="K38">
        <f>Table13[[#This Row],[MA(18)]]-Table13[[#This Row],[Demand]]</f>
        <v>230.11111111111109</v>
      </c>
      <c r="L38">
        <f>Table13[[#This Row],[MA(24)]]-Table13[[#This Row],[Demand]]</f>
        <v>162.70833333333326</v>
      </c>
      <c r="M38">
        <f>ABS(Table13[[#This Row],[MA(6)]]-Table13[[#This Row],[Demand]])</f>
        <v>358.66666666666674</v>
      </c>
      <c r="N38">
        <f>ABS(Table13[[#This Row],[MA(12)]]-Table13[[#This Row],[Demand]])</f>
        <v>217.08333333333326</v>
      </c>
      <c r="O38">
        <f>ABS(Table13[[#This Row],[MA(18)]]-Table13[[#This Row],[Demand]])</f>
        <v>230.11111111111109</v>
      </c>
      <c r="P38">
        <f>ABS(Table13[[#This Row],[MA(24)]]-Table13[[#This Row],[Demand]])</f>
        <v>162.70833333333326</v>
      </c>
      <c r="Q38">
        <f>Table13[[#This Row],[et (6)]]^2</f>
        <v>128641.77777777784</v>
      </c>
      <c r="R38">
        <f>Table13[[#This Row],[et (12)]]^2</f>
        <v>47125.17361111108</v>
      </c>
      <c r="S38">
        <f>Table13[[#This Row],[et (18)]]^2</f>
        <v>52951.123456790112</v>
      </c>
      <c r="T38">
        <f>Table13[[#This Row],[et (24)]]^2</f>
        <v>26474.001736111088</v>
      </c>
      <c r="U38">
        <f>ABS(Table13[[#This Row],[et (6)]]/Table13[[#This Row],[Demand]])</f>
        <v>0.37714686295127942</v>
      </c>
      <c r="V38">
        <f>ABS(Table13[[#This Row],[et (12)]]/Table13[[#This Row],[Demand]])</f>
        <v>0.2282684893094987</v>
      </c>
      <c r="W38">
        <f>ABS(Table13[[#This Row],[et (18)]]/Table13[[#This Row],[Demand]])</f>
        <v>0.2419675195700432</v>
      </c>
      <c r="X38">
        <f>ABS(Table13[[#This Row],[et (24)]]/Table13[[#This Row],[Demand]])</f>
        <v>0.17109183315807913</v>
      </c>
      <c r="AG38" s="17"/>
      <c r="AH38" s="19"/>
      <c r="AI38" s="17"/>
      <c r="AJ38" s="17"/>
    </row>
    <row r="39" spans="1:36" x14ac:dyDescent="0.3">
      <c r="A39" s="4">
        <v>39845</v>
      </c>
      <c r="B39" s="8">
        <v>38</v>
      </c>
      <c r="C39">
        <v>861</v>
      </c>
      <c r="D39">
        <f t="shared" si="12"/>
        <v>1251</v>
      </c>
      <c r="E39">
        <f t="shared" si="13"/>
        <v>1172.6666666666667</v>
      </c>
      <c r="F39">
        <f t="shared" si="14"/>
        <v>1162.2777777777778</v>
      </c>
      <c r="G39">
        <f t="shared" si="15"/>
        <v>1122.4583333333333</v>
      </c>
      <c r="I39">
        <f>Table13[[#This Row],[MA(6)]]-Table13[[#This Row],[Demand]]</f>
        <v>390</v>
      </c>
      <c r="J39">
        <f>Table13[[#This Row],[MA(12)]]-Table13[[#This Row],[Demand]]</f>
        <v>311.66666666666674</v>
      </c>
      <c r="K39">
        <f>Table13[[#This Row],[MA(18)]]-Table13[[#This Row],[Demand]]</f>
        <v>301.27777777777783</v>
      </c>
      <c r="L39">
        <f>Table13[[#This Row],[MA(24)]]-Table13[[#This Row],[Demand]]</f>
        <v>261.45833333333326</v>
      </c>
      <c r="M39">
        <f>ABS(Table13[[#This Row],[MA(6)]]-Table13[[#This Row],[Demand]])</f>
        <v>390</v>
      </c>
      <c r="N39">
        <f>ABS(Table13[[#This Row],[MA(12)]]-Table13[[#This Row],[Demand]])</f>
        <v>311.66666666666674</v>
      </c>
      <c r="O39">
        <f>ABS(Table13[[#This Row],[MA(18)]]-Table13[[#This Row],[Demand]])</f>
        <v>301.27777777777783</v>
      </c>
      <c r="P39">
        <f>ABS(Table13[[#This Row],[MA(24)]]-Table13[[#This Row],[Demand]])</f>
        <v>261.45833333333326</v>
      </c>
      <c r="Q39">
        <f>Table13[[#This Row],[et (6)]]^2</f>
        <v>152100</v>
      </c>
      <c r="R39">
        <f>Table13[[#This Row],[et (12)]]^2</f>
        <v>97136.111111111153</v>
      </c>
      <c r="S39">
        <f>Table13[[#This Row],[et (18)]]^2</f>
        <v>90768.299382716083</v>
      </c>
      <c r="T39">
        <f>Table13[[#This Row],[et (24)]]^2</f>
        <v>68360.460069444409</v>
      </c>
      <c r="U39">
        <f>ABS(Table13[[#This Row],[et (6)]]/Table13[[#This Row],[Demand]])</f>
        <v>0.45296167247386759</v>
      </c>
      <c r="V39">
        <f>ABS(Table13[[#This Row],[et (12)]]/Table13[[#This Row],[Demand]])</f>
        <v>0.36198219125048403</v>
      </c>
      <c r="W39">
        <f>ABS(Table13[[#This Row],[et (18)]]/Table13[[#This Row],[Demand]])</f>
        <v>0.3499161182088012</v>
      </c>
      <c r="X39">
        <f>ABS(Table13[[#This Row],[et (24)]]/Table13[[#This Row],[Demand]])</f>
        <v>0.30366821525358101</v>
      </c>
      <c r="AG39" s="17"/>
      <c r="AH39" s="19"/>
      <c r="AI39" s="17"/>
      <c r="AJ39" s="17"/>
    </row>
    <row r="40" spans="1:36" x14ac:dyDescent="0.3">
      <c r="A40" s="4">
        <v>39873</v>
      </c>
      <c r="B40" s="8">
        <v>39</v>
      </c>
      <c r="C40">
        <v>938</v>
      </c>
      <c r="D40">
        <f t="shared" si="12"/>
        <v>1155.1666666666667</v>
      </c>
      <c r="E40">
        <f t="shared" si="13"/>
        <v>1178.3333333333333</v>
      </c>
      <c r="F40">
        <f t="shared" si="14"/>
        <v>1135.1666666666667</v>
      </c>
      <c r="G40">
        <f t="shared" si="15"/>
        <v>1129.1666666666667</v>
      </c>
      <c r="I40">
        <f>Table13[[#This Row],[MA(6)]]-Table13[[#This Row],[Demand]]</f>
        <v>217.16666666666674</v>
      </c>
      <c r="J40">
        <f>Table13[[#This Row],[MA(12)]]-Table13[[#This Row],[Demand]]</f>
        <v>240.33333333333326</v>
      </c>
      <c r="K40">
        <f>Table13[[#This Row],[MA(18)]]-Table13[[#This Row],[Demand]]</f>
        <v>197.16666666666674</v>
      </c>
      <c r="L40">
        <f>Table13[[#This Row],[MA(24)]]-Table13[[#This Row],[Demand]]</f>
        <v>191.16666666666674</v>
      </c>
      <c r="M40">
        <f>ABS(Table13[[#This Row],[MA(6)]]-Table13[[#This Row],[Demand]])</f>
        <v>217.16666666666674</v>
      </c>
      <c r="N40">
        <f>ABS(Table13[[#This Row],[MA(12)]]-Table13[[#This Row],[Demand]])</f>
        <v>240.33333333333326</v>
      </c>
      <c r="O40">
        <f>ABS(Table13[[#This Row],[MA(18)]]-Table13[[#This Row],[Demand]])</f>
        <v>197.16666666666674</v>
      </c>
      <c r="P40">
        <f>ABS(Table13[[#This Row],[MA(24)]]-Table13[[#This Row],[Demand]])</f>
        <v>191.16666666666674</v>
      </c>
      <c r="Q40">
        <f>Table13[[#This Row],[et (6)]]^2</f>
        <v>47161.361111111146</v>
      </c>
      <c r="R40">
        <f>Table13[[#This Row],[et (12)]]^2</f>
        <v>57760.111111111073</v>
      </c>
      <c r="S40">
        <f>Table13[[#This Row],[et (18)]]^2</f>
        <v>38874.694444444474</v>
      </c>
      <c r="T40">
        <f>Table13[[#This Row],[et (24)]]^2</f>
        <v>36544.694444444474</v>
      </c>
      <c r="U40">
        <f>ABS(Table13[[#This Row],[et (6)]]/Table13[[#This Row],[Demand]])</f>
        <v>0.23152096659559354</v>
      </c>
      <c r="V40">
        <f>ABS(Table13[[#This Row],[et (12)]]/Table13[[#This Row],[Demand]])</f>
        <v>0.25621890547263676</v>
      </c>
      <c r="W40">
        <f>ABS(Table13[[#This Row],[et (18)]]/Table13[[#This Row],[Demand]])</f>
        <v>0.21019900497512445</v>
      </c>
      <c r="X40">
        <f>ABS(Table13[[#This Row],[et (24)]]/Table13[[#This Row],[Demand]])</f>
        <v>0.20380241648898373</v>
      </c>
      <c r="AG40" s="17"/>
      <c r="AH40" s="19"/>
      <c r="AI40" s="17"/>
      <c r="AJ40" s="17"/>
    </row>
    <row r="41" spans="1:36" x14ac:dyDescent="0.3">
      <c r="A41" s="4">
        <v>39904</v>
      </c>
      <c r="B41" s="8">
        <v>40</v>
      </c>
      <c r="C41">
        <v>1109</v>
      </c>
      <c r="D41">
        <f t="shared" si="12"/>
        <v>1066</v>
      </c>
      <c r="E41">
        <f t="shared" si="13"/>
        <v>1182.75</v>
      </c>
      <c r="F41">
        <f t="shared" si="14"/>
        <v>1112.7777777777778</v>
      </c>
      <c r="G41">
        <f t="shared" si="15"/>
        <v>1136</v>
      </c>
      <c r="I41">
        <f>Table13[[#This Row],[MA(6)]]-Table13[[#This Row],[Demand]]</f>
        <v>-43</v>
      </c>
      <c r="J41">
        <f>Table13[[#This Row],[MA(12)]]-Table13[[#This Row],[Demand]]</f>
        <v>73.75</v>
      </c>
      <c r="K41">
        <f>Table13[[#This Row],[MA(18)]]-Table13[[#This Row],[Demand]]</f>
        <v>3.7777777777778283</v>
      </c>
      <c r="L41">
        <f>Table13[[#This Row],[MA(24)]]-Table13[[#This Row],[Demand]]</f>
        <v>27</v>
      </c>
      <c r="M41">
        <f>ABS(Table13[[#This Row],[MA(6)]]-Table13[[#This Row],[Demand]])</f>
        <v>43</v>
      </c>
      <c r="N41">
        <f>ABS(Table13[[#This Row],[MA(12)]]-Table13[[#This Row],[Demand]])</f>
        <v>73.75</v>
      </c>
      <c r="O41">
        <f>ABS(Table13[[#This Row],[MA(18)]]-Table13[[#This Row],[Demand]])</f>
        <v>3.7777777777778283</v>
      </c>
      <c r="P41">
        <f>ABS(Table13[[#This Row],[MA(24)]]-Table13[[#This Row],[Demand]])</f>
        <v>27</v>
      </c>
      <c r="Q41">
        <f>Table13[[#This Row],[et (6)]]^2</f>
        <v>1849</v>
      </c>
      <c r="R41">
        <f>Table13[[#This Row],[et (12)]]^2</f>
        <v>5439.0625</v>
      </c>
      <c r="S41">
        <f>Table13[[#This Row],[et (18)]]^2</f>
        <v>14.271604938271986</v>
      </c>
      <c r="T41">
        <f>Table13[[#This Row],[et (24)]]^2</f>
        <v>729</v>
      </c>
      <c r="U41">
        <f>ABS(Table13[[#This Row],[et (6)]]/Table13[[#This Row],[Demand]])</f>
        <v>3.87736699729486E-2</v>
      </c>
      <c r="V41">
        <f>ABS(Table13[[#This Row],[et (12)]]/Table13[[#This Row],[Demand]])</f>
        <v>6.650135256988278E-2</v>
      </c>
      <c r="W41">
        <f>ABS(Table13[[#This Row],[et (18)]]/Table13[[#This Row],[Demand]])</f>
        <v>3.4064722973650391E-3</v>
      </c>
      <c r="X41">
        <f>ABS(Table13[[#This Row],[et (24)]]/Table13[[#This Row],[Demand]])</f>
        <v>2.4346257889990983E-2</v>
      </c>
      <c r="AG41" s="17"/>
      <c r="AH41" s="19"/>
      <c r="AI41" s="17"/>
      <c r="AJ41" s="17"/>
    </row>
    <row r="42" spans="1:36" x14ac:dyDescent="0.3">
      <c r="A42" s="4">
        <v>39934</v>
      </c>
      <c r="B42" s="8">
        <v>41</v>
      </c>
      <c r="C42">
        <v>1274</v>
      </c>
      <c r="D42">
        <f t="shared" si="12"/>
        <v>1008.6666666666666</v>
      </c>
      <c r="E42">
        <f t="shared" si="13"/>
        <v>1187.25</v>
      </c>
      <c r="F42">
        <f t="shared" si="14"/>
        <v>1102.3888888888889</v>
      </c>
      <c r="G42">
        <f t="shared" si="15"/>
        <v>1143.375</v>
      </c>
      <c r="I42">
        <f>Table13[[#This Row],[MA(6)]]-Table13[[#This Row],[Demand]]</f>
        <v>-265.33333333333337</v>
      </c>
      <c r="J42">
        <f>Table13[[#This Row],[MA(12)]]-Table13[[#This Row],[Demand]]</f>
        <v>-86.75</v>
      </c>
      <c r="K42">
        <f>Table13[[#This Row],[MA(18)]]-Table13[[#This Row],[Demand]]</f>
        <v>-171.61111111111109</v>
      </c>
      <c r="L42">
        <f>Table13[[#This Row],[MA(24)]]-Table13[[#This Row],[Demand]]</f>
        <v>-130.625</v>
      </c>
      <c r="M42">
        <f>ABS(Table13[[#This Row],[MA(6)]]-Table13[[#This Row],[Demand]])</f>
        <v>265.33333333333337</v>
      </c>
      <c r="N42">
        <f>ABS(Table13[[#This Row],[MA(12)]]-Table13[[#This Row],[Demand]])</f>
        <v>86.75</v>
      </c>
      <c r="O42">
        <f>ABS(Table13[[#This Row],[MA(18)]]-Table13[[#This Row],[Demand]])</f>
        <v>171.61111111111109</v>
      </c>
      <c r="P42">
        <f>ABS(Table13[[#This Row],[MA(24)]]-Table13[[#This Row],[Demand]])</f>
        <v>130.625</v>
      </c>
      <c r="Q42">
        <f>Table13[[#This Row],[et (6)]]^2</f>
        <v>70401.777777777796</v>
      </c>
      <c r="R42">
        <f>Table13[[#This Row],[et (12)]]^2</f>
        <v>7525.5625</v>
      </c>
      <c r="S42">
        <f>Table13[[#This Row],[et (18)]]^2</f>
        <v>29450.373456790116</v>
      </c>
      <c r="T42">
        <f>Table13[[#This Row],[et (24)]]^2</f>
        <v>17062.890625</v>
      </c>
      <c r="U42">
        <f>ABS(Table13[[#This Row],[et (6)]]/Table13[[#This Row],[Demand]])</f>
        <v>0.20826792255363688</v>
      </c>
      <c r="V42">
        <f>ABS(Table13[[#This Row],[et (12)]]/Table13[[#This Row],[Demand]])</f>
        <v>6.8092621664050237E-2</v>
      </c>
      <c r="W42">
        <f>ABS(Table13[[#This Row],[et (18)]]/Table13[[#This Row],[Demand]])</f>
        <v>0.13470259898831324</v>
      </c>
      <c r="X42">
        <f>ABS(Table13[[#This Row],[et (24)]]/Table13[[#This Row],[Demand]])</f>
        <v>0.10253139717425432</v>
      </c>
      <c r="AG42" s="17"/>
      <c r="AH42" s="19"/>
      <c r="AI42" s="17"/>
      <c r="AJ42" s="17"/>
    </row>
    <row r="43" spans="1:36" x14ac:dyDescent="0.3">
      <c r="A43" s="4">
        <v>39965</v>
      </c>
      <c r="B43" s="8">
        <v>42</v>
      </c>
      <c r="C43">
        <v>1422</v>
      </c>
      <c r="D43">
        <f t="shared" si="12"/>
        <v>1026</v>
      </c>
      <c r="E43">
        <f t="shared" si="13"/>
        <v>1193.0833333333333</v>
      </c>
      <c r="F43">
        <f t="shared" si="14"/>
        <v>1113.9444444444443</v>
      </c>
      <c r="G43">
        <f t="shared" si="15"/>
        <v>1150.6666666666667</v>
      </c>
      <c r="I43">
        <f>Table13[[#This Row],[MA(6)]]-Table13[[#This Row],[Demand]]</f>
        <v>-396</v>
      </c>
      <c r="J43">
        <f>Table13[[#This Row],[MA(12)]]-Table13[[#This Row],[Demand]]</f>
        <v>-228.91666666666674</v>
      </c>
      <c r="K43">
        <f>Table13[[#This Row],[MA(18)]]-Table13[[#This Row],[Demand]]</f>
        <v>-308.05555555555566</v>
      </c>
      <c r="L43">
        <f>Table13[[#This Row],[MA(24)]]-Table13[[#This Row],[Demand]]</f>
        <v>-271.33333333333326</v>
      </c>
      <c r="M43">
        <f>ABS(Table13[[#This Row],[MA(6)]]-Table13[[#This Row],[Demand]])</f>
        <v>396</v>
      </c>
      <c r="N43">
        <f>ABS(Table13[[#This Row],[MA(12)]]-Table13[[#This Row],[Demand]])</f>
        <v>228.91666666666674</v>
      </c>
      <c r="O43">
        <f>ABS(Table13[[#This Row],[MA(18)]]-Table13[[#This Row],[Demand]])</f>
        <v>308.05555555555566</v>
      </c>
      <c r="P43">
        <f>ABS(Table13[[#This Row],[MA(24)]]-Table13[[#This Row],[Demand]])</f>
        <v>271.33333333333326</v>
      </c>
      <c r="Q43">
        <f>Table13[[#This Row],[et (6)]]^2</f>
        <v>156816</v>
      </c>
      <c r="R43">
        <f>Table13[[#This Row],[et (12)]]^2</f>
        <v>52402.84027777781</v>
      </c>
      <c r="S43">
        <f>Table13[[#This Row],[et (18)]]^2</f>
        <v>94898.225308642039</v>
      </c>
      <c r="T43">
        <f>Table13[[#This Row],[et (24)]]^2</f>
        <v>73621.777777777737</v>
      </c>
      <c r="U43">
        <f>ABS(Table13[[#This Row],[et (6)]]/Table13[[#This Row],[Demand]])</f>
        <v>0.27848101265822783</v>
      </c>
      <c r="V43">
        <f>ABS(Table13[[#This Row],[et (12)]]/Table13[[#This Row],[Demand]])</f>
        <v>0.160982184716362</v>
      </c>
      <c r="W43">
        <f>ABS(Table13[[#This Row],[et (18)]]/Table13[[#This Row],[Demand]])</f>
        <v>0.21663541178309118</v>
      </c>
      <c r="X43">
        <f>ABS(Table13[[#This Row],[et (24)]]/Table13[[#This Row],[Demand]])</f>
        <v>0.19081106422878569</v>
      </c>
      <c r="AG43" s="17"/>
      <c r="AH43" s="19"/>
      <c r="AI43" s="17"/>
      <c r="AJ43" s="17"/>
    </row>
    <row r="44" spans="1:36" x14ac:dyDescent="0.3">
      <c r="A44" s="4">
        <v>39995</v>
      </c>
      <c r="B44" s="8">
        <v>43</v>
      </c>
      <c r="C44">
        <v>1486</v>
      </c>
      <c r="D44">
        <f t="shared" si="12"/>
        <v>1092.5</v>
      </c>
      <c r="E44">
        <f t="shared" si="13"/>
        <v>1201.0833333333333</v>
      </c>
      <c r="F44">
        <f t="shared" si="14"/>
        <v>1142.8888888888889</v>
      </c>
      <c r="G44">
        <f t="shared" si="15"/>
        <v>1158.9583333333333</v>
      </c>
      <c r="I44">
        <f>Table13[[#This Row],[MA(6)]]-Table13[[#This Row],[Demand]]</f>
        <v>-393.5</v>
      </c>
      <c r="J44">
        <f>Table13[[#This Row],[MA(12)]]-Table13[[#This Row],[Demand]]</f>
        <v>-284.91666666666674</v>
      </c>
      <c r="K44">
        <f>Table13[[#This Row],[MA(18)]]-Table13[[#This Row],[Demand]]</f>
        <v>-343.11111111111109</v>
      </c>
      <c r="L44">
        <f>Table13[[#This Row],[MA(24)]]-Table13[[#This Row],[Demand]]</f>
        <v>-327.04166666666674</v>
      </c>
      <c r="M44">
        <f>ABS(Table13[[#This Row],[MA(6)]]-Table13[[#This Row],[Demand]])</f>
        <v>393.5</v>
      </c>
      <c r="N44">
        <f>ABS(Table13[[#This Row],[MA(12)]]-Table13[[#This Row],[Demand]])</f>
        <v>284.91666666666674</v>
      </c>
      <c r="O44">
        <f>ABS(Table13[[#This Row],[MA(18)]]-Table13[[#This Row],[Demand]])</f>
        <v>343.11111111111109</v>
      </c>
      <c r="P44">
        <f>ABS(Table13[[#This Row],[MA(24)]]-Table13[[#This Row],[Demand]])</f>
        <v>327.04166666666674</v>
      </c>
      <c r="Q44">
        <f>Table13[[#This Row],[et (6)]]^2</f>
        <v>154842.25</v>
      </c>
      <c r="R44">
        <f>Table13[[#This Row],[et (12)]]^2</f>
        <v>81177.506944444482</v>
      </c>
      <c r="S44">
        <f>Table13[[#This Row],[et (18)]]^2</f>
        <v>117725.23456790122</v>
      </c>
      <c r="T44">
        <f>Table13[[#This Row],[et (24)]]^2</f>
        <v>106956.25173611117</v>
      </c>
      <c r="U44">
        <f>ABS(Table13[[#This Row],[et (6)]]/Table13[[#This Row],[Demand]])</f>
        <v>0.2648048452220727</v>
      </c>
      <c r="V44">
        <f>ABS(Table13[[#This Row],[et (12)]]/Table13[[#This Row],[Demand]])</f>
        <v>0.19173396141767615</v>
      </c>
      <c r="W44">
        <f>ABS(Table13[[#This Row],[et (18)]]/Table13[[#This Row],[Demand]])</f>
        <v>0.23089576790788094</v>
      </c>
      <c r="X44">
        <f>ABS(Table13[[#This Row],[et (24)]]/Table13[[#This Row],[Demand]])</f>
        <v>0.22008187528039486</v>
      </c>
      <c r="AG44" s="17"/>
      <c r="AH44" s="19"/>
      <c r="AI44" s="17"/>
      <c r="AJ44" s="17"/>
    </row>
    <row r="45" spans="1:36" x14ac:dyDescent="0.3">
      <c r="A45" s="4">
        <v>40026</v>
      </c>
      <c r="B45" s="8">
        <v>44</v>
      </c>
      <c r="C45">
        <v>1555</v>
      </c>
      <c r="D45">
        <f t="shared" si="12"/>
        <v>1181.6666666666667</v>
      </c>
      <c r="E45">
        <f t="shared" si="13"/>
        <v>1216.3333333333333</v>
      </c>
      <c r="F45">
        <f t="shared" si="14"/>
        <v>1175.6666666666667</v>
      </c>
      <c r="G45">
        <f t="shared" si="15"/>
        <v>1167.125</v>
      </c>
      <c r="I45">
        <f>Table13[[#This Row],[MA(6)]]-Table13[[#This Row],[Demand]]</f>
        <v>-373.33333333333326</v>
      </c>
      <c r="J45">
        <f>Table13[[#This Row],[MA(12)]]-Table13[[#This Row],[Demand]]</f>
        <v>-338.66666666666674</v>
      </c>
      <c r="K45">
        <f>Table13[[#This Row],[MA(18)]]-Table13[[#This Row],[Demand]]</f>
        <v>-379.33333333333326</v>
      </c>
      <c r="L45">
        <f>Table13[[#This Row],[MA(24)]]-Table13[[#This Row],[Demand]]</f>
        <v>-387.875</v>
      </c>
      <c r="M45">
        <f>ABS(Table13[[#This Row],[MA(6)]]-Table13[[#This Row],[Demand]])</f>
        <v>373.33333333333326</v>
      </c>
      <c r="N45">
        <f>ABS(Table13[[#This Row],[MA(12)]]-Table13[[#This Row],[Demand]])</f>
        <v>338.66666666666674</v>
      </c>
      <c r="O45">
        <f>ABS(Table13[[#This Row],[MA(18)]]-Table13[[#This Row],[Demand]])</f>
        <v>379.33333333333326</v>
      </c>
      <c r="P45">
        <f>ABS(Table13[[#This Row],[MA(24)]]-Table13[[#This Row],[Demand]])</f>
        <v>387.875</v>
      </c>
      <c r="Q45">
        <f>Table13[[#This Row],[et (6)]]^2</f>
        <v>139377.77777777772</v>
      </c>
      <c r="R45">
        <f>Table13[[#This Row],[et (12)]]^2</f>
        <v>114695.11111111117</v>
      </c>
      <c r="S45">
        <f>Table13[[#This Row],[et (18)]]^2</f>
        <v>143893.77777777772</v>
      </c>
      <c r="T45">
        <f>Table13[[#This Row],[et (24)]]^2</f>
        <v>150447.015625</v>
      </c>
      <c r="U45">
        <f>ABS(Table13[[#This Row],[et (6)]]/Table13[[#This Row],[Demand]])</f>
        <v>0.24008574490889598</v>
      </c>
      <c r="V45">
        <f>ABS(Table13[[#This Row],[et (12)]]/Table13[[#This Row],[Demand]])</f>
        <v>0.21779206859592717</v>
      </c>
      <c r="W45">
        <f>ABS(Table13[[#This Row],[et (18)]]/Table13[[#This Row],[Demand]])</f>
        <v>0.24394426580921752</v>
      </c>
      <c r="X45">
        <f>ABS(Table13[[#This Row],[et (24)]]/Table13[[#This Row],[Demand]])</f>
        <v>0.24943729903536976</v>
      </c>
      <c r="AG45" s="17"/>
      <c r="AH45" s="19"/>
      <c r="AI45" s="17"/>
      <c r="AJ45" s="17"/>
    </row>
    <row r="46" spans="1:36" x14ac:dyDescent="0.3">
      <c r="A46" s="4">
        <v>40057</v>
      </c>
      <c r="B46" s="8">
        <v>45</v>
      </c>
      <c r="C46">
        <v>1604</v>
      </c>
      <c r="D46">
        <f t="shared" si="12"/>
        <v>1297.3333333333333</v>
      </c>
      <c r="E46">
        <f t="shared" si="13"/>
        <v>1226.25</v>
      </c>
      <c r="F46">
        <f t="shared" si="14"/>
        <v>1218</v>
      </c>
      <c r="G46">
        <f t="shared" si="15"/>
        <v>1175.7083333333333</v>
      </c>
      <c r="I46">
        <f>Table13[[#This Row],[MA(6)]]-Table13[[#This Row],[Demand]]</f>
        <v>-306.66666666666674</v>
      </c>
      <c r="J46">
        <f>Table13[[#This Row],[MA(12)]]-Table13[[#This Row],[Demand]]</f>
        <v>-377.75</v>
      </c>
      <c r="K46">
        <f>Table13[[#This Row],[MA(18)]]-Table13[[#This Row],[Demand]]</f>
        <v>-386</v>
      </c>
      <c r="L46">
        <f>Table13[[#This Row],[MA(24)]]-Table13[[#This Row],[Demand]]</f>
        <v>-428.29166666666674</v>
      </c>
      <c r="M46">
        <f>ABS(Table13[[#This Row],[MA(6)]]-Table13[[#This Row],[Demand]])</f>
        <v>306.66666666666674</v>
      </c>
      <c r="N46">
        <f>ABS(Table13[[#This Row],[MA(12)]]-Table13[[#This Row],[Demand]])</f>
        <v>377.75</v>
      </c>
      <c r="O46">
        <f>ABS(Table13[[#This Row],[MA(18)]]-Table13[[#This Row],[Demand]])</f>
        <v>386</v>
      </c>
      <c r="P46">
        <f>ABS(Table13[[#This Row],[MA(24)]]-Table13[[#This Row],[Demand]])</f>
        <v>428.29166666666674</v>
      </c>
      <c r="Q46">
        <f>Table13[[#This Row],[et (6)]]^2</f>
        <v>94044.444444444496</v>
      </c>
      <c r="R46">
        <f>Table13[[#This Row],[et (12)]]^2</f>
        <v>142695.0625</v>
      </c>
      <c r="S46">
        <f>Table13[[#This Row],[et (18)]]^2</f>
        <v>148996</v>
      </c>
      <c r="T46">
        <f>Table13[[#This Row],[et (24)]]^2</f>
        <v>183433.75173611118</v>
      </c>
      <c r="U46">
        <f>ABS(Table13[[#This Row],[et (6)]]/Table13[[#This Row],[Demand]])</f>
        <v>0.19118869492934334</v>
      </c>
      <c r="V46">
        <f>ABS(Table13[[#This Row],[et (12)]]/Table13[[#This Row],[Demand]])</f>
        <v>0.23550498753117208</v>
      </c>
      <c r="W46">
        <f>ABS(Table13[[#This Row],[et (18)]]/Table13[[#This Row],[Demand]])</f>
        <v>0.24064837905236908</v>
      </c>
      <c r="X46">
        <f>ABS(Table13[[#This Row],[et (24)]]/Table13[[#This Row],[Demand]])</f>
        <v>0.26701475477971742</v>
      </c>
      <c r="AG46" s="17"/>
      <c r="AH46" s="19"/>
      <c r="AI46" s="17"/>
      <c r="AJ46" s="17"/>
    </row>
    <row r="47" spans="1:36" x14ac:dyDescent="0.3">
      <c r="A47" s="4">
        <v>40087</v>
      </c>
      <c r="B47" s="8">
        <v>46</v>
      </c>
      <c r="C47">
        <v>1600</v>
      </c>
      <c r="D47">
        <f t="shared" si="12"/>
        <v>1408.3333333333333</v>
      </c>
      <c r="E47">
        <f t="shared" si="13"/>
        <v>1237.1666666666667</v>
      </c>
      <c r="F47">
        <f t="shared" si="14"/>
        <v>1257.9444444444443</v>
      </c>
      <c r="G47">
        <f t="shared" si="15"/>
        <v>1186.6666666666667</v>
      </c>
      <c r="I47">
        <f>Table13[[#This Row],[MA(6)]]-Table13[[#This Row],[Demand]]</f>
        <v>-191.66666666666674</v>
      </c>
      <c r="J47">
        <f>Table13[[#This Row],[MA(12)]]-Table13[[#This Row],[Demand]]</f>
        <v>-362.83333333333326</v>
      </c>
      <c r="K47">
        <f>Table13[[#This Row],[MA(18)]]-Table13[[#This Row],[Demand]]</f>
        <v>-342.05555555555566</v>
      </c>
      <c r="L47">
        <f>Table13[[#This Row],[MA(24)]]-Table13[[#This Row],[Demand]]</f>
        <v>-413.33333333333326</v>
      </c>
      <c r="M47">
        <f>ABS(Table13[[#This Row],[MA(6)]]-Table13[[#This Row],[Demand]])</f>
        <v>191.66666666666674</v>
      </c>
      <c r="N47">
        <f>ABS(Table13[[#This Row],[MA(12)]]-Table13[[#This Row],[Demand]])</f>
        <v>362.83333333333326</v>
      </c>
      <c r="O47">
        <f>ABS(Table13[[#This Row],[MA(18)]]-Table13[[#This Row],[Demand]])</f>
        <v>342.05555555555566</v>
      </c>
      <c r="P47">
        <f>ABS(Table13[[#This Row],[MA(24)]]-Table13[[#This Row],[Demand]])</f>
        <v>413.33333333333326</v>
      </c>
      <c r="Q47">
        <f>Table13[[#This Row],[et (6)]]^2</f>
        <v>36736.111111111139</v>
      </c>
      <c r="R47">
        <f>Table13[[#This Row],[et (12)]]^2</f>
        <v>131648.02777777772</v>
      </c>
      <c r="S47">
        <f>Table13[[#This Row],[et (18)]]^2</f>
        <v>117002.00308641982</v>
      </c>
      <c r="T47">
        <f>Table13[[#This Row],[et (24)]]^2</f>
        <v>170844.44444444438</v>
      </c>
      <c r="U47">
        <f>ABS(Table13[[#This Row],[et (6)]]/Table13[[#This Row],[Demand]])</f>
        <v>0.11979166666666671</v>
      </c>
      <c r="V47">
        <f>ABS(Table13[[#This Row],[et (12)]]/Table13[[#This Row],[Demand]])</f>
        <v>0.22677083333333328</v>
      </c>
      <c r="W47">
        <f>ABS(Table13[[#This Row],[et (18)]]/Table13[[#This Row],[Demand]])</f>
        <v>0.21378472222222228</v>
      </c>
      <c r="X47">
        <f>ABS(Table13[[#This Row],[et (24)]]/Table13[[#This Row],[Demand]])</f>
        <v>0.2583333333333333</v>
      </c>
      <c r="AG47" s="17"/>
      <c r="AH47" s="19"/>
      <c r="AI47" s="17"/>
      <c r="AJ47" s="17"/>
    </row>
    <row r="48" spans="1:36" x14ac:dyDescent="0.3">
      <c r="A48" s="4">
        <v>40118</v>
      </c>
      <c r="B48" s="8">
        <v>47</v>
      </c>
      <c r="C48">
        <v>1403</v>
      </c>
      <c r="D48">
        <f t="shared" si="12"/>
        <v>1490.1666666666667</v>
      </c>
      <c r="E48">
        <f t="shared" si="13"/>
        <v>1249.4166666666667</v>
      </c>
      <c r="F48">
        <f t="shared" si="14"/>
        <v>1288.2222222222222</v>
      </c>
      <c r="G48">
        <f t="shared" si="15"/>
        <v>1199.3333333333333</v>
      </c>
      <c r="I48">
        <f>Table13[[#This Row],[MA(6)]]-Table13[[#This Row],[Demand]]</f>
        <v>87.166666666666742</v>
      </c>
      <c r="J48">
        <f>Table13[[#This Row],[MA(12)]]-Table13[[#This Row],[Demand]]</f>
        <v>-153.58333333333326</v>
      </c>
      <c r="K48">
        <f>Table13[[#This Row],[MA(18)]]-Table13[[#This Row],[Demand]]</f>
        <v>-114.77777777777783</v>
      </c>
      <c r="L48">
        <f>Table13[[#This Row],[MA(24)]]-Table13[[#This Row],[Demand]]</f>
        <v>-203.66666666666674</v>
      </c>
      <c r="M48">
        <f>ABS(Table13[[#This Row],[MA(6)]]-Table13[[#This Row],[Demand]])</f>
        <v>87.166666666666742</v>
      </c>
      <c r="N48">
        <f>ABS(Table13[[#This Row],[MA(12)]]-Table13[[#This Row],[Demand]])</f>
        <v>153.58333333333326</v>
      </c>
      <c r="O48">
        <f>ABS(Table13[[#This Row],[MA(18)]]-Table13[[#This Row],[Demand]])</f>
        <v>114.77777777777783</v>
      </c>
      <c r="P48">
        <f>ABS(Table13[[#This Row],[MA(24)]]-Table13[[#This Row],[Demand]])</f>
        <v>203.66666666666674</v>
      </c>
      <c r="Q48">
        <f>Table13[[#This Row],[et (6)]]^2</f>
        <v>7598.027777777791</v>
      </c>
      <c r="R48">
        <f>Table13[[#This Row],[et (12)]]^2</f>
        <v>23587.840277777756</v>
      </c>
      <c r="S48">
        <f>Table13[[#This Row],[et (18)]]^2</f>
        <v>13173.938271604949</v>
      </c>
      <c r="T48">
        <f>Table13[[#This Row],[et (24)]]^2</f>
        <v>41480.111111111139</v>
      </c>
      <c r="U48">
        <f>ABS(Table13[[#This Row],[et (6)]]/Table13[[#This Row],[Demand]])</f>
        <v>6.2128771679733956E-2</v>
      </c>
      <c r="V48">
        <f>ABS(Table13[[#This Row],[et (12)]]/Table13[[#This Row],[Demand]])</f>
        <v>0.10946780708006647</v>
      </c>
      <c r="W48">
        <f>ABS(Table13[[#This Row],[et (18)]]/Table13[[#This Row],[Demand]])</f>
        <v>8.1808822364773937E-2</v>
      </c>
      <c r="X48">
        <f>ABS(Table13[[#This Row],[et (24)]]/Table13[[#This Row],[Demand]])</f>
        <v>0.14516512235685441</v>
      </c>
      <c r="AG48" s="17"/>
      <c r="AH48" s="19"/>
      <c r="AI48" s="17"/>
      <c r="AJ48" s="17"/>
    </row>
    <row r="49" spans="1:36" x14ac:dyDescent="0.3">
      <c r="A49" s="4">
        <v>40148</v>
      </c>
      <c r="B49" s="8">
        <v>48</v>
      </c>
      <c r="C49">
        <v>1209</v>
      </c>
      <c r="D49">
        <f t="shared" si="12"/>
        <v>1511.6666666666667</v>
      </c>
      <c r="E49">
        <f t="shared" si="13"/>
        <v>1268.8333333333333</v>
      </c>
      <c r="F49">
        <f t="shared" si="14"/>
        <v>1299.2777777777778</v>
      </c>
      <c r="G49">
        <f t="shared" si="15"/>
        <v>1213.375</v>
      </c>
      <c r="I49">
        <f>Table13[[#This Row],[MA(6)]]-Table13[[#This Row],[Demand]]</f>
        <v>302.66666666666674</v>
      </c>
      <c r="J49">
        <f>Table13[[#This Row],[MA(12)]]-Table13[[#This Row],[Demand]]</f>
        <v>59.833333333333258</v>
      </c>
      <c r="K49">
        <f>Table13[[#This Row],[MA(18)]]-Table13[[#This Row],[Demand]]</f>
        <v>90.277777777777828</v>
      </c>
      <c r="L49">
        <f>Table13[[#This Row],[MA(24)]]-Table13[[#This Row],[Demand]]</f>
        <v>4.375</v>
      </c>
      <c r="M49">
        <f>ABS(Table13[[#This Row],[MA(6)]]-Table13[[#This Row],[Demand]])</f>
        <v>302.66666666666674</v>
      </c>
      <c r="N49">
        <f>ABS(Table13[[#This Row],[MA(12)]]-Table13[[#This Row],[Demand]])</f>
        <v>59.833333333333258</v>
      </c>
      <c r="O49">
        <f>ABS(Table13[[#This Row],[MA(18)]]-Table13[[#This Row],[Demand]])</f>
        <v>90.277777777777828</v>
      </c>
      <c r="P49">
        <f>ABS(Table13[[#This Row],[MA(24)]]-Table13[[#This Row],[Demand]])</f>
        <v>4.375</v>
      </c>
      <c r="Q49">
        <f>Table13[[#This Row],[et (6)]]^2</f>
        <v>91607.111111111153</v>
      </c>
      <c r="R49">
        <f>Table13[[#This Row],[et (12)]]^2</f>
        <v>3580.0277777777687</v>
      </c>
      <c r="S49">
        <f>Table13[[#This Row],[et (18)]]^2</f>
        <v>8150.0771604938363</v>
      </c>
      <c r="T49">
        <f>Table13[[#This Row],[et (24)]]^2</f>
        <v>19.140625</v>
      </c>
      <c r="U49">
        <f>ABS(Table13[[#This Row],[et (6)]]/Table13[[#This Row],[Demand]])</f>
        <v>0.25034463744141172</v>
      </c>
      <c r="V49">
        <f>ABS(Table13[[#This Row],[et (12)]]/Table13[[#This Row],[Demand]])</f>
        <v>4.948993658671072E-2</v>
      </c>
      <c r="W49">
        <f>ABS(Table13[[#This Row],[et (18)]]/Table13[[#This Row],[Demand]])</f>
        <v>7.4671445639187622E-2</v>
      </c>
      <c r="X49">
        <f>ABS(Table13[[#This Row],[et (24)]]/Table13[[#This Row],[Demand]])</f>
        <v>3.618693134822167E-3</v>
      </c>
      <c r="AG49" s="17"/>
      <c r="AH49" s="19"/>
      <c r="AI49" s="17"/>
      <c r="AJ49" s="17"/>
    </row>
    <row r="50" spans="1:36" x14ac:dyDescent="0.3">
      <c r="A50" s="4">
        <v>40179</v>
      </c>
      <c r="B50" s="8">
        <v>49</v>
      </c>
      <c r="C50">
        <v>1030</v>
      </c>
      <c r="D50">
        <f t="shared" si="12"/>
        <v>1476.1666666666667</v>
      </c>
      <c r="E50">
        <f t="shared" si="13"/>
        <v>1284.3333333333333</v>
      </c>
      <c r="F50">
        <f t="shared" si="14"/>
        <v>1292.7777777777778</v>
      </c>
      <c r="G50">
        <f t="shared" si="15"/>
        <v>1226.2083333333333</v>
      </c>
      <c r="I50">
        <f>Table13[[#This Row],[MA(6)]]-Table13[[#This Row],[Demand]]</f>
        <v>446.16666666666674</v>
      </c>
      <c r="J50">
        <f>Table13[[#This Row],[MA(12)]]-Table13[[#This Row],[Demand]]</f>
        <v>254.33333333333326</v>
      </c>
      <c r="K50">
        <f>Table13[[#This Row],[MA(18)]]-Table13[[#This Row],[Demand]]</f>
        <v>262.77777777777783</v>
      </c>
      <c r="L50">
        <f>Table13[[#This Row],[MA(24)]]-Table13[[#This Row],[Demand]]</f>
        <v>196.20833333333326</v>
      </c>
      <c r="M50">
        <f>ABS(Table13[[#This Row],[MA(6)]]-Table13[[#This Row],[Demand]])</f>
        <v>446.16666666666674</v>
      </c>
      <c r="N50">
        <f>ABS(Table13[[#This Row],[MA(12)]]-Table13[[#This Row],[Demand]])</f>
        <v>254.33333333333326</v>
      </c>
      <c r="O50">
        <f>ABS(Table13[[#This Row],[MA(18)]]-Table13[[#This Row],[Demand]])</f>
        <v>262.77777777777783</v>
      </c>
      <c r="P50">
        <f>ABS(Table13[[#This Row],[MA(24)]]-Table13[[#This Row],[Demand]])</f>
        <v>196.20833333333326</v>
      </c>
      <c r="Q50">
        <f>Table13[[#This Row],[et (6)]]^2</f>
        <v>199064.69444444453</v>
      </c>
      <c r="R50">
        <f>Table13[[#This Row],[et (12)]]^2</f>
        <v>64685.444444444409</v>
      </c>
      <c r="S50">
        <f>Table13[[#This Row],[et (18)]]^2</f>
        <v>69052.160493827192</v>
      </c>
      <c r="T50">
        <f>Table13[[#This Row],[et (24)]]^2</f>
        <v>38497.710069444416</v>
      </c>
      <c r="U50">
        <f>ABS(Table13[[#This Row],[et (6)]]/Table13[[#This Row],[Demand]])</f>
        <v>0.43317152103559881</v>
      </c>
      <c r="V50">
        <f>ABS(Table13[[#This Row],[et (12)]]/Table13[[#This Row],[Demand]])</f>
        <v>0.246925566343042</v>
      </c>
      <c r="W50">
        <f>ABS(Table13[[#This Row],[et (18)]]/Table13[[#This Row],[Demand]])</f>
        <v>0.25512405609492994</v>
      </c>
      <c r="X50">
        <f>ABS(Table13[[#This Row],[et (24)]]/Table13[[#This Row],[Demand]])</f>
        <v>0.19049352750809054</v>
      </c>
      <c r="AG50" s="17"/>
      <c r="AH50" s="19"/>
      <c r="AI50" s="17"/>
      <c r="AJ50" s="17"/>
    </row>
    <row r="51" spans="1:36" x14ac:dyDescent="0.3">
      <c r="A51" s="4">
        <v>40210</v>
      </c>
      <c r="B51" s="8">
        <v>50</v>
      </c>
      <c r="C51">
        <v>1032</v>
      </c>
      <c r="D51">
        <f t="shared" si="12"/>
        <v>1400.1666666666667</v>
      </c>
      <c r="E51">
        <f t="shared" si="13"/>
        <v>1290.9166666666667</v>
      </c>
      <c r="F51">
        <f t="shared" si="14"/>
        <v>1277.6111111111111</v>
      </c>
      <c r="G51">
        <f t="shared" si="15"/>
        <v>1231.7916666666667</v>
      </c>
      <c r="I51">
        <f>Table13[[#This Row],[MA(6)]]-Table13[[#This Row],[Demand]]</f>
        <v>368.16666666666674</v>
      </c>
      <c r="J51">
        <f>Table13[[#This Row],[MA(12)]]-Table13[[#This Row],[Demand]]</f>
        <v>258.91666666666674</v>
      </c>
      <c r="K51">
        <f>Table13[[#This Row],[MA(18)]]-Table13[[#This Row],[Demand]]</f>
        <v>245.61111111111109</v>
      </c>
      <c r="L51">
        <f>Table13[[#This Row],[MA(24)]]-Table13[[#This Row],[Demand]]</f>
        <v>199.79166666666674</v>
      </c>
      <c r="M51">
        <f>ABS(Table13[[#This Row],[MA(6)]]-Table13[[#This Row],[Demand]])</f>
        <v>368.16666666666674</v>
      </c>
      <c r="N51">
        <f>ABS(Table13[[#This Row],[MA(12)]]-Table13[[#This Row],[Demand]])</f>
        <v>258.91666666666674</v>
      </c>
      <c r="O51">
        <f>ABS(Table13[[#This Row],[MA(18)]]-Table13[[#This Row],[Demand]])</f>
        <v>245.61111111111109</v>
      </c>
      <c r="P51">
        <f>ABS(Table13[[#This Row],[MA(24)]]-Table13[[#This Row],[Demand]])</f>
        <v>199.79166666666674</v>
      </c>
      <c r="Q51">
        <f>Table13[[#This Row],[et (6)]]^2</f>
        <v>135546.6944444445</v>
      </c>
      <c r="R51">
        <f>Table13[[#This Row],[et (12)]]^2</f>
        <v>67037.84027777781</v>
      </c>
      <c r="S51">
        <f>Table13[[#This Row],[et (18)]]^2</f>
        <v>60324.817901234557</v>
      </c>
      <c r="T51">
        <f>Table13[[#This Row],[et (24)]]^2</f>
        <v>39916.710069444474</v>
      </c>
      <c r="U51">
        <f>ABS(Table13[[#This Row],[et (6)]]/Table13[[#This Row],[Demand]])</f>
        <v>0.35675064599483214</v>
      </c>
      <c r="V51">
        <f>ABS(Table13[[#This Row],[et (12)]]/Table13[[#This Row],[Demand]])</f>
        <v>0.25088824289405692</v>
      </c>
      <c r="W51">
        <f>ABS(Table13[[#This Row],[et (18)]]/Table13[[#This Row],[Demand]])</f>
        <v>0.237995262704565</v>
      </c>
      <c r="X51">
        <f>ABS(Table13[[#This Row],[et (24)]]/Table13[[#This Row],[Demand]])</f>
        <v>0.19359657622739027</v>
      </c>
      <c r="AG51" s="17"/>
      <c r="AH51" s="19"/>
      <c r="AI51" s="17"/>
      <c r="AJ51" s="17"/>
    </row>
    <row r="52" spans="1:36" x14ac:dyDescent="0.3">
      <c r="A52" s="4">
        <v>40238</v>
      </c>
      <c r="B52" s="8">
        <v>51</v>
      </c>
      <c r="C52">
        <v>1126</v>
      </c>
      <c r="D52">
        <f t="shared" si="12"/>
        <v>1313</v>
      </c>
      <c r="E52">
        <f t="shared" si="13"/>
        <v>1305.1666666666667</v>
      </c>
      <c r="F52">
        <f t="shared" si="14"/>
        <v>1255.1666666666667</v>
      </c>
      <c r="G52">
        <f t="shared" si="15"/>
        <v>1241.75</v>
      </c>
      <c r="I52">
        <f>Table13[[#This Row],[MA(6)]]-Table13[[#This Row],[Demand]]</f>
        <v>187</v>
      </c>
      <c r="J52">
        <f>Table13[[#This Row],[MA(12)]]-Table13[[#This Row],[Demand]]</f>
        <v>179.16666666666674</v>
      </c>
      <c r="K52">
        <f>Table13[[#This Row],[MA(18)]]-Table13[[#This Row],[Demand]]</f>
        <v>129.16666666666674</v>
      </c>
      <c r="L52">
        <f>Table13[[#This Row],[MA(24)]]-Table13[[#This Row],[Demand]]</f>
        <v>115.75</v>
      </c>
      <c r="M52">
        <f>ABS(Table13[[#This Row],[MA(6)]]-Table13[[#This Row],[Demand]])</f>
        <v>187</v>
      </c>
      <c r="N52">
        <f>ABS(Table13[[#This Row],[MA(12)]]-Table13[[#This Row],[Demand]])</f>
        <v>179.16666666666674</v>
      </c>
      <c r="O52">
        <f>ABS(Table13[[#This Row],[MA(18)]]-Table13[[#This Row],[Demand]])</f>
        <v>129.16666666666674</v>
      </c>
      <c r="P52">
        <f>ABS(Table13[[#This Row],[MA(24)]]-Table13[[#This Row],[Demand]])</f>
        <v>115.75</v>
      </c>
      <c r="Q52">
        <f>Table13[[#This Row],[et (6)]]^2</f>
        <v>34969</v>
      </c>
      <c r="R52">
        <f>Table13[[#This Row],[et (12)]]^2</f>
        <v>32100.694444444471</v>
      </c>
      <c r="S52">
        <f>Table13[[#This Row],[et (18)]]^2</f>
        <v>16684.027777777796</v>
      </c>
      <c r="T52">
        <f>Table13[[#This Row],[et (24)]]^2</f>
        <v>13398.0625</v>
      </c>
      <c r="U52">
        <f>ABS(Table13[[#This Row],[et (6)]]/Table13[[#This Row],[Demand]])</f>
        <v>0.1660746003552398</v>
      </c>
      <c r="V52">
        <f>ABS(Table13[[#This Row],[et (12)]]/Table13[[#This Row],[Demand]])</f>
        <v>0.15911782119597401</v>
      </c>
      <c r="W52">
        <f>ABS(Table13[[#This Row],[et (18)]]/Table13[[#This Row],[Demand]])</f>
        <v>0.11471284783895803</v>
      </c>
      <c r="X52">
        <f>ABS(Table13[[#This Row],[et (24)]]/Table13[[#This Row],[Demand]])</f>
        <v>0.10279751332149201</v>
      </c>
      <c r="AG52" s="17"/>
      <c r="AH52" s="19"/>
      <c r="AI52" s="17"/>
      <c r="AJ52" s="17"/>
    </row>
    <row r="53" spans="1:36" x14ac:dyDescent="0.3">
      <c r="A53" s="4">
        <v>40269</v>
      </c>
      <c r="B53" s="8">
        <v>52</v>
      </c>
      <c r="C53">
        <v>1285</v>
      </c>
      <c r="D53">
        <f t="shared" si="12"/>
        <v>1233.3333333333333</v>
      </c>
      <c r="E53">
        <f t="shared" si="13"/>
        <v>1320.8333333333333</v>
      </c>
      <c r="F53">
        <f t="shared" si="14"/>
        <v>1235.8888888888889</v>
      </c>
      <c r="G53">
        <f t="shared" si="15"/>
        <v>1251.7916666666667</v>
      </c>
      <c r="I53">
        <f>Table13[[#This Row],[MA(6)]]-Table13[[#This Row],[Demand]]</f>
        <v>-51.666666666666742</v>
      </c>
      <c r="J53">
        <f>Table13[[#This Row],[MA(12)]]-Table13[[#This Row],[Demand]]</f>
        <v>35.833333333333258</v>
      </c>
      <c r="K53">
        <f>Table13[[#This Row],[MA(18)]]-Table13[[#This Row],[Demand]]</f>
        <v>-49.111111111111086</v>
      </c>
      <c r="L53">
        <f>Table13[[#This Row],[MA(24)]]-Table13[[#This Row],[Demand]]</f>
        <v>-33.208333333333258</v>
      </c>
      <c r="M53">
        <f>ABS(Table13[[#This Row],[MA(6)]]-Table13[[#This Row],[Demand]])</f>
        <v>51.666666666666742</v>
      </c>
      <c r="N53">
        <f>ABS(Table13[[#This Row],[MA(12)]]-Table13[[#This Row],[Demand]])</f>
        <v>35.833333333333258</v>
      </c>
      <c r="O53">
        <f>ABS(Table13[[#This Row],[MA(18)]]-Table13[[#This Row],[Demand]])</f>
        <v>49.111111111111086</v>
      </c>
      <c r="P53">
        <f>ABS(Table13[[#This Row],[MA(24)]]-Table13[[#This Row],[Demand]])</f>
        <v>33.208333333333258</v>
      </c>
      <c r="Q53">
        <f>Table13[[#This Row],[et (6)]]^2</f>
        <v>2669.4444444444521</v>
      </c>
      <c r="R53">
        <f>Table13[[#This Row],[et (12)]]^2</f>
        <v>1284.0277777777724</v>
      </c>
      <c r="S53">
        <f>Table13[[#This Row],[et (18)]]^2</f>
        <v>2411.9012345678989</v>
      </c>
      <c r="T53">
        <f>Table13[[#This Row],[et (24)]]^2</f>
        <v>1102.7934027777728</v>
      </c>
      <c r="U53">
        <f>ABS(Table13[[#This Row],[et (6)]]/Table13[[#This Row],[Demand]])</f>
        <v>4.020752269779513E-2</v>
      </c>
      <c r="V53">
        <f>ABS(Table13[[#This Row],[et (12)]]/Table13[[#This Row],[Demand]])</f>
        <v>2.7885862516212653E-2</v>
      </c>
      <c r="W53">
        <f>ABS(Table13[[#This Row],[et (18)]]/Table13[[#This Row],[Demand]])</f>
        <v>3.8218763510592287E-2</v>
      </c>
      <c r="X53">
        <f>ABS(Table13[[#This Row],[et (24)]]/Table13[[#This Row],[Demand]])</f>
        <v>2.5843060959792417E-2</v>
      </c>
      <c r="AG53" s="17"/>
      <c r="AH53" s="19"/>
      <c r="AI53" s="17"/>
      <c r="AJ53" s="17"/>
    </row>
    <row r="54" spans="1:36" x14ac:dyDescent="0.3">
      <c r="A54" s="4">
        <v>40299</v>
      </c>
      <c r="B54" s="8">
        <v>53</v>
      </c>
      <c r="C54">
        <v>1468</v>
      </c>
      <c r="D54">
        <f t="shared" si="12"/>
        <v>1180.8333333333333</v>
      </c>
      <c r="E54">
        <f t="shared" si="13"/>
        <v>1335.5</v>
      </c>
      <c r="F54">
        <f t="shared" si="14"/>
        <v>1226.5555555555557</v>
      </c>
      <c r="G54">
        <f t="shared" si="15"/>
        <v>1261.375</v>
      </c>
      <c r="I54">
        <f>Table13[[#This Row],[MA(6)]]-Table13[[#This Row],[Demand]]</f>
        <v>-287.16666666666674</v>
      </c>
      <c r="J54">
        <f>Table13[[#This Row],[MA(12)]]-Table13[[#This Row],[Demand]]</f>
        <v>-132.5</v>
      </c>
      <c r="K54">
        <f>Table13[[#This Row],[MA(18)]]-Table13[[#This Row],[Demand]]</f>
        <v>-241.44444444444434</v>
      </c>
      <c r="L54">
        <f>Table13[[#This Row],[MA(24)]]-Table13[[#This Row],[Demand]]</f>
        <v>-206.625</v>
      </c>
      <c r="M54">
        <f>ABS(Table13[[#This Row],[MA(6)]]-Table13[[#This Row],[Demand]])</f>
        <v>287.16666666666674</v>
      </c>
      <c r="N54">
        <f>ABS(Table13[[#This Row],[MA(12)]]-Table13[[#This Row],[Demand]])</f>
        <v>132.5</v>
      </c>
      <c r="O54">
        <f>ABS(Table13[[#This Row],[MA(18)]]-Table13[[#This Row],[Demand]])</f>
        <v>241.44444444444434</v>
      </c>
      <c r="P54">
        <f>ABS(Table13[[#This Row],[MA(24)]]-Table13[[#This Row],[Demand]])</f>
        <v>206.625</v>
      </c>
      <c r="Q54">
        <f>Table13[[#This Row],[et (6)]]^2</f>
        <v>82464.694444444482</v>
      </c>
      <c r="R54">
        <f>Table13[[#This Row],[et (12)]]^2</f>
        <v>17556.25</v>
      </c>
      <c r="S54">
        <f>Table13[[#This Row],[et (18)]]^2</f>
        <v>58295.419753086368</v>
      </c>
      <c r="T54">
        <f>Table13[[#This Row],[et (24)]]^2</f>
        <v>42693.890625</v>
      </c>
      <c r="U54">
        <f>ABS(Table13[[#This Row],[et (6)]]/Table13[[#This Row],[Demand]])</f>
        <v>0.19561762034514082</v>
      </c>
      <c r="V54">
        <f>ABS(Table13[[#This Row],[et (12)]]/Table13[[#This Row],[Demand]])</f>
        <v>9.0258855585831063E-2</v>
      </c>
      <c r="W54">
        <f>ABS(Table13[[#This Row],[et (18)]]/Table13[[#This Row],[Demand]])</f>
        <v>0.16447169240084764</v>
      </c>
      <c r="X54">
        <f>ABS(Table13[[#This Row],[et (24)]]/Table13[[#This Row],[Demand]])</f>
        <v>0.14075272479564033</v>
      </c>
      <c r="AG54" s="17"/>
      <c r="AH54" s="19"/>
      <c r="AI54" s="17"/>
      <c r="AJ54" s="17"/>
    </row>
    <row r="55" spans="1:36" x14ac:dyDescent="0.3">
      <c r="A55" s="4">
        <v>40330</v>
      </c>
      <c r="B55" s="8">
        <v>54</v>
      </c>
      <c r="C55">
        <v>1637</v>
      </c>
      <c r="D55">
        <f t="shared" si="12"/>
        <v>1191.6666666666667</v>
      </c>
      <c r="E55">
        <f t="shared" si="13"/>
        <v>1351.6666666666667</v>
      </c>
      <c r="F55">
        <f t="shared" si="14"/>
        <v>1243.1111111111111</v>
      </c>
      <c r="G55">
        <f t="shared" si="15"/>
        <v>1272.375</v>
      </c>
      <c r="I55">
        <f>Table13[[#This Row],[MA(6)]]-Table13[[#This Row],[Demand]]</f>
        <v>-445.33333333333326</v>
      </c>
      <c r="J55">
        <f>Table13[[#This Row],[MA(12)]]-Table13[[#This Row],[Demand]]</f>
        <v>-285.33333333333326</v>
      </c>
      <c r="K55">
        <f>Table13[[#This Row],[MA(18)]]-Table13[[#This Row],[Demand]]</f>
        <v>-393.88888888888891</v>
      </c>
      <c r="L55">
        <f>Table13[[#This Row],[MA(24)]]-Table13[[#This Row],[Demand]]</f>
        <v>-364.625</v>
      </c>
      <c r="M55">
        <f>ABS(Table13[[#This Row],[MA(6)]]-Table13[[#This Row],[Demand]])</f>
        <v>445.33333333333326</v>
      </c>
      <c r="N55">
        <f>ABS(Table13[[#This Row],[MA(12)]]-Table13[[#This Row],[Demand]])</f>
        <v>285.33333333333326</v>
      </c>
      <c r="O55">
        <f>ABS(Table13[[#This Row],[MA(18)]]-Table13[[#This Row],[Demand]])</f>
        <v>393.88888888888891</v>
      </c>
      <c r="P55">
        <f>ABS(Table13[[#This Row],[MA(24)]]-Table13[[#This Row],[Demand]])</f>
        <v>364.625</v>
      </c>
      <c r="Q55">
        <f>Table13[[#This Row],[et (6)]]^2</f>
        <v>198321.77777777772</v>
      </c>
      <c r="R55">
        <f>Table13[[#This Row],[et (12)]]^2</f>
        <v>81415.111111111066</v>
      </c>
      <c r="S55">
        <f>Table13[[#This Row],[et (18)]]^2</f>
        <v>155148.45679012348</v>
      </c>
      <c r="T55">
        <f>Table13[[#This Row],[et (24)]]^2</f>
        <v>132951.390625</v>
      </c>
      <c r="U55">
        <f>ABS(Table13[[#This Row],[et (6)]]/Table13[[#This Row],[Demand]])</f>
        <v>0.27204235389940945</v>
      </c>
      <c r="V55">
        <f>ABS(Table13[[#This Row],[et (12)]]/Table13[[#This Row],[Demand]])</f>
        <v>0.17430258603135812</v>
      </c>
      <c r="W55">
        <f>ABS(Table13[[#This Row],[et (18)]]/Table13[[#This Row],[Demand]])</f>
        <v>0.24061630353627911</v>
      </c>
      <c r="X55">
        <f>ABS(Table13[[#This Row],[et (24)]]/Table13[[#This Row],[Demand]])</f>
        <v>0.2227397678680513</v>
      </c>
      <c r="AG55" s="17"/>
      <c r="AH55" s="19"/>
      <c r="AI55" s="17"/>
      <c r="AJ55" s="17"/>
    </row>
    <row r="56" spans="1:36" x14ac:dyDescent="0.3">
      <c r="A56" s="4">
        <v>40360</v>
      </c>
      <c r="B56" s="8">
        <v>55</v>
      </c>
      <c r="C56">
        <v>1611</v>
      </c>
      <c r="D56">
        <f t="shared" si="12"/>
        <v>1263</v>
      </c>
      <c r="E56">
        <f t="shared" si="13"/>
        <v>1369.5833333333333</v>
      </c>
      <c r="F56">
        <f t="shared" si="14"/>
        <v>1277.2222222222222</v>
      </c>
      <c r="G56">
        <f t="shared" si="15"/>
        <v>1285.3333333333333</v>
      </c>
      <c r="I56">
        <f>Table13[[#This Row],[MA(6)]]-Table13[[#This Row],[Demand]]</f>
        <v>-348</v>
      </c>
      <c r="J56">
        <f>Table13[[#This Row],[MA(12)]]-Table13[[#This Row],[Demand]]</f>
        <v>-241.41666666666674</v>
      </c>
      <c r="K56">
        <f>Table13[[#This Row],[MA(18)]]-Table13[[#This Row],[Demand]]</f>
        <v>-333.77777777777783</v>
      </c>
      <c r="L56">
        <f>Table13[[#This Row],[MA(24)]]-Table13[[#This Row],[Demand]]</f>
        <v>-325.66666666666674</v>
      </c>
      <c r="M56">
        <f>ABS(Table13[[#This Row],[MA(6)]]-Table13[[#This Row],[Demand]])</f>
        <v>348</v>
      </c>
      <c r="N56">
        <f>ABS(Table13[[#This Row],[MA(12)]]-Table13[[#This Row],[Demand]])</f>
        <v>241.41666666666674</v>
      </c>
      <c r="O56">
        <f>ABS(Table13[[#This Row],[MA(18)]]-Table13[[#This Row],[Demand]])</f>
        <v>333.77777777777783</v>
      </c>
      <c r="P56">
        <f>ABS(Table13[[#This Row],[MA(24)]]-Table13[[#This Row],[Demand]])</f>
        <v>325.66666666666674</v>
      </c>
      <c r="Q56">
        <f>Table13[[#This Row],[et (6)]]^2</f>
        <v>121104</v>
      </c>
      <c r="R56">
        <f>Table13[[#This Row],[et (12)]]^2</f>
        <v>58282.006944444482</v>
      </c>
      <c r="S56">
        <f>Table13[[#This Row],[et (18)]]^2</f>
        <v>111407.60493827164</v>
      </c>
      <c r="T56">
        <f>Table13[[#This Row],[et (24)]]^2</f>
        <v>106058.77777777782</v>
      </c>
      <c r="U56">
        <f>ABS(Table13[[#This Row],[et (6)]]/Table13[[#This Row],[Demand]])</f>
        <v>0.21601489757914338</v>
      </c>
      <c r="V56">
        <f>ABS(Table13[[#This Row],[et (12)]]/Table13[[#This Row],[Demand]])</f>
        <v>0.14985516242499489</v>
      </c>
      <c r="W56">
        <f>ABS(Table13[[#This Row],[et (18)]]/Table13[[#This Row],[Demand]])</f>
        <v>0.20718670253120908</v>
      </c>
      <c r="X56">
        <f>ABS(Table13[[#This Row],[et (24)]]/Table13[[#This Row],[Demand]])</f>
        <v>0.20215187254293404</v>
      </c>
      <c r="AG56" s="17"/>
      <c r="AH56" s="19"/>
      <c r="AI56" s="17"/>
      <c r="AJ56" s="17"/>
    </row>
    <row r="57" spans="1:36" x14ac:dyDescent="0.3">
      <c r="A57" s="4">
        <v>40391</v>
      </c>
      <c r="B57" s="8">
        <v>56</v>
      </c>
      <c r="C57">
        <v>1608</v>
      </c>
      <c r="D57">
        <f t="shared" si="12"/>
        <v>1359.8333333333333</v>
      </c>
      <c r="E57">
        <f t="shared" si="13"/>
        <v>1380</v>
      </c>
      <c r="F57">
        <f t="shared" si="14"/>
        <v>1313.8888888888889</v>
      </c>
      <c r="G57">
        <f t="shared" si="15"/>
        <v>1298.1666666666667</v>
      </c>
      <c r="I57">
        <f>Table13[[#This Row],[MA(6)]]-Table13[[#This Row],[Demand]]</f>
        <v>-248.16666666666674</v>
      </c>
      <c r="J57">
        <f>Table13[[#This Row],[MA(12)]]-Table13[[#This Row],[Demand]]</f>
        <v>-228</v>
      </c>
      <c r="K57">
        <f>Table13[[#This Row],[MA(18)]]-Table13[[#This Row],[Demand]]</f>
        <v>-294.11111111111109</v>
      </c>
      <c r="L57">
        <f>Table13[[#This Row],[MA(24)]]-Table13[[#This Row],[Demand]]</f>
        <v>-309.83333333333326</v>
      </c>
      <c r="M57">
        <f>ABS(Table13[[#This Row],[MA(6)]]-Table13[[#This Row],[Demand]])</f>
        <v>248.16666666666674</v>
      </c>
      <c r="N57">
        <f>ABS(Table13[[#This Row],[MA(12)]]-Table13[[#This Row],[Demand]])</f>
        <v>228</v>
      </c>
      <c r="O57">
        <f>ABS(Table13[[#This Row],[MA(18)]]-Table13[[#This Row],[Demand]])</f>
        <v>294.11111111111109</v>
      </c>
      <c r="P57">
        <f>ABS(Table13[[#This Row],[MA(24)]]-Table13[[#This Row],[Demand]])</f>
        <v>309.83333333333326</v>
      </c>
      <c r="Q57">
        <f>Table13[[#This Row],[et (6)]]^2</f>
        <v>61586.694444444482</v>
      </c>
      <c r="R57">
        <f>Table13[[#This Row],[et (12)]]^2</f>
        <v>51984</v>
      </c>
      <c r="S57">
        <f>Table13[[#This Row],[et (18)]]^2</f>
        <v>86501.345679012331</v>
      </c>
      <c r="T57">
        <f>Table13[[#This Row],[et (24)]]^2</f>
        <v>95996.694444444394</v>
      </c>
      <c r="U57">
        <f>ABS(Table13[[#This Row],[et (6)]]/Table13[[#This Row],[Demand]])</f>
        <v>0.15433250414593702</v>
      </c>
      <c r="V57">
        <f>ABS(Table13[[#This Row],[et (12)]]/Table13[[#This Row],[Demand]])</f>
        <v>0.1417910447761194</v>
      </c>
      <c r="W57">
        <f>ABS(Table13[[#This Row],[et (18)]]/Table13[[#This Row],[Demand]])</f>
        <v>0.18290491984521834</v>
      </c>
      <c r="X57">
        <f>ABS(Table13[[#This Row],[et (24)]]/Table13[[#This Row],[Demand]])</f>
        <v>0.19268242122719731</v>
      </c>
      <c r="AG57" s="17"/>
      <c r="AH57" s="19"/>
      <c r="AI57" s="17"/>
      <c r="AJ57" s="17"/>
    </row>
    <row r="58" spans="1:36" x14ac:dyDescent="0.3">
      <c r="A58" s="4">
        <v>40422</v>
      </c>
      <c r="B58" s="8">
        <v>57</v>
      </c>
      <c r="C58">
        <v>1528</v>
      </c>
      <c r="D58">
        <f t="shared" si="12"/>
        <v>1455.8333333333333</v>
      </c>
      <c r="E58">
        <f t="shared" si="13"/>
        <v>1384.4166666666667</v>
      </c>
      <c r="F58">
        <f t="shared" si="14"/>
        <v>1355.3888888888889</v>
      </c>
      <c r="G58">
        <f t="shared" si="15"/>
        <v>1305.3333333333333</v>
      </c>
      <c r="I58">
        <f>Table13[[#This Row],[MA(6)]]-Table13[[#This Row],[Demand]]</f>
        <v>-72.166666666666742</v>
      </c>
      <c r="J58">
        <f>Table13[[#This Row],[MA(12)]]-Table13[[#This Row],[Demand]]</f>
        <v>-143.58333333333326</v>
      </c>
      <c r="K58">
        <f>Table13[[#This Row],[MA(18)]]-Table13[[#This Row],[Demand]]</f>
        <v>-172.61111111111109</v>
      </c>
      <c r="L58">
        <f>Table13[[#This Row],[MA(24)]]-Table13[[#This Row],[Demand]]</f>
        <v>-222.66666666666674</v>
      </c>
      <c r="M58">
        <f>ABS(Table13[[#This Row],[MA(6)]]-Table13[[#This Row],[Demand]])</f>
        <v>72.166666666666742</v>
      </c>
      <c r="N58">
        <f>ABS(Table13[[#This Row],[MA(12)]]-Table13[[#This Row],[Demand]])</f>
        <v>143.58333333333326</v>
      </c>
      <c r="O58">
        <f>ABS(Table13[[#This Row],[MA(18)]]-Table13[[#This Row],[Demand]])</f>
        <v>172.61111111111109</v>
      </c>
      <c r="P58">
        <f>ABS(Table13[[#This Row],[MA(24)]]-Table13[[#This Row],[Demand]])</f>
        <v>222.66666666666674</v>
      </c>
      <c r="Q58">
        <f>Table13[[#This Row],[et (6)]]^2</f>
        <v>5208.0277777777883</v>
      </c>
      <c r="R58">
        <f>Table13[[#This Row],[et (12)]]^2</f>
        <v>20616.173611111088</v>
      </c>
      <c r="S58">
        <f>Table13[[#This Row],[et (18)]]^2</f>
        <v>29794.595679012338</v>
      </c>
      <c r="T58">
        <f>Table13[[#This Row],[et (24)]]^2</f>
        <v>49580.444444444482</v>
      </c>
      <c r="U58">
        <f>ABS(Table13[[#This Row],[et (6)]]/Table13[[#This Row],[Demand]])</f>
        <v>4.7229493891797605E-2</v>
      </c>
      <c r="V58">
        <f>ABS(Table13[[#This Row],[et (12)]]/Table13[[#This Row],[Demand]])</f>
        <v>9.3968150087259991E-2</v>
      </c>
      <c r="W58">
        <f>ABS(Table13[[#This Row],[et (18)]]/Table13[[#This Row],[Demand]])</f>
        <v>0.1129653868528214</v>
      </c>
      <c r="X58">
        <f>ABS(Table13[[#This Row],[et (24)]]/Table13[[#This Row],[Demand]])</f>
        <v>0.14572425828970337</v>
      </c>
      <c r="AG58" s="17"/>
      <c r="AH58" s="19"/>
      <c r="AI58" s="17"/>
      <c r="AJ58" s="17"/>
    </row>
    <row r="59" spans="1:36" x14ac:dyDescent="0.3">
      <c r="A59" s="4">
        <v>40452</v>
      </c>
      <c r="B59" s="8">
        <v>58</v>
      </c>
      <c r="C59">
        <v>1420</v>
      </c>
      <c r="D59">
        <f t="shared" si="12"/>
        <v>1522.8333333333333</v>
      </c>
      <c r="E59">
        <f t="shared" si="13"/>
        <v>1378.0833333333333</v>
      </c>
      <c r="F59">
        <f t="shared" si="14"/>
        <v>1388.1666666666667</v>
      </c>
      <c r="G59">
        <f t="shared" si="15"/>
        <v>1307.625</v>
      </c>
      <c r="I59">
        <f>Table13[[#This Row],[MA(6)]]-Table13[[#This Row],[Demand]]</f>
        <v>102.83333333333326</v>
      </c>
      <c r="J59">
        <f>Table13[[#This Row],[MA(12)]]-Table13[[#This Row],[Demand]]</f>
        <v>-41.916666666666742</v>
      </c>
      <c r="K59">
        <f>Table13[[#This Row],[MA(18)]]-Table13[[#This Row],[Demand]]</f>
        <v>-31.833333333333258</v>
      </c>
      <c r="L59">
        <f>Table13[[#This Row],[MA(24)]]-Table13[[#This Row],[Demand]]</f>
        <v>-112.375</v>
      </c>
      <c r="M59">
        <f>ABS(Table13[[#This Row],[MA(6)]]-Table13[[#This Row],[Demand]])</f>
        <v>102.83333333333326</v>
      </c>
      <c r="N59">
        <f>ABS(Table13[[#This Row],[MA(12)]]-Table13[[#This Row],[Demand]])</f>
        <v>41.916666666666742</v>
      </c>
      <c r="O59">
        <f>ABS(Table13[[#This Row],[MA(18)]]-Table13[[#This Row],[Demand]])</f>
        <v>31.833333333333258</v>
      </c>
      <c r="P59">
        <f>ABS(Table13[[#This Row],[MA(24)]]-Table13[[#This Row],[Demand]])</f>
        <v>112.375</v>
      </c>
      <c r="Q59">
        <f>Table13[[#This Row],[et (6)]]^2</f>
        <v>10574.694444444429</v>
      </c>
      <c r="R59">
        <f>Table13[[#This Row],[et (12)]]^2</f>
        <v>1757.0069444444507</v>
      </c>
      <c r="S59">
        <f>Table13[[#This Row],[et (18)]]^2</f>
        <v>1013.3611111111063</v>
      </c>
      <c r="T59">
        <f>Table13[[#This Row],[et (24)]]^2</f>
        <v>12628.140625</v>
      </c>
      <c r="U59">
        <f>ABS(Table13[[#This Row],[et (6)]]/Table13[[#This Row],[Demand]])</f>
        <v>7.2417840375586795E-2</v>
      </c>
      <c r="V59">
        <f>ABS(Table13[[#This Row],[et (12)]]/Table13[[#This Row],[Demand]])</f>
        <v>2.9518779342723057E-2</v>
      </c>
      <c r="W59">
        <f>ABS(Table13[[#This Row],[et (18)]]/Table13[[#This Row],[Demand]])</f>
        <v>2.2417840375586803E-2</v>
      </c>
      <c r="X59">
        <f>ABS(Table13[[#This Row],[et (24)]]/Table13[[#This Row],[Demand]])</f>
        <v>7.9137323943661977E-2</v>
      </c>
      <c r="AG59" s="17"/>
      <c r="AH59" s="19"/>
      <c r="AI59" s="17"/>
      <c r="AJ59" s="17"/>
    </row>
    <row r="60" spans="1:36" x14ac:dyDescent="0.3">
      <c r="A60" s="4">
        <v>40483</v>
      </c>
      <c r="B60" s="8">
        <v>59</v>
      </c>
      <c r="C60">
        <v>1119</v>
      </c>
      <c r="D60">
        <f t="shared" si="12"/>
        <v>1545.3333333333333</v>
      </c>
      <c r="E60">
        <f t="shared" si="13"/>
        <v>1363.0833333333333</v>
      </c>
      <c r="F60">
        <f t="shared" si="14"/>
        <v>1405.4444444444443</v>
      </c>
      <c r="G60">
        <f t="shared" si="15"/>
        <v>1306.25</v>
      </c>
      <c r="I60">
        <f>Table13[[#This Row],[MA(6)]]-Table13[[#This Row],[Demand]]</f>
        <v>426.33333333333326</v>
      </c>
      <c r="J60">
        <f>Table13[[#This Row],[MA(12)]]-Table13[[#This Row],[Demand]]</f>
        <v>244.08333333333326</v>
      </c>
      <c r="K60">
        <f>Table13[[#This Row],[MA(18)]]-Table13[[#This Row],[Demand]]</f>
        <v>286.44444444444434</v>
      </c>
      <c r="L60">
        <f>Table13[[#This Row],[MA(24)]]-Table13[[#This Row],[Demand]]</f>
        <v>187.25</v>
      </c>
      <c r="M60">
        <f>ABS(Table13[[#This Row],[MA(6)]]-Table13[[#This Row],[Demand]])</f>
        <v>426.33333333333326</v>
      </c>
      <c r="N60">
        <f>ABS(Table13[[#This Row],[MA(12)]]-Table13[[#This Row],[Demand]])</f>
        <v>244.08333333333326</v>
      </c>
      <c r="O60">
        <f>ABS(Table13[[#This Row],[MA(18)]]-Table13[[#This Row],[Demand]])</f>
        <v>286.44444444444434</v>
      </c>
      <c r="P60">
        <f>ABS(Table13[[#This Row],[MA(24)]]-Table13[[#This Row],[Demand]])</f>
        <v>187.25</v>
      </c>
      <c r="Q60">
        <f>Table13[[#This Row],[et (6)]]^2</f>
        <v>181760.11111111104</v>
      </c>
      <c r="R60">
        <f>Table13[[#This Row],[et (12)]]^2</f>
        <v>59576.673611111073</v>
      </c>
      <c r="S60">
        <f>Table13[[#This Row],[et (18)]]^2</f>
        <v>82050.41975308636</v>
      </c>
      <c r="T60">
        <f>Table13[[#This Row],[et (24)]]^2</f>
        <v>35062.5625</v>
      </c>
      <c r="U60">
        <f>ABS(Table13[[#This Row],[et (6)]]/Table13[[#This Row],[Demand]])</f>
        <v>0.38099493595472139</v>
      </c>
      <c r="V60">
        <f>ABS(Table13[[#This Row],[et (12)]]/Table13[[#This Row],[Demand]])</f>
        <v>0.21812630324694662</v>
      </c>
      <c r="W60">
        <f>ABS(Table13[[#This Row],[et (18)]]/Table13[[#This Row],[Demand]])</f>
        <v>0.25598252407903871</v>
      </c>
      <c r="X60">
        <f>ABS(Table13[[#This Row],[et (24)]]/Table13[[#This Row],[Demand]])</f>
        <v>0.16733690795352993</v>
      </c>
      <c r="AG60" s="17"/>
      <c r="AH60" s="19"/>
      <c r="AI60" s="17"/>
      <c r="AJ60" s="17"/>
    </row>
    <row r="61" spans="1:36" x14ac:dyDescent="0.3">
      <c r="A61" s="4">
        <v>40513</v>
      </c>
      <c r="B61" s="8">
        <v>60</v>
      </c>
      <c r="C61">
        <v>1013</v>
      </c>
      <c r="D61">
        <f t="shared" si="12"/>
        <v>1487.1666666666667</v>
      </c>
      <c r="E61">
        <f t="shared" si="13"/>
        <v>1339.4166666666667</v>
      </c>
      <c r="F61">
        <f t="shared" si="14"/>
        <v>1396.8333333333333</v>
      </c>
      <c r="G61">
        <f t="shared" si="15"/>
        <v>1304.125</v>
      </c>
      <c r="I61">
        <f>Table13[[#This Row],[MA(6)]]-Table13[[#This Row],[Demand]]</f>
        <v>474.16666666666674</v>
      </c>
      <c r="J61">
        <f>Table13[[#This Row],[MA(12)]]-Table13[[#This Row],[Demand]]</f>
        <v>326.41666666666674</v>
      </c>
      <c r="K61">
        <f>Table13[[#This Row],[MA(18)]]-Table13[[#This Row],[Demand]]</f>
        <v>383.83333333333326</v>
      </c>
      <c r="L61">
        <f>Table13[[#This Row],[MA(24)]]-Table13[[#This Row],[Demand]]</f>
        <v>291.125</v>
      </c>
      <c r="M61">
        <f>ABS(Table13[[#This Row],[MA(6)]]-Table13[[#This Row],[Demand]])</f>
        <v>474.16666666666674</v>
      </c>
      <c r="N61">
        <f>ABS(Table13[[#This Row],[MA(12)]]-Table13[[#This Row],[Demand]])</f>
        <v>326.41666666666674</v>
      </c>
      <c r="O61">
        <f>ABS(Table13[[#This Row],[MA(18)]]-Table13[[#This Row],[Demand]])</f>
        <v>383.83333333333326</v>
      </c>
      <c r="P61">
        <f>ABS(Table13[[#This Row],[MA(24)]]-Table13[[#This Row],[Demand]])</f>
        <v>291.125</v>
      </c>
      <c r="Q61">
        <f>Table13[[#This Row],[et (6)]]^2</f>
        <v>224834.02777777784</v>
      </c>
      <c r="R61">
        <f>Table13[[#This Row],[et (12)]]^2</f>
        <v>106547.84027777782</v>
      </c>
      <c r="S61">
        <f>Table13[[#This Row],[et (18)]]^2</f>
        <v>147328.02777777772</v>
      </c>
      <c r="T61">
        <f>Table13[[#This Row],[et (24)]]^2</f>
        <v>84753.765625</v>
      </c>
      <c r="U61">
        <f>ABS(Table13[[#This Row],[et (6)]]/Table13[[#This Row],[Demand]])</f>
        <v>0.46808160579137881</v>
      </c>
      <c r="V61">
        <f>ABS(Table13[[#This Row],[et (12)]]/Table13[[#This Row],[Demand]])</f>
        <v>0.32222770648239563</v>
      </c>
      <c r="W61">
        <f>ABS(Table13[[#This Row],[et (18)]]/Table13[[#This Row],[Demand]])</f>
        <v>0.37890753537347804</v>
      </c>
      <c r="X61">
        <f>ABS(Table13[[#This Row],[et (24)]]/Table13[[#This Row],[Demand]])</f>
        <v>0.2873889437314906</v>
      </c>
      <c r="AG61" s="17"/>
      <c r="AH61" s="19"/>
      <c r="AI61" s="17"/>
      <c r="AJ61" s="17"/>
    </row>
  </sheetData>
  <phoneticPr fontId="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90FA-2ED1-40A4-926A-439C42811501}">
  <dimension ref="A1:AF61"/>
  <sheetViews>
    <sheetView zoomScale="53" workbookViewId="0">
      <selection activeCell="N35" sqref="N35"/>
    </sheetView>
  </sheetViews>
  <sheetFormatPr defaultRowHeight="14.4" x14ac:dyDescent="0.3"/>
  <cols>
    <col min="20" max="20" width="10" customWidth="1"/>
  </cols>
  <sheetData>
    <row r="1" spans="1:32" ht="17.399999999999999" x14ac:dyDescent="0.3">
      <c r="A1" s="7" t="s">
        <v>0</v>
      </c>
      <c r="B1" s="9" t="s">
        <v>19</v>
      </c>
      <c r="C1" s="7" t="s">
        <v>21</v>
      </c>
      <c r="D1" s="7" t="s">
        <v>35</v>
      </c>
      <c r="E1" s="7" t="s">
        <v>36</v>
      </c>
      <c r="F1" s="7" t="s">
        <v>37</v>
      </c>
      <c r="G1" s="7" t="s">
        <v>64</v>
      </c>
      <c r="H1" s="7" t="s">
        <v>65</v>
      </c>
      <c r="I1" s="7" t="s">
        <v>67</v>
      </c>
      <c r="J1" s="7" t="s">
        <v>66</v>
      </c>
      <c r="K1" s="7" t="s">
        <v>68</v>
      </c>
      <c r="L1" s="7" t="s">
        <v>69</v>
      </c>
      <c r="M1" s="7" t="s">
        <v>70</v>
      </c>
      <c r="N1" s="7" t="s">
        <v>71</v>
      </c>
      <c r="O1" s="7" t="s">
        <v>72</v>
      </c>
      <c r="P1" s="7" t="s">
        <v>73</v>
      </c>
      <c r="Q1" s="7" t="s">
        <v>74</v>
      </c>
      <c r="R1" s="7" t="s">
        <v>75</v>
      </c>
      <c r="S1" s="1" t="s">
        <v>76</v>
      </c>
      <c r="T1" s="1" t="s">
        <v>77</v>
      </c>
      <c r="U1" s="1" t="s">
        <v>78</v>
      </c>
      <c r="V1" s="1" t="s">
        <v>79</v>
      </c>
      <c r="W1" s="1" t="s">
        <v>80</v>
      </c>
      <c r="X1" s="1" t="s">
        <v>81</v>
      </c>
      <c r="Y1" s="1" t="s">
        <v>82</v>
      </c>
      <c r="Z1" s="1" t="s">
        <v>83</v>
      </c>
      <c r="AA1" s="1" t="s">
        <v>84</v>
      </c>
      <c r="AC1" s="15" t="s">
        <v>34</v>
      </c>
      <c r="AD1">
        <v>0.1</v>
      </c>
      <c r="AE1">
        <v>0.15</v>
      </c>
      <c r="AF1">
        <v>0.2</v>
      </c>
    </row>
    <row r="2" spans="1:32" x14ac:dyDescent="0.3">
      <c r="A2" s="10">
        <v>38718</v>
      </c>
      <c r="B2" s="11">
        <v>1</v>
      </c>
      <c r="C2" s="2">
        <v>742</v>
      </c>
      <c r="D2">
        <v>742</v>
      </c>
      <c r="E2">
        <v>742</v>
      </c>
      <c r="F2">
        <v>742</v>
      </c>
      <c r="G2">
        <f>D2-C2</f>
        <v>0</v>
      </c>
      <c r="H2">
        <f>E2-C2</f>
        <v>0</v>
      </c>
      <c r="I2">
        <f>F2-C2</f>
        <v>0</v>
      </c>
      <c r="J2">
        <f>ABS(G2)</f>
        <v>0</v>
      </c>
      <c r="K2">
        <f t="shared" ref="K2:L2" si="0">ABS(H2)</f>
        <v>0</v>
      </c>
      <c r="L2">
        <f t="shared" si="0"/>
        <v>0</v>
      </c>
      <c r="M2">
        <f>G2^2</f>
        <v>0</v>
      </c>
      <c r="N2">
        <f t="shared" ref="N2:O17" si="1">H2^2</f>
        <v>0</v>
      </c>
      <c r="O2">
        <f t="shared" si="1"/>
        <v>0</v>
      </c>
      <c r="P2">
        <f>ABS(G2/C2)</f>
        <v>0</v>
      </c>
      <c r="Q2">
        <f>ABS(H2/C2)</f>
        <v>0</v>
      </c>
      <c r="R2">
        <f>ABS(I2/C2)</f>
        <v>0</v>
      </c>
      <c r="S2">
        <f>AVERAGE(J2:J61)</f>
        <v>214.552128648419</v>
      </c>
      <c r="T2">
        <f t="shared" ref="T2:U2" si="2">AVERAGE(K2:K61)</f>
        <v>209.42676792572917</v>
      </c>
      <c r="U2">
        <f t="shared" si="2"/>
        <v>206.2106404256069</v>
      </c>
      <c r="V2">
        <f>AVERAGE(M2:M61)</f>
        <v>59442.758655587299</v>
      </c>
      <c r="W2">
        <f t="shared" ref="W2" si="3">AVERAGE(N2:N61)</f>
        <v>54660.56049894663</v>
      </c>
      <c r="X2">
        <f>AVERAGE(O2:O61)</f>
        <v>51951.686421109625</v>
      </c>
      <c r="Y2" s="19">
        <f>AVERAGE(P2:P61)</f>
        <v>0.18224901739269603</v>
      </c>
      <c r="Z2" s="19">
        <f>AVERAGE(Q2:Q61)</f>
        <v>0.182456891229031</v>
      </c>
      <c r="AA2" s="19">
        <f>AVERAGE(R2:R61)</f>
        <v>0.18200656412079411</v>
      </c>
    </row>
    <row r="3" spans="1:32" x14ac:dyDescent="0.3">
      <c r="A3" s="4">
        <v>38749</v>
      </c>
      <c r="B3" s="5">
        <v>2</v>
      </c>
      <c r="C3">
        <v>697</v>
      </c>
      <c r="D3">
        <f>$AD$1*C2+(0.9*D2)</f>
        <v>742.00000000000011</v>
      </c>
      <c r="E3">
        <f>$AE$1*C2+(0.85*E2)</f>
        <v>741.99999999999989</v>
      </c>
      <c r="F3">
        <f>$AF$1*C2+(0.8*F2)</f>
        <v>742</v>
      </c>
      <c r="G3">
        <f t="shared" ref="G3:G61" si="4">D3-C3</f>
        <v>45.000000000000114</v>
      </c>
      <c r="H3">
        <f t="shared" ref="H3:H61" si="5">E3-C3</f>
        <v>44.999999999999886</v>
      </c>
      <c r="I3">
        <f t="shared" ref="I3:I61" si="6">F3-C3</f>
        <v>45</v>
      </c>
      <c r="J3">
        <f t="shared" ref="J3:J61" si="7">ABS(G3)</f>
        <v>45.000000000000114</v>
      </c>
      <c r="K3">
        <f t="shared" ref="K3:K61" si="8">ABS(H3)</f>
        <v>44.999999999999886</v>
      </c>
      <c r="L3">
        <f t="shared" ref="L3:L61" si="9">ABS(I3)</f>
        <v>45</v>
      </c>
      <c r="M3">
        <f t="shared" ref="M3:O61" si="10">G3^2</f>
        <v>2025.0000000000102</v>
      </c>
      <c r="N3">
        <f t="shared" si="1"/>
        <v>2024.9999999999898</v>
      </c>
      <c r="O3">
        <f t="shared" si="1"/>
        <v>2025</v>
      </c>
      <c r="P3">
        <f t="shared" ref="P3:P61" si="11">ABS(G3/C3)</f>
        <v>6.4562410329985817E-2</v>
      </c>
      <c r="Q3">
        <f t="shared" ref="Q3:Q61" si="12">ABS(H3/C3)</f>
        <v>6.4562410329985484E-2</v>
      </c>
      <c r="R3">
        <f t="shared" ref="R3:R61" si="13">ABS(I3/C3)</f>
        <v>6.4562410329985651E-2</v>
      </c>
    </row>
    <row r="4" spans="1:32" x14ac:dyDescent="0.3">
      <c r="A4" s="10">
        <v>38777</v>
      </c>
      <c r="B4" s="12">
        <v>3</v>
      </c>
      <c r="C4" s="2">
        <v>776</v>
      </c>
      <c r="D4">
        <f t="shared" ref="D4:D61" si="14">$AD$1*C3+(0.9*D3)</f>
        <v>737.50000000000011</v>
      </c>
      <c r="E4">
        <f t="shared" ref="E4:E61" si="15">$AE$1*C3+(0.85*E3)</f>
        <v>735.24999999999989</v>
      </c>
      <c r="F4">
        <f t="shared" ref="F4:F61" si="16">$AF$1*C3+(0.8*F3)</f>
        <v>733</v>
      </c>
      <c r="G4">
        <f t="shared" si="4"/>
        <v>-38.499999999999886</v>
      </c>
      <c r="H4">
        <f t="shared" si="5"/>
        <v>-40.750000000000114</v>
      </c>
      <c r="I4">
        <f t="shared" si="6"/>
        <v>-43</v>
      </c>
      <c r="J4">
        <f t="shared" si="7"/>
        <v>38.499999999999886</v>
      </c>
      <c r="K4">
        <f t="shared" si="8"/>
        <v>40.750000000000114</v>
      </c>
      <c r="L4">
        <f t="shared" si="9"/>
        <v>43</v>
      </c>
      <c r="M4">
        <f t="shared" si="10"/>
        <v>1482.2499999999914</v>
      </c>
      <c r="N4">
        <f t="shared" si="1"/>
        <v>1660.5625000000093</v>
      </c>
      <c r="O4">
        <f t="shared" si="1"/>
        <v>1849</v>
      </c>
      <c r="P4">
        <f t="shared" si="11"/>
        <v>4.9613402061855522E-2</v>
      </c>
      <c r="Q4">
        <f t="shared" si="12"/>
        <v>5.2512886597938291E-2</v>
      </c>
      <c r="R4">
        <f t="shared" si="13"/>
        <v>5.5412371134020616E-2</v>
      </c>
      <c r="T4" t="s">
        <v>122</v>
      </c>
    </row>
    <row r="5" spans="1:32" x14ac:dyDescent="0.3">
      <c r="A5" s="4">
        <v>38808</v>
      </c>
      <c r="B5" s="8">
        <v>4</v>
      </c>
      <c r="C5">
        <v>898</v>
      </c>
      <c r="D5">
        <f t="shared" si="14"/>
        <v>741.35000000000014</v>
      </c>
      <c r="E5">
        <f t="shared" si="15"/>
        <v>741.36249999999984</v>
      </c>
      <c r="F5">
        <f t="shared" si="16"/>
        <v>741.6</v>
      </c>
      <c r="G5">
        <f t="shared" si="4"/>
        <v>-156.64999999999986</v>
      </c>
      <c r="H5">
        <f t="shared" si="5"/>
        <v>-156.63750000000016</v>
      </c>
      <c r="I5">
        <f t="shared" si="6"/>
        <v>-156.39999999999998</v>
      </c>
      <c r="J5">
        <f t="shared" si="7"/>
        <v>156.64999999999986</v>
      </c>
      <c r="K5">
        <f t="shared" si="8"/>
        <v>156.63750000000016</v>
      </c>
      <c r="L5">
        <f t="shared" si="9"/>
        <v>156.39999999999998</v>
      </c>
      <c r="M5">
        <f t="shared" si="10"/>
        <v>24539.222499999956</v>
      </c>
      <c r="N5">
        <f t="shared" si="1"/>
        <v>24535.306406250049</v>
      </c>
      <c r="O5">
        <f t="shared" si="1"/>
        <v>24460.959999999992</v>
      </c>
      <c r="P5">
        <f t="shared" si="11"/>
        <v>0.17444320712694864</v>
      </c>
      <c r="Q5">
        <f t="shared" si="12"/>
        <v>0.17442928730512267</v>
      </c>
      <c r="R5">
        <f t="shared" si="13"/>
        <v>0.17416481069042314</v>
      </c>
    </row>
    <row r="6" spans="1:32" x14ac:dyDescent="0.3">
      <c r="A6" s="10">
        <v>38838</v>
      </c>
      <c r="B6" s="12">
        <v>5</v>
      </c>
      <c r="C6" s="2">
        <v>1030</v>
      </c>
      <c r="D6">
        <f t="shared" si="14"/>
        <v>757.0150000000001</v>
      </c>
      <c r="E6">
        <f t="shared" si="15"/>
        <v>764.85812499999975</v>
      </c>
      <c r="F6">
        <f t="shared" si="16"/>
        <v>772.88000000000011</v>
      </c>
      <c r="G6">
        <f t="shared" si="4"/>
        <v>-272.9849999999999</v>
      </c>
      <c r="H6">
        <f t="shared" si="5"/>
        <v>-265.14187500000025</v>
      </c>
      <c r="I6">
        <f t="shared" si="6"/>
        <v>-257.11999999999989</v>
      </c>
      <c r="J6">
        <f t="shared" si="7"/>
        <v>272.9849999999999</v>
      </c>
      <c r="K6">
        <f t="shared" si="8"/>
        <v>265.14187500000025</v>
      </c>
      <c r="L6">
        <f t="shared" si="9"/>
        <v>257.11999999999989</v>
      </c>
      <c r="M6">
        <f t="shared" si="10"/>
        <v>74520.81022499995</v>
      </c>
      <c r="N6">
        <f t="shared" si="1"/>
        <v>70300.213878515759</v>
      </c>
      <c r="O6">
        <f t="shared" si="1"/>
        <v>66110.694399999949</v>
      </c>
      <c r="P6">
        <f t="shared" si="11"/>
        <v>0.2650339805825242</v>
      </c>
      <c r="Q6">
        <f t="shared" si="12"/>
        <v>0.2574192961165051</v>
      </c>
      <c r="R6">
        <f t="shared" si="13"/>
        <v>0.24963106796116494</v>
      </c>
    </row>
    <row r="7" spans="1:32" x14ac:dyDescent="0.3">
      <c r="A7" s="4">
        <v>38869</v>
      </c>
      <c r="B7" s="8">
        <v>6</v>
      </c>
      <c r="C7">
        <v>1107</v>
      </c>
      <c r="D7">
        <f t="shared" si="14"/>
        <v>784.31350000000009</v>
      </c>
      <c r="E7">
        <f t="shared" si="15"/>
        <v>804.62940624999976</v>
      </c>
      <c r="F7">
        <f t="shared" si="16"/>
        <v>824.30400000000009</v>
      </c>
      <c r="G7">
        <f t="shared" si="4"/>
        <v>-322.68649999999991</v>
      </c>
      <c r="H7">
        <f t="shared" si="5"/>
        <v>-302.37059375000024</v>
      </c>
      <c r="I7">
        <f t="shared" si="6"/>
        <v>-282.69599999999991</v>
      </c>
      <c r="J7">
        <f t="shared" si="7"/>
        <v>322.68649999999991</v>
      </c>
      <c r="K7">
        <f t="shared" si="8"/>
        <v>302.37059375000024</v>
      </c>
      <c r="L7">
        <f t="shared" si="9"/>
        <v>282.69599999999991</v>
      </c>
      <c r="M7">
        <f t="shared" si="10"/>
        <v>104126.57728224994</v>
      </c>
      <c r="N7">
        <f t="shared" si="1"/>
        <v>91427.975964727681</v>
      </c>
      <c r="O7">
        <f t="shared" si="1"/>
        <v>79917.028415999957</v>
      </c>
      <c r="P7">
        <f t="shared" si="11"/>
        <v>0.2914963866305329</v>
      </c>
      <c r="Q7">
        <f t="shared" si="12"/>
        <v>0.27314416779584483</v>
      </c>
      <c r="R7">
        <f t="shared" si="13"/>
        <v>0.25537127371273705</v>
      </c>
    </row>
    <row r="8" spans="1:32" x14ac:dyDescent="0.3">
      <c r="A8" s="10">
        <v>38899</v>
      </c>
      <c r="B8" s="12">
        <v>7</v>
      </c>
      <c r="C8" s="2">
        <v>1165</v>
      </c>
      <c r="D8">
        <f t="shared" si="14"/>
        <v>816.58215000000018</v>
      </c>
      <c r="E8">
        <f t="shared" si="15"/>
        <v>849.98499531249968</v>
      </c>
      <c r="F8">
        <f t="shared" si="16"/>
        <v>880.84320000000014</v>
      </c>
      <c r="G8">
        <f t="shared" si="4"/>
        <v>-348.41784999999982</v>
      </c>
      <c r="H8">
        <f t="shared" si="5"/>
        <v>-315.01500468750032</v>
      </c>
      <c r="I8">
        <f t="shared" si="6"/>
        <v>-284.15679999999986</v>
      </c>
      <c r="J8">
        <f t="shared" si="7"/>
        <v>348.41784999999982</v>
      </c>
      <c r="K8">
        <f t="shared" si="8"/>
        <v>315.01500468750032</v>
      </c>
      <c r="L8">
        <f t="shared" si="9"/>
        <v>284.15679999999986</v>
      </c>
      <c r="M8">
        <f t="shared" si="10"/>
        <v>121394.99819862237</v>
      </c>
      <c r="N8">
        <f t="shared" si="1"/>
        <v>99234.453178265845</v>
      </c>
      <c r="O8">
        <f t="shared" si="1"/>
        <v>80745.086986239927</v>
      </c>
      <c r="P8">
        <f t="shared" si="11"/>
        <v>0.29907111587982815</v>
      </c>
      <c r="Q8">
        <f t="shared" si="12"/>
        <v>0.27039914565450673</v>
      </c>
      <c r="R8">
        <f t="shared" si="13"/>
        <v>0.24391141630901275</v>
      </c>
    </row>
    <row r="9" spans="1:32" x14ac:dyDescent="0.3">
      <c r="A9" s="4">
        <v>38930</v>
      </c>
      <c r="B9" s="8">
        <v>8</v>
      </c>
      <c r="C9">
        <v>1216</v>
      </c>
      <c r="D9">
        <f t="shared" si="14"/>
        <v>851.42393500000014</v>
      </c>
      <c r="E9">
        <f t="shared" si="15"/>
        <v>897.23724601562469</v>
      </c>
      <c r="F9">
        <f t="shared" si="16"/>
        <v>937.67456000000016</v>
      </c>
      <c r="G9">
        <f t="shared" si="4"/>
        <v>-364.57606499999986</v>
      </c>
      <c r="H9">
        <f t="shared" si="5"/>
        <v>-318.76275398437531</v>
      </c>
      <c r="I9">
        <f t="shared" si="6"/>
        <v>-278.32543999999984</v>
      </c>
      <c r="J9">
        <f t="shared" si="7"/>
        <v>364.57606499999986</v>
      </c>
      <c r="K9">
        <f t="shared" si="8"/>
        <v>318.76275398437531</v>
      </c>
      <c r="L9">
        <f t="shared" si="9"/>
        <v>278.32543999999984</v>
      </c>
      <c r="M9">
        <f t="shared" si="10"/>
        <v>132915.70717088412</v>
      </c>
      <c r="N9">
        <f t="shared" si="1"/>
        <v>101609.69332770338</v>
      </c>
      <c r="O9">
        <f t="shared" si="1"/>
        <v>77465.050551193519</v>
      </c>
      <c r="P9">
        <f t="shared" si="11"/>
        <v>0.29981584292763147</v>
      </c>
      <c r="Q9">
        <f t="shared" si="12"/>
        <v>0.26214042268451915</v>
      </c>
      <c r="R9">
        <f t="shared" si="13"/>
        <v>0.22888605263157882</v>
      </c>
    </row>
    <row r="10" spans="1:32" x14ac:dyDescent="0.3">
      <c r="A10" s="10">
        <v>38961</v>
      </c>
      <c r="B10" s="12">
        <v>9</v>
      </c>
      <c r="C10" s="2">
        <v>1208</v>
      </c>
      <c r="D10">
        <f t="shared" si="14"/>
        <v>887.88154150000014</v>
      </c>
      <c r="E10">
        <f t="shared" si="15"/>
        <v>945.05165911328095</v>
      </c>
      <c r="F10">
        <f t="shared" si="16"/>
        <v>993.33964800000024</v>
      </c>
      <c r="G10">
        <f t="shared" si="4"/>
        <v>-320.11845849999986</v>
      </c>
      <c r="H10">
        <f t="shared" si="5"/>
        <v>-262.94834088671905</v>
      </c>
      <c r="I10">
        <f t="shared" si="6"/>
        <v>-214.66035199999976</v>
      </c>
      <c r="J10">
        <f t="shared" si="7"/>
        <v>320.11845849999986</v>
      </c>
      <c r="K10">
        <f t="shared" si="8"/>
        <v>262.94834088671905</v>
      </c>
      <c r="L10">
        <f t="shared" si="9"/>
        <v>214.66035199999976</v>
      </c>
      <c r="M10">
        <f t="shared" si="10"/>
        <v>102475.82747241613</v>
      </c>
      <c r="N10">
        <f t="shared" si="1"/>
        <v>69141.829975078203</v>
      </c>
      <c r="O10">
        <f t="shared" si="1"/>
        <v>46079.066720763803</v>
      </c>
      <c r="P10">
        <f t="shared" si="11"/>
        <v>0.26499872392384094</v>
      </c>
      <c r="Q10">
        <f t="shared" si="12"/>
        <v>0.21767246762145617</v>
      </c>
      <c r="R10">
        <f t="shared" si="13"/>
        <v>0.17769896688741701</v>
      </c>
    </row>
    <row r="11" spans="1:32" x14ac:dyDescent="0.3">
      <c r="A11" s="4">
        <v>38991</v>
      </c>
      <c r="B11" s="8">
        <v>10</v>
      </c>
      <c r="C11">
        <v>1131</v>
      </c>
      <c r="D11">
        <f t="shared" si="14"/>
        <v>919.89338735000024</v>
      </c>
      <c r="E11">
        <f t="shared" si="15"/>
        <v>984.49391024628881</v>
      </c>
      <c r="F11">
        <f t="shared" si="16"/>
        <v>1036.2717184000003</v>
      </c>
      <c r="G11">
        <f t="shared" si="4"/>
        <v>-211.10661264999976</v>
      </c>
      <c r="H11">
        <f t="shared" si="5"/>
        <v>-146.50608975371119</v>
      </c>
      <c r="I11">
        <f t="shared" si="6"/>
        <v>-94.728281599999718</v>
      </c>
      <c r="J11">
        <f t="shared" si="7"/>
        <v>211.10661264999976</v>
      </c>
      <c r="K11">
        <f t="shared" si="8"/>
        <v>146.50608975371119</v>
      </c>
      <c r="L11">
        <f t="shared" si="9"/>
        <v>94.728281599999718</v>
      </c>
      <c r="M11">
        <f t="shared" si="10"/>
        <v>44566.001904557037</v>
      </c>
      <c r="N11">
        <f t="shared" si="1"/>
        <v>21464.034334922479</v>
      </c>
      <c r="O11">
        <f t="shared" si="1"/>
        <v>8973.4473348888459</v>
      </c>
      <c r="P11">
        <f t="shared" si="11"/>
        <v>0.18665482992926594</v>
      </c>
      <c r="Q11">
        <f t="shared" si="12"/>
        <v>0.12953677254970045</v>
      </c>
      <c r="R11">
        <f t="shared" si="13"/>
        <v>8.3756217152961734E-2</v>
      </c>
    </row>
    <row r="12" spans="1:32" x14ac:dyDescent="0.3">
      <c r="A12" s="10">
        <v>39022</v>
      </c>
      <c r="B12" s="12">
        <v>11</v>
      </c>
      <c r="C12" s="2">
        <v>971</v>
      </c>
      <c r="D12">
        <f t="shared" si="14"/>
        <v>941.00404861500022</v>
      </c>
      <c r="E12">
        <f t="shared" si="15"/>
        <v>1006.4698237093454</v>
      </c>
      <c r="F12">
        <f t="shared" si="16"/>
        <v>1055.2173747200002</v>
      </c>
      <c r="G12">
        <f t="shared" si="4"/>
        <v>-29.995951384999785</v>
      </c>
      <c r="H12">
        <f t="shared" si="5"/>
        <v>35.469823709345405</v>
      </c>
      <c r="I12">
        <f t="shared" si="6"/>
        <v>84.21737472000018</v>
      </c>
      <c r="J12">
        <f t="shared" si="7"/>
        <v>29.995951384999785</v>
      </c>
      <c r="K12">
        <f t="shared" si="8"/>
        <v>35.469823709345405</v>
      </c>
      <c r="L12">
        <f t="shared" si="9"/>
        <v>84.21737472000018</v>
      </c>
      <c r="M12">
        <f t="shared" si="10"/>
        <v>899.75709949127054</v>
      </c>
      <c r="N12">
        <f t="shared" si="1"/>
        <v>1258.1083939720415</v>
      </c>
      <c r="O12">
        <f t="shared" si="1"/>
        <v>7092.5662047289252</v>
      </c>
      <c r="P12">
        <f t="shared" si="11"/>
        <v>3.0891813990730984E-2</v>
      </c>
      <c r="Q12">
        <f t="shared" si="12"/>
        <v>3.6529169628574054E-2</v>
      </c>
      <c r="R12">
        <f t="shared" si="13"/>
        <v>8.673262072090647E-2</v>
      </c>
    </row>
    <row r="13" spans="1:32" x14ac:dyDescent="0.3">
      <c r="A13" s="4">
        <v>39052</v>
      </c>
      <c r="B13" s="8">
        <v>12</v>
      </c>
      <c r="C13">
        <v>783</v>
      </c>
      <c r="D13">
        <f t="shared" si="14"/>
        <v>944.00364375350023</v>
      </c>
      <c r="E13">
        <f t="shared" si="15"/>
        <v>1001.1493501529435</v>
      </c>
      <c r="F13">
        <f t="shared" si="16"/>
        <v>1038.3738997760001</v>
      </c>
      <c r="G13">
        <f t="shared" si="4"/>
        <v>161.00364375350023</v>
      </c>
      <c r="H13">
        <f t="shared" si="5"/>
        <v>218.1493501529435</v>
      </c>
      <c r="I13">
        <f t="shared" si="6"/>
        <v>255.37389977600014</v>
      </c>
      <c r="J13">
        <f t="shared" si="7"/>
        <v>161.00364375350023</v>
      </c>
      <c r="K13">
        <f t="shared" si="8"/>
        <v>218.1493501529435</v>
      </c>
      <c r="L13">
        <f t="shared" si="9"/>
        <v>255.37389977600014</v>
      </c>
      <c r="M13">
        <f t="shared" si="10"/>
        <v>25922.173301904011</v>
      </c>
      <c r="N13">
        <f t="shared" si="1"/>
        <v>47589.138972151552</v>
      </c>
      <c r="O13">
        <f t="shared" si="1"/>
        <v>65215.828686802568</v>
      </c>
      <c r="P13">
        <f t="shared" si="11"/>
        <v>0.20562406609642431</v>
      </c>
      <c r="Q13">
        <f t="shared" si="12"/>
        <v>0.27860708831793551</v>
      </c>
      <c r="R13">
        <f t="shared" si="13"/>
        <v>0.32614802014814831</v>
      </c>
    </row>
    <row r="14" spans="1:32" x14ac:dyDescent="0.3">
      <c r="A14" s="10">
        <v>39083</v>
      </c>
      <c r="B14" s="12">
        <v>13</v>
      </c>
      <c r="C14" s="2">
        <v>741</v>
      </c>
      <c r="D14">
        <f t="shared" si="14"/>
        <v>927.90327937815027</v>
      </c>
      <c r="E14">
        <f t="shared" si="15"/>
        <v>968.42694763000191</v>
      </c>
      <c r="F14">
        <f t="shared" si="16"/>
        <v>987.29911982080023</v>
      </c>
      <c r="G14">
        <f t="shared" si="4"/>
        <v>186.90327937815027</v>
      </c>
      <c r="H14">
        <f t="shared" si="5"/>
        <v>227.42694763000191</v>
      </c>
      <c r="I14">
        <f t="shared" si="6"/>
        <v>246.29911982080023</v>
      </c>
      <c r="J14">
        <f t="shared" si="7"/>
        <v>186.90327937815027</v>
      </c>
      <c r="K14">
        <f t="shared" si="8"/>
        <v>227.42694763000191</v>
      </c>
      <c r="L14">
        <f t="shared" si="9"/>
        <v>246.29911982080023</v>
      </c>
      <c r="M14">
        <f t="shared" si="10"/>
        <v>34932.835842306893</v>
      </c>
      <c r="N14">
        <f t="shared" si="1"/>
        <v>51723.016508299632</v>
      </c>
      <c r="O14">
        <f t="shared" si="1"/>
        <v>60663.256424500905</v>
      </c>
      <c r="P14">
        <f t="shared" si="11"/>
        <v>0.25223114625931209</v>
      </c>
      <c r="Q14">
        <f t="shared" si="12"/>
        <v>0.30691895766531974</v>
      </c>
      <c r="R14">
        <f t="shared" si="13"/>
        <v>0.33238747614143083</v>
      </c>
    </row>
    <row r="15" spans="1:32" x14ac:dyDescent="0.3">
      <c r="A15" s="4">
        <v>39114</v>
      </c>
      <c r="B15" s="8">
        <v>14</v>
      </c>
      <c r="C15">
        <v>700</v>
      </c>
      <c r="D15">
        <f t="shared" si="14"/>
        <v>909.21295144033525</v>
      </c>
      <c r="E15">
        <f t="shared" si="15"/>
        <v>934.31290548550157</v>
      </c>
      <c r="F15">
        <f t="shared" si="16"/>
        <v>938.03929585664025</v>
      </c>
      <c r="G15">
        <f t="shared" si="4"/>
        <v>209.21295144033525</v>
      </c>
      <c r="H15">
        <f t="shared" si="5"/>
        <v>234.31290548550157</v>
      </c>
      <c r="I15">
        <f t="shared" si="6"/>
        <v>238.03929585664025</v>
      </c>
      <c r="J15">
        <f t="shared" si="7"/>
        <v>209.21295144033525</v>
      </c>
      <c r="K15">
        <f t="shared" si="8"/>
        <v>234.31290548550157</v>
      </c>
      <c r="L15">
        <f t="shared" si="9"/>
        <v>238.03929585664025</v>
      </c>
      <c r="M15">
        <f t="shared" si="10"/>
        <v>43770.059050376076</v>
      </c>
      <c r="N15">
        <f t="shared" si="1"/>
        <v>54902.537677057597</v>
      </c>
      <c r="O15">
        <f t="shared" si="1"/>
        <v>56662.706371925109</v>
      </c>
      <c r="P15">
        <f t="shared" si="11"/>
        <v>0.29887564491476465</v>
      </c>
      <c r="Q15">
        <f t="shared" si="12"/>
        <v>0.33473272212214511</v>
      </c>
      <c r="R15">
        <f t="shared" si="13"/>
        <v>0.34005613693805753</v>
      </c>
    </row>
    <row r="16" spans="1:32" x14ac:dyDescent="0.3">
      <c r="A16" s="10">
        <v>39142</v>
      </c>
      <c r="B16" s="12">
        <v>15</v>
      </c>
      <c r="C16" s="2">
        <v>774</v>
      </c>
      <c r="D16">
        <f t="shared" si="14"/>
        <v>888.29165629630177</v>
      </c>
      <c r="E16">
        <f t="shared" si="15"/>
        <v>899.16596966267628</v>
      </c>
      <c r="F16">
        <f t="shared" si="16"/>
        <v>890.43143668531229</v>
      </c>
      <c r="G16">
        <f t="shared" si="4"/>
        <v>114.29165629630177</v>
      </c>
      <c r="H16">
        <f t="shared" si="5"/>
        <v>125.16596966267628</v>
      </c>
      <c r="I16">
        <f t="shared" si="6"/>
        <v>116.43143668531229</v>
      </c>
      <c r="J16">
        <f t="shared" si="7"/>
        <v>114.29165629630177</v>
      </c>
      <c r="K16">
        <f t="shared" si="8"/>
        <v>125.16596966267628</v>
      </c>
      <c r="L16">
        <f t="shared" si="9"/>
        <v>116.43143668531229</v>
      </c>
      <c r="M16">
        <f t="shared" si="10"/>
        <v>13062.582698951976</v>
      </c>
      <c r="N16">
        <f t="shared" si="1"/>
        <v>15666.519961597998</v>
      </c>
      <c r="O16">
        <f t="shared" si="1"/>
        <v>13556.279448605885</v>
      </c>
      <c r="P16">
        <f t="shared" si="11"/>
        <v>0.14766363862571288</v>
      </c>
      <c r="Q16">
        <f t="shared" si="12"/>
        <v>0.16171313909906496</v>
      </c>
      <c r="R16">
        <f t="shared" si="13"/>
        <v>0.1504282127717213</v>
      </c>
    </row>
    <row r="17" spans="1:18" x14ac:dyDescent="0.3">
      <c r="A17" s="4">
        <v>39173</v>
      </c>
      <c r="B17" s="8">
        <v>16</v>
      </c>
      <c r="C17">
        <v>932</v>
      </c>
      <c r="D17">
        <f t="shared" si="14"/>
        <v>876.86249066667153</v>
      </c>
      <c r="E17">
        <f t="shared" si="15"/>
        <v>880.39107421327481</v>
      </c>
      <c r="F17">
        <f t="shared" si="16"/>
        <v>867.14514934824979</v>
      </c>
      <c r="G17">
        <f t="shared" si="4"/>
        <v>-55.137509333328467</v>
      </c>
      <c r="H17">
        <f t="shared" si="5"/>
        <v>-51.608925786725194</v>
      </c>
      <c r="I17">
        <f t="shared" si="6"/>
        <v>-64.854850651750212</v>
      </c>
      <c r="J17">
        <f t="shared" si="7"/>
        <v>55.137509333328467</v>
      </c>
      <c r="K17">
        <f t="shared" si="8"/>
        <v>51.608925786725194</v>
      </c>
      <c r="L17">
        <f t="shared" si="9"/>
        <v>64.854850651750212</v>
      </c>
      <c r="M17">
        <f t="shared" si="10"/>
        <v>3040.1449354828837</v>
      </c>
      <c r="N17">
        <f t="shared" si="1"/>
        <v>2663.4812208597086</v>
      </c>
      <c r="O17">
        <f t="shared" si="1"/>
        <v>4206.1516530608251</v>
      </c>
      <c r="P17">
        <f t="shared" si="11"/>
        <v>5.9160417739622821E-2</v>
      </c>
      <c r="Q17">
        <f t="shared" si="12"/>
        <v>5.5374383891336046E-2</v>
      </c>
      <c r="R17">
        <f t="shared" si="13"/>
        <v>6.9586749626341426E-2</v>
      </c>
    </row>
    <row r="18" spans="1:18" x14ac:dyDescent="0.3">
      <c r="A18" s="10">
        <v>39203</v>
      </c>
      <c r="B18" s="12">
        <v>17</v>
      </c>
      <c r="C18" s="2">
        <v>1099</v>
      </c>
      <c r="D18">
        <f t="shared" si="14"/>
        <v>882.37624160000439</v>
      </c>
      <c r="E18">
        <f t="shared" si="15"/>
        <v>888.13241308128352</v>
      </c>
      <c r="F18">
        <f t="shared" si="16"/>
        <v>880.1161194785999</v>
      </c>
      <c r="G18">
        <f t="shared" si="4"/>
        <v>-216.62375839999561</v>
      </c>
      <c r="H18">
        <f t="shared" si="5"/>
        <v>-210.86758691871648</v>
      </c>
      <c r="I18">
        <f t="shared" si="6"/>
        <v>-218.8838805214001</v>
      </c>
      <c r="J18">
        <f t="shared" si="7"/>
        <v>216.62375839999561</v>
      </c>
      <c r="K18">
        <f t="shared" si="8"/>
        <v>210.86758691871648</v>
      </c>
      <c r="L18">
        <f t="shared" si="9"/>
        <v>218.8838805214001</v>
      </c>
      <c r="M18">
        <f t="shared" si="10"/>
        <v>46925.852703339668</v>
      </c>
      <c r="N18">
        <f t="shared" si="10"/>
        <v>44465.139212922448</v>
      </c>
      <c r="O18">
        <f t="shared" si="10"/>
        <v>47910.153152106555</v>
      </c>
      <c r="P18">
        <f t="shared" si="11"/>
        <v>0.19710988025477308</v>
      </c>
      <c r="Q18">
        <f t="shared" si="12"/>
        <v>0.19187223559482847</v>
      </c>
      <c r="R18">
        <f t="shared" si="13"/>
        <v>0.19916640629790727</v>
      </c>
    </row>
    <row r="19" spans="1:18" x14ac:dyDescent="0.3">
      <c r="A19" s="4">
        <v>39234</v>
      </c>
      <c r="B19" s="8">
        <v>18</v>
      </c>
      <c r="C19">
        <v>1223</v>
      </c>
      <c r="D19">
        <f t="shared" si="14"/>
        <v>904.03861744000392</v>
      </c>
      <c r="E19">
        <f t="shared" si="15"/>
        <v>919.76255111909097</v>
      </c>
      <c r="F19">
        <f t="shared" si="16"/>
        <v>923.89289558287987</v>
      </c>
      <c r="G19">
        <f t="shared" si="4"/>
        <v>-318.96138255999608</v>
      </c>
      <c r="H19">
        <f t="shared" si="5"/>
        <v>-303.23744888090903</v>
      </c>
      <c r="I19">
        <f t="shared" si="6"/>
        <v>-299.10710441712013</v>
      </c>
      <c r="J19">
        <f t="shared" si="7"/>
        <v>318.96138255999608</v>
      </c>
      <c r="K19">
        <f t="shared" si="8"/>
        <v>303.23744888090903</v>
      </c>
      <c r="L19">
        <f t="shared" si="9"/>
        <v>299.10710441712013</v>
      </c>
      <c r="M19">
        <f t="shared" si="10"/>
        <v>101736.36356458417</v>
      </c>
      <c r="N19">
        <f t="shared" si="10"/>
        <v>91952.950403801922</v>
      </c>
      <c r="O19">
        <f t="shared" si="10"/>
        <v>89465.059912794008</v>
      </c>
      <c r="P19">
        <f t="shared" si="11"/>
        <v>0.26080243872444486</v>
      </c>
      <c r="Q19">
        <f t="shared" si="12"/>
        <v>0.24794558371292644</v>
      </c>
      <c r="R19">
        <f t="shared" si="13"/>
        <v>0.24456836011211786</v>
      </c>
    </row>
    <row r="20" spans="1:18" x14ac:dyDescent="0.3">
      <c r="A20" s="10">
        <v>39264</v>
      </c>
      <c r="B20" s="12">
        <v>19</v>
      </c>
      <c r="C20" s="2">
        <v>1290</v>
      </c>
      <c r="D20">
        <f t="shared" si="14"/>
        <v>935.93475569600355</v>
      </c>
      <c r="E20">
        <f t="shared" si="15"/>
        <v>965.24816845122723</v>
      </c>
      <c r="F20">
        <f t="shared" si="16"/>
        <v>983.71431646630401</v>
      </c>
      <c r="G20">
        <f t="shared" si="4"/>
        <v>-354.06524430399645</v>
      </c>
      <c r="H20">
        <f t="shared" si="5"/>
        <v>-324.75183154877277</v>
      </c>
      <c r="I20">
        <f t="shared" si="6"/>
        <v>-306.28568353369599</v>
      </c>
      <c r="J20">
        <f t="shared" si="7"/>
        <v>354.06524430399645</v>
      </c>
      <c r="K20">
        <f t="shared" si="8"/>
        <v>324.75183154877277</v>
      </c>
      <c r="L20">
        <f t="shared" si="9"/>
        <v>306.28568353369599</v>
      </c>
      <c r="M20">
        <f t="shared" si="10"/>
        <v>125362.19722404869</v>
      </c>
      <c r="N20">
        <f t="shared" si="10"/>
        <v>105463.75209428249</v>
      </c>
      <c r="O20">
        <f t="shared" si="10"/>
        <v>93810.919937703366</v>
      </c>
      <c r="P20">
        <f t="shared" si="11"/>
        <v>0.27446918163100498</v>
      </c>
      <c r="Q20">
        <f t="shared" si="12"/>
        <v>0.25174560585176181</v>
      </c>
      <c r="R20">
        <f t="shared" si="13"/>
        <v>0.2374307624292217</v>
      </c>
    </row>
    <row r="21" spans="1:18" x14ac:dyDescent="0.3">
      <c r="A21" s="4">
        <v>39295</v>
      </c>
      <c r="B21" s="8">
        <v>20</v>
      </c>
      <c r="C21">
        <v>1349</v>
      </c>
      <c r="D21">
        <f t="shared" si="14"/>
        <v>971.34128012640326</v>
      </c>
      <c r="E21">
        <f t="shared" si="15"/>
        <v>1013.9609431835431</v>
      </c>
      <c r="F21">
        <f t="shared" si="16"/>
        <v>1044.9714531730433</v>
      </c>
      <c r="G21">
        <f t="shared" si="4"/>
        <v>-377.65871987359674</v>
      </c>
      <c r="H21">
        <f t="shared" si="5"/>
        <v>-335.03905681645688</v>
      </c>
      <c r="I21">
        <f t="shared" si="6"/>
        <v>-304.0285468269567</v>
      </c>
      <c r="J21">
        <f t="shared" si="7"/>
        <v>377.65871987359674</v>
      </c>
      <c r="K21">
        <f t="shared" si="8"/>
        <v>335.03905681645688</v>
      </c>
      <c r="L21">
        <f t="shared" si="9"/>
        <v>304.0285468269567</v>
      </c>
      <c r="M21">
        <f t="shared" si="10"/>
        <v>142626.10869656381</v>
      </c>
      <c r="N21">
        <f t="shared" si="10"/>
        <v>112251.16959246102</v>
      </c>
      <c r="O21">
        <f t="shared" si="10"/>
        <v>92433.357285710998</v>
      </c>
      <c r="P21">
        <f t="shared" si="11"/>
        <v>0.27995457366463805</v>
      </c>
      <c r="Q21">
        <f t="shared" si="12"/>
        <v>0.24836105027165076</v>
      </c>
      <c r="R21">
        <f t="shared" si="13"/>
        <v>0.22537327414896716</v>
      </c>
    </row>
    <row r="22" spans="1:18" x14ac:dyDescent="0.3">
      <c r="A22" s="10">
        <v>39326</v>
      </c>
      <c r="B22" s="12">
        <v>21</v>
      </c>
      <c r="C22" s="2">
        <v>1341</v>
      </c>
      <c r="D22">
        <f t="shared" si="14"/>
        <v>1009.1071521137629</v>
      </c>
      <c r="E22">
        <f t="shared" si="15"/>
        <v>1064.2168017060117</v>
      </c>
      <c r="F22">
        <f t="shared" si="16"/>
        <v>1105.7771625384346</v>
      </c>
      <c r="G22">
        <f t="shared" si="4"/>
        <v>-331.89284788623706</v>
      </c>
      <c r="H22">
        <f t="shared" si="5"/>
        <v>-276.78319829398833</v>
      </c>
      <c r="I22">
        <f t="shared" si="6"/>
        <v>-235.2228374615654</v>
      </c>
      <c r="J22">
        <f t="shared" si="7"/>
        <v>331.89284788623706</v>
      </c>
      <c r="K22">
        <f t="shared" si="8"/>
        <v>276.78319829398833</v>
      </c>
      <c r="L22">
        <f t="shared" si="9"/>
        <v>235.2228374615654</v>
      </c>
      <c r="M22">
        <f t="shared" si="10"/>
        <v>110152.8624780369</v>
      </c>
      <c r="N22">
        <f t="shared" si="10"/>
        <v>76608.938857849265</v>
      </c>
      <c r="O22">
        <f t="shared" si="10"/>
        <v>55329.783263470017</v>
      </c>
      <c r="P22">
        <f t="shared" si="11"/>
        <v>0.24749653086222004</v>
      </c>
      <c r="Q22">
        <f t="shared" si="12"/>
        <v>0.20640059529753046</v>
      </c>
      <c r="R22">
        <f t="shared" si="13"/>
        <v>0.17540852905411292</v>
      </c>
    </row>
    <row r="23" spans="1:18" x14ac:dyDescent="0.3">
      <c r="A23" s="4">
        <v>39356</v>
      </c>
      <c r="B23" s="8">
        <v>22</v>
      </c>
      <c r="C23">
        <v>1296</v>
      </c>
      <c r="D23">
        <f t="shared" si="14"/>
        <v>1042.2964369023866</v>
      </c>
      <c r="E23">
        <f t="shared" si="15"/>
        <v>1105.7342814501098</v>
      </c>
      <c r="F23">
        <f t="shared" si="16"/>
        <v>1152.8217300307476</v>
      </c>
      <c r="G23">
        <f t="shared" si="4"/>
        <v>-253.70356309761337</v>
      </c>
      <c r="H23">
        <f t="shared" si="5"/>
        <v>-190.26571854989015</v>
      </c>
      <c r="I23">
        <f t="shared" si="6"/>
        <v>-143.17826996925237</v>
      </c>
      <c r="J23">
        <f t="shared" si="7"/>
        <v>253.70356309761337</v>
      </c>
      <c r="K23">
        <f t="shared" si="8"/>
        <v>190.26571854989015</v>
      </c>
      <c r="L23">
        <f t="shared" si="9"/>
        <v>143.17826996925237</v>
      </c>
      <c r="M23">
        <f t="shared" si="10"/>
        <v>64365.497928424687</v>
      </c>
      <c r="N23">
        <f t="shared" si="10"/>
        <v>36201.043655306014</v>
      </c>
      <c r="O23">
        <f t="shared" si="10"/>
        <v>20500.016991388115</v>
      </c>
      <c r="P23">
        <f t="shared" si="11"/>
        <v>0.19575892214322019</v>
      </c>
      <c r="Q23">
        <f t="shared" si="12"/>
        <v>0.14680996801689056</v>
      </c>
      <c r="R23">
        <f t="shared" si="13"/>
        <v>0.11047706016146017</v>
      </c>
    </row>
    <row r="24" spans="1:18" x14ac:dyDescent="0.3">
      <c r="A24" s="10">
        <v>39387</v>
      </c>
      <c r="B24" s="12">
        <v>23</v>
      </c>
      <c r="C24" s="2">
        <v>1066</v>
      </c>
      <c r="D24">
        <f t="shared" si="14"/>
        <v>1067.6667932121479</v>
      </c>
      <c r="E24">
        <f t="shared" si="15"/>
        <v>1134.2741392325934</v>
      </c>
      <c r="F24">
        <f t="shared" si="16"/>
        <v>1181.4573840245982</v>
      </c>
      <c r="G24">
        <f t="shared" si="4"/>
        <v>1.6667932121479225</v>
      </c>
      <c r="H24">
        <f t="shared" si="5"/>
        <v>68.27413923259337</v>
      </c>
      <c r="I24">
        <f t="shared" si="6"/>
        <v>115.45738402459824</v>
      </c>
      <c r="J24">
        <f t="shared" si="7"/>
        <v>1.6667932121479225</v>
      </c>
      <c r="K24">
        <f t="shared" si="8"/>
        <v>68.27413923259337</v>
      </c>
      <c r="L24">
        <f t="shared" si="9"/>
        <v>115.45738402459824</v>
      </c>
      <c r="M24">
        <f t="shared" si="10"/>
        <v>2.7781996120623895</v>
      </c>
      <c r="N24">
        <f t="shared" si="10"/>
        <v>4661.3580879515448</v>
      </c>
      <c r="O24">
        <f t="shared" si="10"/>
        <v>13330.407525803554</v>
      </c>
      <c r="P24">
        <f t="shared" si="11"/>
        <v>1.5635958838160623E-3</v>
      </c>
      <c r="Q24">
        <f t="shared" si="12"/>
        <v>6.4047034927385907E-2</v>
      </c>
      <c r="R24">
        <f t="shared" si="13"/>
        <v>0.10830899064221224</v>
      </c>
    </row>
    <row r="25" spans="1:18" x14ac:dyDescent="0.3">
      <c r="A25" s="4">
        <v>39417</v>
      </c>
      <c r="B25" s="8">
        <v>24</v>
      </c>
      <c r="C25">
        <v>901</v>
      </c>
      <c r="D25">
        <f t="shared" si="14"/>
        <v>1067.5001138909331</v>
      </c>
      <c r="E25">
        <f t="shared" si="15"/>
        <v>1124.0330183477045</v>
      </c>
      <c r="F25">
        <f t="shared" si="16"/>
        <v>1158.3659072196785</v>
      </c>
      <c r="G25">
        <f t="shared" si="4"/>
        <v>166.50011389093311</v>
      </c>
      <c r="H25">
        <f t="shared" si="5"/>
        <v>223.03301834770446</v>
      </c>
      <c r="I25">
        <f t="shared" si="6"/>
        <v>257.36590721967855</v>
      </c>
      <c r="J25">
        <f t="shared" si="7"/>
        <v>166.50011389093311</v>
      </c>
      <c r="K25">
        <f t="shared" si="8"/>
        <v>223.03301834770446</v>
      </c>
      <c r="L25">
        <f t="shared" si="9"/>
        <v>257.36590721967855</v>
      </c>
      <c r="M25">
        <f t="shared" si="10"/>
        <v>27722.287925693698</v>
      </c>
      <c r="N25">
        <f t="shared" si="10"/>
        <v>49743.72727328747</v>
      </c>
      <c r="O25">
        <f t="shared" si="10"/>
        <v>66237.210199008186</v>
      </c>
      <c r="P25">
        <f t="shared" si="11"/>
        <v>0.18479479899104673</v>
      </c>
      <c r="Q25">
        <f t="shared" si="12"/>
        <v>0.24753942102963869</v>
      </c>
      <c r="R25">
        <f t="shared" si="13"/>
        <v>0.285644736092873</v>
      </c>
    </row>
    <row r="26" spans="1:18" x14ac:dyDescent="0.3">
      <c r="A26" s="10">
        <v>39448</v>
      </c>
      <c r="B26" s="12">
        <v>25</v>
      </c>
      <c r="C26" s="2">
        <v>896</v>
      </c>
      <c r="D26">
        <f t="shared" si="14"/>
        <v>1050.8501025018397</v>
      </c>
      <c r="E26">
        <f t="shared" si="15"/>
        <v>1090.5780655955489</v>
      </c>
      <c r="F26">
        <f t="shared" si="16"/>
        <v>1106.892725775743</v>
      </c>
      <c r="G26">
        <f t="shared" si="4"/>
        <v>154.85010250183973</v>
      </c>
      <c r="H26">
        <f t="shared" si="5"/>
        <v>194.57806559554888</v>
      </c>
      <c r="I26">
        <f t="shared" si="6"/>
        <v>210.89272577574297</v>
      </c>
      <c r="J26">
        <f t="shared" si="7"/>
        <v>154.85010250183973</v>
      </c>
      <c r="K26">
        <f t="shared" si="8"/>
        <v>194.57806559554888</v>
      </c>
      <c r="L26">
        <f t="shared" si="9"/>
        <v>210.89272577574297</v>
      </c>
      <c r="M26">
        <f t="shared" si="10"/>
        <v>23978.554244830269</v>
      </c>
      <c r="N26">
        <f t="shared" si="10"/>
        <v>37860.623610905721</v>
      </c>
      <c r="O26">
        <f t="shared" si="10"/>
        <v>44475.741785122722</v>
      </c>
      <c r="P26">
        <f t="shared" si="11"/>
        <v>0.1728237751136604</v>
      </c>
      <c r="Q26">
        <f t="shared" si="12"/>
        <v>0.21716301963788937</v>
      </c>
      <c r="R26">
        <f t="shared" si="13"/>
        <v>0.235371345731856</v>
      </c>
    </row>
    <row r="27" spans="1:18" x14ac:dyDescent="0.3">
      <c r="A27" s="4">
        <v>39479</v>
      </c>
      <c r="B27" s="8">
        <v>26</v>
      </c>
      <c r="C27">
        <v>793</v>
      </c>
      <c r="D27">
        <f t="shared" si="14"/>
        <v>1035.3650922516558</v>
      </c>
      <c r="E27">
        <f t="shared" si="15"/>
        <v>1061.3913557562166</v>
      </c>
      <c r="F27">
        <f t="shared" si="16"/>
        <v>1064.7141806205943</v>
      </c>
      <c r="G27">
        <f t="shared" si="4"/>
        <v>242.36509225165582</v>
      </c>
      <c r="H27">
        <f t="shared" si="5"/>
        <v>268.39135575621663</v>
      </c>
      <c r="I27">
        <f t="shared" si="6"/>
        <v>271.71418062059433</v>
      </c>
      <c r="J27">
        <f t="shared" si="7"/>
        <v>242.36509225165582</v>
      </c>
      <c r="K27">
        <f t="shared" si="8"/>
        <v>268.39135575621663</v>
      </c>
      <c r="L27">
        <f t="shared" si="9"/>
        <v>271.71418062059433</v>
      </c>
      <c r="M27">
        <f t="shared" si="10"/>
        <v>58740.837942153637</v>
      </c>
      <c r="N27">
        <f t="shared" si="10"/>
        <v>72033.919844660035</v>
      </c>
      <c r="O27">
        <f t="shared" si="10"/>
        <v>73828.59595032096</v>
      </c>
      <c r="P27">
        <f t="shared" si="11"/>
        <v>0.30563063335643864</v>
      </c>
      <c r="Q27">
        <f t="shared" si="12"/>
        <v>0.33845063777580914</v>
      </c>
      <c r="R27">
        <f t="shared" si="13"/>
        <v>0.34264083306506221</v>
      </c>
    </row>
    <row r="28" spans="1:18" x14ac:dyDescent="0.3">
      <c r="A28" s="10">
        <v>39508</v>
      </c>
      <c r="B28" s="12">
        <v>27</v>
      </c>
      <c r="C28" s="2">
        <v>885</v>
      </c>
      <c r="D28">
        <f t="shared" si="14"/>
        <v>1011.1285830264903</v>
      </c>
      <c r="E28">
        <f t="shared" si="15"/>
        <v>1021.1326523927842</v>
      </c>
      <c r="F28">
        <f t="shared" si="16"/>
        <v>1010.3713444964756</v>
      </c>
      <c r="G28">
        <f t="shared" si="4"/>
        <v>126.12858302649033</v>
      </c>
      <c r="H28">
        <f t="shared" si="5"/>
        <v>136.13265239278417</v>
      </c>
      <c r="I28">
        <f t="shared" si="6"/>
        <v>125.37134449647556</v>
      </c>
      <c r="J28">
        <f t="shared" si="7"/>
        <v>126.12858302649033</v>
      </c>
      <c r="K28">
        <f t="shared" si="8"/>
        <v>136.13265239278417</v>
      </c>
      <c r="L28">
        <f t="shared" si="9"/>
        <v>125.37134449647556</v>
      </c>
      <c r="M28">
        <f t="shared" si="10"/>
        <v>15908.419456270265</v>
      </c>
      <c r="N28">
        <f t="shared" si="10"/>
        <v>18532.099047494605</v>
      </c>
      <c r="O28">
        <f t="shared" si="10"/>
        <v>15717.974020853952</v>
      </c>
      <c r="P28">
        <f t="shared" si="11"/>
        <v>0.14251817291128852</v>
      </c>
      <c r="Q28">
        <f t="shared" si="12"/>
        <v>0.15382220609354144</v>
      </c>
      <c r="R28">
        <f t="shared" si="13"/>
        <v>0.14166253615420968</v>
      </c>
    </row>
    <row r="29" spans="1:18" x14ac:dyDescent="0.3">
      <c r="A29" s="4">
        <v>39539</v>
      </c>
      <c r="B29" s="8">
        <v>28</v>
      </c>
      <c r="C29">
        <v>1055</v>
      </c>
      <c r="D29">
        <f t="shared" si="14"/>
        <v>998.51572472384134</v>
      </c>
      <c r="E29">
        <f t="shared" si="15"/>
        <v>1000.7127545338665</v>
      </c>
      <c r="F29">
        <f t="shared" si="16"/>
        <v>985.29707559718054</v>
      </c>
      <c r="G29">
        <f t="shared" si="4"/>
        <v>-56.484275276158655</v>
      </c>
      <c r="H29">
        <f t="shared" si="5"/>
        <v>-54.287245466133527</v>
      </c>
      <c r="I29">
        <f t="shared" si="6"/>
        <v>-69.702924402819463</v>
      </c>
      <c r="J29">
        <f t="shared" si="7"/>
        <v>56.484275276158655</v>
      </c>
      <c r="K29">
        <f t="shared" si="8"/>
        <v>54.287245466133527</v>
      </c>
      <c r="L29">
        <f t="shared" si="9"/>
        <v>69.702924402819463</v>
      </c>
      <c r="M29">
        <f t="shared" si="10"/>
        <v>3190.473353472868</v>
      </c>
      <c r="N29">
        <f t="shared" si="10"/>
        <v>2947.1050203002351</v>
      </c>
      <c r="O29">
        <f t="shared" si="10"/>
        <v>4858.4976703051652</v>
      </c>
      <c r="P29">
        <f t="shared" si="11"/>
        <v>5.3539597418159862E-2</v>
      </c>
      <c r="Q29">
        <f t="shared" si="12"/>
        <v>5.1457104707235572E-2</v>
      </c>
      <c r="R29">
        <f t="shared" si="13"/>
        <v>6.606912265670091E-2</v>
      </c>
    </row>
    <row r="30" spans="1:18" x14ac:dyDescent="0.3">
      <c r="A30" s="10">
        <v>39569</v>
      </c>
      <c r="B30" s="12">
        <v>29</v>
      </c>
      <c r="C30" s="2">
        <v>1204</v>
      </c>
      <c r="D30">
        <f t="shared" si="14"/>
        <v>1004.1641522514573</v>
      </c>
      <c r="E30">
        <f t="shared" si="15"/>
        <v>1008.8558413537864</v>
      </c>
      <c r="F30">
        <f t="shared" si="16"/>
        <v>999.2376604777445</v>
      </c>
      <c r="G30">
        <f t="shared" si="4"/>
        <v>-199.83584774854273</v>
      </c>
      <c r="H30">
        <f t="shared" si="5"/>
        <v>-195.14415864621355</v>
      </c>
      <c r="I30">
        <f t="shared" si="6"/>
        <v>-204.7623395222555</v>
      </c>
      <c r="J30">
        <f t="shared" si="7"/>
        <v>199.83584774854273</v>
      </c>
      <c r="K30">
        <f t="shared" si="8"/>
        <v>195.14415864621355</v>
      </c>
      <c r="L30">
        <f t="shared" si="9"/>
        <v>204.7623395222555</v>
      </c>
      <c r="M30">
        <f t="shared" si="10"/>
        <v>39934.366045378752</v>
      </c>
      <c r="N30">
        <f t="shared" si="10"/>
        <v>38081.242653738562</v>
      </c>
      <c r="O30">
        <f t="shared" si="10"/>
        <v>41927.61568662744</v>
      </c>
      <c r="P30">
        <f t="shared" si="11"/>
        <v>0.16597661773134778</v>
      </c>
      <c r="Q30">
        <f t="shared" si="12"/>
        <v>0.1620798659852272</v>
      </c>
      <c r="R30">
        <f t="shared" si="13"/>
        <v>0.17006838830752119</v>
      </c>
    </row>
    <row r="31" spans="1:18" x14ac:dyDescent="0.3">
      <c r="A31" s="4">
        <v>39600</v>
      </c>
      <c r="B31" s="8">
        <v>30</v>
      </c>
      <c r="C31">
        <v>1326</v>
      </c>
      <c r="D31">
        <f t="shared" si="14"/>
        <v>1024.1477370263117</v>
      </c>
      <c r="E31">
        <f t="shared" si="15"/>
        <v>1038.1274651507185</v>
      </c>
      <c r="F31">
        <f t="shared" si="16"/>
        <v>1040.1901283821956</v>
      </c>
      <c r="G31">
        <f t="shared" si="4"/>
        <v>-301.85226297368831</v>
      </c>
      <c r="H31">
        <f t="shared" si="5"/>
        <v>-287.87253484928146</v>
      </c>
      <c r="I31">
        <f t="shared" si="6"/>
        <v>-285.80987161780445</v>
      </c>
      <c r="J31">
        <f t="shared" si="7"/>
        <v>301.85226297368831</v>
      </c>
      <c r="K31">
        <f t="shared" si="8"/>
        <v>287.87253484928146</v>
      </c>
      <c r="L31">
        <f t="shared" si="9"/>
        <v>285.80987161780445</v>
      </c>
      <c r="M31">
        <f t="shared" si="10"/>
        <v>91114.788662336679</v>
      </c>
      <c r="N31">
        <f t="shared" si="10"/>
        <v>82870.596320550772</v>
      </c>
      <c r="O31">
        <f t="shared" si="10"/>
        <v>81687.282714185858</v>
      </c>
      <c r="P31">
        <f t="shared" si="11"/>
        <v>0.22764122396205755</v>
      </c>
      <c r="Q31">
        <f t="shared" si="12"/>
        <v>0.21709844257110217</v>
      </c>
      <c r="R31">
        <f t="shared" si="13"/>
        <v>0.21554288960618737</v>
      </c>
    </row>
    <row r="32" spans="1:18" x14ac:dyDescent="0.3">
      <c r="A32" s="10">
        <v>39630</v>
      </c>
      <c r="B32" s="12">
        <v>31</v>
      </c>
      <c r="C32" s="2">
        <v>1303</v>
      </c>
      <c r="D32">
        <f t="shared" si="14"/>
        <v>1054.3329633236806</v>
      </c>
      <c r="E32">
        <f t="shared" si="15"/>
        <v>1081.3083453781107</v>
      </c>
      <c r="F32">
        <f t="shared" si="16"/>
        <v>1097.3521027057566</v>
      </c>
      <c r="G32">
        <f t="shared" si="4"/>
        <v>-248.66703667631941</v>
      </c>
      <c r="H32">
        <f t="shared" si="5"/>
        <v>-221.69165462188926</v>
      </c>
      <c r="I32">
        <f t="shared" si="6"/>
        <v>-205.64789729424342</v>
      </c>
      <c r="J32">
        <f t="shared" si="7"/>
        <v>248.66703667631941</v>
      </c>
      <c r="K32">
        <f t="shared" si="8"/>
        <v>221.69165462188926</v>
      </c>
      <c r="L32">
        <f t="shared" si="9"/>
        <v>205.64789729424342</v>
      </c>
      <c r="M32">
        <f t="shared" si="10"/>
        <v>61835.295129381986</v>
      </c>
      <c r="N32">
        <f t="shared" si="10"/>
        <v>49147.189728991034</v>
      </c>
      <c r="O32">
        <f t="shared" si="10"/>
        <v>42291.057661543688</v>
      </c>
      <c r="P32">
        <f t="shared" si="11"/>
        <v>0.19084193144767414</v>
      </c>
      <c r="Q32">
        <f t="shared" si="12"/>
        <v>0.17013941260313833</v>
      </c>
      <c r="R32">
        <f t="shared" si="13"/>
        <v>0.15782647528337945</v>
      </c>
    </row>
    <row r="33" spans="1:18" x14ac:dyDescent="0.3">
      <c r="A33" s="4">
        <v>39661</v>
      </c>
      <c r="B33" s="8">
        <v>32</v>
      </c>
      <c r="C33">
        <v>1436</v>
      </c>
      <c r="D33">
        <f t="shared" si="14"/>
        <v>1079.1996669913126</v>
      </c>
      <c r="E33">
        <f t="shared" si="15"/>
        <v>1114.5620935713941</v>
      </c>
      <c r="F33">
        <f t="shared" si="16"/>
        <v>1138.4816821646054</v>
      </c>
      <c r="G33">
        <f t="shared" si="4"/>
        <v>-356.8003330086874</v>
      </c>
      <c r="H33">
        <f t="shared" si="5"/>
        <v>-321.43790642860586</v>
      </c>
      <c r="I33">
        <f t="shared" si="6"/>
        <v>-297.51831783539456</v>
      </c>
      <c r="J33">
        <f t="shared" si="7"/>
        <v>356.8003330086874</v>
      </c>
      <c r="K33">
        <f t="shared" si="8"/>
        <v>321.43790642860586</v>
      </c>
      <c r="L33">
        <f t="shared" si="9"/>
        <v>297.51831783539456</v>
      </c>
      <c r="M33">
        <f t="shared" si="10"/>
        <v>127306.47763511022</v>
      </c>
      <c r="N33">
        <f t="shared" si="10"/>
        <v>103322.32768920518</v>
      </c>
      <c r="O33">
        <f t="shared" si="10"/>
        <v>88517.14944760286</v>
      </c>
      <c r="P33">
        <f t="shared" si="11"/>
        <v>0.2484681984740163</v>
      </c>
      <c r="Q33">
        <f t="shared" si="12"/>
        <v>0.22384255322326313</v>
      </c>
      <c r="R33">
        <f t="shared" si="13"/>
        <v>0.20718545810264244</v>
      </c>
    </row>
    <row r="34" spans="1:18" x14ac:dyDescent="0.3">
      <c r="A34" s="10">
        <v>39692</v>
      </c>
      <c r="B34" s="12">
        <v>33</v>
      </c>
      <c r="C34" s="2">
        <v>1473</v>
      </c>
      <c r="D34">
        <f t="shared" si="14"/>
        <v>1114.8797002921813</v>
      </c>
      <c r="E34">
        <f t="shared" si="15"/>
        <v>1162.7777795356851</v>
      </c>
      <c r="F34">
        <f t="shared" si="16"/>
        <v>1197.9853457316844</v>
      </c>
      <c r="G34">
        <f t="shared" si="4"/>
        <v>-358.12029970781873</v>
      </c>
      <c r="H34">
        <f t="shared" si="5"/>
        <v>-310.22222046431489</v>
      </c>
      <c r="I34">
        <f t="shared" si="6"/>
        <v>-275.01465426831555</v>
      </c>
      <c r="J34">
        <f t="shared" si="7"/>
        <v>358.12029970781873</v>
      </c>
      <c r="K34">
        <f t="shared" si="8"/>
        <v>310.22222046431489</v>
      </c>
      <c r="L34">
        <f t="shared" si="9"/>
        <v>275.01465426831555</v>
      </c>
      <c r="M34">
        <f t="shared" si="10"/>
        <v>128250.14906281792</v>
      </c>
      <c r="N34">
        <f t="shared" si="10"/>
        <v>96237.826069809991</v>
      </c>
      <c r="O34">
        <f t="shared" si="10"/>
        <v>75633.060062321136</v>
      </c>
      <c r="P34">
        <f t="shared" si="11"/>
        <v>0.24312308194692378</v>
      </c>
      <c r="Q34">
        <f t="shared" si="12"/>
        <v>0.21060571654060753</v>
      </c>
      <c r="R34">
        <f t="shared" si="13"/>
        <v>0.18670377071847627</v>
      </c>
    </row>
    <row r="35" spans="1:18" x14ac:dyDescent="0.3">
      <c r="A35" s="4">
        <v>39722</v>
      </c>
      <c r="B35" s="8">
        <v>34</v>
      </c>
      <c r="C35">
        <v>1453</v>
      </c>
      <c r="D35">
        <f t="shared" si="14"/>
        <v>1150.6917302629631</v>
      </c>
      <c r="E35">
        <f t="shared" si="15"/>
        <v>1209.3111126053323</v>
      </c>
      <c r="F35">
        <f t="shared" si="16"/>
        <v>1252.9882765853476</v>
      </c>
      <c r="G35">
        <f t="shared" si="4"/>
        <v>-302.30826973703688</v>
      </c>
      <c r="H35">
        <f t="shared" si="5"/>
        <v>-243.68888739466774</v>
      </c>
      <c r="I35">
        <f t="shared" si="6"/>
        <v>-200.01172341465235</v>
      </c>
      <c r="J35">
        <f t="shared" si="7"/>
        <v>302.30826973703688</v>
      </c>
      <c r="K35">
        <f t="shared" si="8"/>
        <v>243.68888739466774</v>
      </c>
      <c r="L35">
        <f t="shared" si="9"/>
        <v>200.01172341465235</v>
      </c>
      <c r="M35">
        <f t="shared" si="10"/>
        <v>91390.28995140105</v>
      </c>
      <c r="N35">
        <f t="shared" si="10"/>
        <v>59384.273839651054</v>
      </c>
      <c r="O35">
        <f t="shared" si="10"/>
        <v>40004.689503299393</v>
      </c>
      <c r="P35">
        <f t="shared" si="11"/>
        <v>0.2080579970660956</v>
      </c>
      <c r="Q35">
        <f t="shared" si="12"/>
        <v>0.16771430653452701</v>
      </c>
      <c r="R35">
        <f t="shared" si="13"/>
        <v>0.13765431755998098</v>
      </c>
    </row>
    <row r="36" spans="1:18" x14ac:dyDescent="0.3">
      <c r="A36" s="10">
        <v>39753</v>
      </c>
      <c r="B36" s="12">
        <v>35</v>
      </c>
      <c r="C36" s="2">
        <v>1170</v>
      </c>
      <c r="D36">
        <f t="shared" si="14"/>
        <v>1180.9225572366668</v>
      </c>
      <c r="E36">
        <f t="shared" si="15"/>
        <v>1245.8644457145324</v>
      </c>
      <c r="F36">
        <f t="shared" si="16"/>
        <v>1292.9906212682781</v>
      </c>
      <c r="G36">
        <f t="shared" si="4"/>
        <v>10.922557236666762</v>
      </c>
      <c r="H36">
        <f t="shared" si="5"/>
        <v>75.864445714532394</v>
      </c>
      <c r="I36">
        <f t="shared" si="6"/>
        <v>122.99062126827812</v>
      </c>
      <c r="J36">
        <f t="shared" si="7"/>
        <v>10.922557236666762</v>
      </c>
      <c r="K36">
        <f t="shared" si="8"/>
        <v>75.864445714532394</v>
      </c>
      <c r="L36">
        <f t="shared" si="9"/>
        <v>122.99062126827812</v>
      </c>
      <c r="M36">
        <f t="shared" si="10"/>
        <v>119.30225658826146</v>
      </c>
      <c r="N36">
        <f t="shared" si="10"/>
        <v>5755.4141235732322</v>
      </c>
      <c r="O36">
        <f t="shared" si="10"/>
        <v>15126.692919957026</v>
      </c>
      <c r="P36">
        <f t="shared" si="11"/>
        <v>9.3355190056980866E-3</v>
      </c>
      <c r="Q36">
        <f t="shared" si="12"/>
        <v>6.4841406593617437E-2</v>
      </c>
      <c r="R36">
        <f t="shared" si="13"/>
        <v>0.10512018911818642</v>
      </c>
    </row>
    <row r="37" spans="1:18" x14ac:dyDescent="0.3">
      <c r="A37" s="4">
        <v>39783</v>
      </c>
      <c r="B37" s="8">
        <v>36</v>
      </c>
      <c r="C37">
        <v>1023</v>
      </c>
      <c r="D37">
        <f t="shared" si="14"/>
        <v>1179.8303015130002</v>
      </c>
      <c r="E37">
        <f t="shared" si="15"/>
        <v>1234.4847788573525</v>
      </c>
      <c r="F37">
        <f t="shared" si="16"/>
        <v>1268.3924970146224</v>
      </c>
      <c r="G37">
        <f t="shared" si="4"/>
        <v>156.83030151300022</v>
      </c>
      <c r="H37">
        <f t="shared" si="5"/>
        <v>211.48477885735247</v>
      </c>
      <c r="I37">
        <f t="shared" si="6"/>
        <v>245.39249701462245</v>
      </c>
      <c r="J37">
        <f t="shared" si="7"/>
        <v>156.83030151300022</v>
      </c>
      <c r="K37">
        <f t="shared" si="8"/>
        <v>211.48477885735247</v>
      </c>
      <c r="L37">
        <f t="shared" si="9"/>
        <v>245.39249701462245</v>
      </c>
      <c r="M37">
        <f t="shared" si="10"/>
        <v>24595.74347265856</v>
      </c>
      <c r="N37">
        <f t="shared" si="10"/>
        <v>44725.811688343274</v>
      </c>
      <c r="O37">
        <f t="shared" si="10"/>
        <v>60217.477591071489</v>
      </c>
      <c r="P37">
        <f t="shared" si="11"/>
        <v>0.15330430255425243</v>
      </c>
      <c r="Q37">
        <f t="shared" si="12"/>
        <v>0.20672998910787144</v>
      </c>
      <c r="R37">
        <f t="shared" si="13"/>
        <v>0.23987536365065734</v>
      </c>
    </row>
    <row r="38" spans="1:18" x14ac:dyDescent="0.3">
      <c r="A38" s="10">
        <v>39814</v>
      </c>
      <c r="B38" s="12">
        <v>37</v>
      </c>
      <c r="C38" s="2">
        <v>951</v>
      </c>
      <c r="D38">
        <f t="shared" si="14"/>
        <v>1164.1472713617002</v>
      </c>
      <c r="E38">
        <f t="shared" si="15"/>
        <v>1202.7620620287496</v>
      </c>
      <c r="F38">
        <f t="shared" si="16"/>
        <v>1219.3139976116981</v>
      </c>
      <c r="G38">
        <f t="shared" si="4"/>
        <v>213.14727136170018</v>
      </c>
      <c r="H38">
        <f t="shared" si="5"/>
        <v>251.7620620287496</v>
      </c>
      <c r="I38">
        <f t="shared" si="6"/>
        <v>268.31399761169814</v>
      </c>
      <c r="J38">
        <f t="shared" si="7"/>
        <v>213.14727136170018</v>
      </c>
      <c r="K38">
        <f t="shared" si="8"/>
        <v>251.7620620287496</v>
      </c>
      <c r="L38">
        <f t="shared" si="9"/>
        <v>268.31399761169814</v>
      </c>
      <c r="M38">
        <f t="shared" si="10"/>
        <v>45431.75928893825</v>
      </c>
      <c r="N38">
        <f t="shared" si="10"/>
        <v>63384.135876967957</v>
      </c>
      <c r="O38">
        <f t="shared" si="10"/>
        <v>71992.401314370363</v>
      </c>
      <c r="P38">
        <f t="shared" si="11"/>
        <v>0.22412962288296548</v>
      </c>
      <c r="Q38">
        <f t="shared" si="12"/>
        <v>0.26473402947292279</v>
      </c>
      <c r="R38">
        <f t="shared" si="13"/>
        <v>0.28213879875047121</v>
      </c>
    </row>
    <row r="39" spans="1:18" x14ac:dyDescent="0.3">
      <c r="A39" s="4">
        <v>39845</v>
      </c>
      <c r="B39" s="8">
        <v>38</v>
      </c>
      <c r="C39">
        <v>861</v>
      </c>
      <c r="D39">
        <f t="shared" si="14"/>
        <v>1142.83254422553</v>
      </c>
      <c r="E39">
        <f t="shared" si="15"/>
        <v>1164.9977527244371</v>
      </c>
      <c r="F39">
        <f t="shared" si="16"/>
        <v>1165.6511980893586</v>
      </c>
      <c r="G39">
        <f t="shared" si="4"/>
        <v>281.83254422553</v>
      </c>
      <c r="H39">
        <f t="shared" si="5"/>
        <v>303.99775272443708</v>
      </c>
      <c r="I39">
        <f t="shared" si="6"/>
        <v>304.65119808935856</v>
      </c>
      <c r="J39">
        <f t="shared" si="7"/>
        <v>281.83254422553</v>
      </c>
      <c r="K39">
        <f t="shared" si="8"/>
        <v>303.99775272443708</v>
      </c>
      <c r="L39">
        <f t="shared" si="9"/>
        <v>304.65119808935856</v>
      </c>
      <c r="M39">
        <f t="shared" si="10"/>
        <v>79429.58298463533</v>
      </c>
      <c r="N39">
        <f t="shared" si="10"/>
        <v>92414.633661507993</v>
      </c>
      <c r="O39">
        <f t="shared" si="10"/>
        <v>92812.352497281594</v>
      </c>
      <c r="P39">
        <f t="shared" si="11"/>
        <v>0.32733164253836239</v>
      </c>
      <c r="Q39">
        <f t="shared" si="12"/>
        <v>0.35307520641630324</v>
      </c>
      <c r="R39">
        <f t="shared" si="13"/>
        <v>0.35383414412236769</v>
      </c>
    </row>
    <row r="40" spans="1:18" x14ac:dyDescent="0.3">
      <c r="A40" s="10">
        <v>39873</v>
      </c>
      <c r="B40" s="12">
        <v>39</v>
      </c>
      <c r="C40" s="2">
        <v>938</v>
      </c>
      <c r="D40">
        <f t="shared" si="14"/>
        <v>1114.6492898029769</v>
      </c>
      <c r="E40">
        <f t="shared" si="15"/>
        <v>1119.3980898157715</v>
      </c>
      <c r="F40">
        <f t="shared" si="16"/>
        <v>1104.7209584714869</v>
      </c>
      <c r="G40">
        <f t="shared" si="4"/>
        <v>176.64928980297691</v>
      </c>
      <c r="H40">
        <f t="shared" si="5"/>
        <v>181.39808981577153</v>
      </c>
      <c r="I40">
        <f t="shared" si="6"/>
        <v>166.72095847148694</v>
      </c>
      <c r="J40">
        <f t="shared" si="7"/>
        <v>176.64928980297691</v>
      </c>
      <c r="K40">
        <f t="shared" si="8"/>
        <v>181.39808981577153</v>
      </c>
      <c r="L40">
        <f t="shared" si="9"/>
        <v>166.72095847148694</v>
      </c>
      <c r="M40">
        <f t="shared" si="10"/>
        <v>31204.971587896121</v>
      </c>
      <c r="N40">
        <f t="shared" si="10"/>
        <v>32905.266988810712</v>
      </c>
      <c r="O40">
        <f t="shared" si="10"/>
        <v>27795.877993651273</v>
      </c>
      <c r="P40">
        <f t="shared" si="11"/>
        <v>0.18832546887310972</v>
      </c>
      <c r="Q40">
        <f t="shared" si="12"/>
        <v>0.19338815545391422</v>
      </c>
      <c r="R40">
        <f t="shared" si="13"/>
        <v>0.17774089389284323</v>
      </c>
    </row>
    <row r="41" spans="1:18" x14ac:dyDescent="0.3">
      <c r="A41" s="4">
        <v>39904</v>
      </c>
      <c r="B41" s="8">
        <v>40</v>
      </c>
      <c r="C41">
        <v>1109</v>
      </c>
      <c r="D41">
        <f t="shared" si="14"/>
        <v>1096.9843608226793</v>
      </c>
      <c r="E41">
        <f t="shared" si="15"/>
        <v>1092.1883763434057</v>
      </c>
      <c r="F41">
        <f t="shared" si="16"/>
        <v>1071.3767667771895</v>
      </c>
      <c r="G41">
        <f t="shared" si="4"/>
        <v>-12.015639177320736</v>
      </c>
      <c r="H41">
        <f t="shared" si="5"/>
        <v>-16.811623656594293</v>
      </c>
      <c r="I41">
        <f t="shared" si="6"/>
        <v>-37.623233222810541</v>
      </c>
      <c r="J41">
        <f t="shared" si="7"/>
        <v>12.015639177320736</v>
      </c>
      <c r="K41">
        <f t="shared" si="8"/>
        <v>16.811623656594293</v>
      </c>
      <c r="L41">
        <f t="shared" si="9"/>
        <v>37.623233222810541</v>
      </c>
      <c r="M41">
        <f t="shared" si="10"/>
        <v>144.37558483956494</v>
      </c>
      <c r="N41">
        <f t="shared" si="10"/>
        <v>282.63068997096087</v>
      </c>
      <c r="O41">
        <f t="shared" si="10"/>
        <v>1415.5076781379948</v>
      </c>
      <c r="P41">
        <f t="shared" si="11"/>
        <v>1.0834661115708509E-2</v>
      </c>
      <c r="Q41">
        <f t="shared" si="12"/>
        <v>1.515926389233029E-2</v>
      </c>
      <c r="R41">
        <f t="shared" si="13"/>
        <v>3.3925368099919334E-2</v>
      </c>
    </row>
    <row r="42" spans="1:18" x14ac:dyDescent="0.3">
      <c r="A42" s="10">
        <v>39934</v>
      </c>
      <c r="B42" s="12">
        <v>41</v>
      </c>
      <c r="C42" s="2">
        <v>1274</v>
      </c>
      <c r="D42">
        <f t="shared" si="14"/>
        <v>1098.1859247404113</v>
      </c>
      <c r="E42">
        <f t="shared" si="15"/>
        <v>1094.7101198918947</v>
      </c>
      <c r="F42">
        <f t="shared" si="16"/>
        <v>1078.9014134217516</v>
      </c>
      <c r="G42">
        <f t="shared" si="4"/>
        <v>-175.81407525958866</v>
      </c>
      <c r="H42">
        <f t="shared" si="5"/>
        <v>-179.28988010810531</v>
      </c>
      <c r="I42">
        <f t="shared" si="6"/>
        <v>-195.09858657824839</v>
      </c>
      <c r="J42">
        <f t="shared" si="7"/>
        <v>175.81407525958866</v>
      </c>
      <c r="K42">
        <f t="shared" si="8"/>
        <v>179.28988010810531</v>
      </c>
      <c r="L42">
        <f t="shared" si="9"/>
        <v>195.09858657824839</v>
      </c>
      <c r="M42">
        <f t="shared" si="10"/>
        <v>30910.589059384307</v>
      </c>
      <c r="N42">
        <f t="shared" si="10"/>
        <v>32144.861109178775</v>
      </c>
      <c r="O42">
        <f t="shared" si="10"/>
        <v>38063.458484830284</v>
      </c>
      <c r="P42">
        <f t="shared" si="11"/>
        <v>0.13800162893217321</v>
      </c>
      <c r="Q42">
        <f t="shared" si="12"/>
        <v>0.14072989019474513</v>
      </c>
      <c r="R42">
        <f t="shared" si="13"/>
        <v>0.15313860798920595</v>
      </c>
    </row>
    <row r="43" spans="1:18" x14ac:dyDescent="0.3">
      <c r="A43" s="4">
        <v>39965</v>
      </c>
      <c r="B43" s="8">
        <v>42</v>
      </c>
      <c r="C43">
        <v>1422</v>
      </c>
      <c r="D43">
        <f t="shared" si="14"/>
        <v>1115.7673322663702</v>
      </c>
      <c r="E43">
        <f t="shared" si="15"/>
        <v>1121.6036019081105</v>
      </c>
      <c r="F43">
        <f t="shared" si="16"/>
        <v>1117.9211307374014</v>
      </c>
      <c r="G43">
        <f t="shared" si="4"/>
        <v>-306.2326677336298</v>
      </c>
      <c r="H43">
        <f t="shared" si="5"/>
        <v>-300.39639809188952</v>
      </c>
      <c r="I43">
        <f t="shared" si="6"/>
        <v>-304.07886926259857</v>
      </c>
      <c r="J43">
        <f t="shared" si="7"/>
        <v>306.2326677336298</v>
      </c>
      <c r="K43">
        <f t="shared" si="8"/>
        <v>300.39639809188952</v>
      </c>
      <c r="L43">
        <f t="shared" si="9"/>
        <v>304.07886926259857</v>
      </c>
      <c r="M43">
        <f t="shared" si="10"/>
        <v>93778.446787255714</v>
      </c>
      <c r="N43">
        <f t="shared" si="10"/>
        <v>90237.995986580965</v>
      </c>
      <c r="O43">
        <f t="shared" si="10"/>
        <v>92463.958732020517</v>
      </c>
      <c r="P43">
        <f t="shared" si="11"/>
        <v>0.21535349348356525</v>
      </c>
      <c r="Q43">
        <f t="shared" si="12"/>
        <v>0.21124922509978167</v>
      </c>
      <c r="R43">
        <f t="shared" si="13"/>
        <v>0.21383886727327608</v>
      </c>
    </row>
    <row r="44" spans="1:18" x14ac:dyDescent="0.3">
      <c r="A44" s="10">
        <v>39995</v>
      </c>
      <c r="B44" s="12">
        <v>43</v>
      </c>
      <c r="C44" s="2">
        <v>1486</v>
      </c>
      <c r="D44">
        <f t="shared" si="14"/>
        <v>1146.3905990397332</v>
      </c>
      <c r="E44">
        <f t="shared" si="15"/>
        <v>1166.6630616218938</v>
      </c>
      <c r="F44">
        <f t="shared" si="16"/>
        <v>1178.7369045899213</v>
      </c>
      <c r="G44">
        <f t="shared" si="4"/>
        <v>-339.60940096026684</v>
      </c>
      <c r="H44">
        <f t="shared" si="5"/>
        <v>-319.3369383781062</v>
      </c>
      <c r="I44">
        <f t="shared" si="6"/>
        <v>-307.26309541007868</v>
      </c>
      <c r="J44">
        <f t="shared" si="7"/>
        <v>339.60940096026684</v>
      </c>
      <c r="K44">
        <f t="shared" si="8"/>
        <v>319.3369383781062</v>
      </c>
      <c r="L44">
        <f t="shared" si="9"/>
        <v>307.26309541007868</v>
      </c>
      <c r="M44">
        <f t="shared" si="10"/>
        <v>115334.54522059129</v>
      </c>
      <c r="N44">
        <f t="shared" si="10"/>
        <v>101976.08021270239</v>
      </c>
      <c r="O44">
        <f t="shared" si="10"/>
        <v>94410.609800983118</v>
      </c>
      <c r="P44">
        <f t="shared" si="11"/>
        <v>0.22853930078079868</v>
      </c>
      <c r="Q44">
        <f t="shared" si="12"/>
        <v>0.2148969975626556</v>
      </c>
      <c r="R44">
        <f t="shared" si="13"/>
        <v>0.20677193500005295</v>
      </c>
    </row>
    <row r="45" spans="1:18" x14ac:dyDescent="0.3">
      <c r="A45" s="4">
        <v>40026</v>
      </c>
      <c r="B45" s="8">
        <v>44</v>
      </c>
      <c r="C45">
        <v>1555</v>
      </c>
      <c r="D45">
        <f t="shared" si="14"/>
        <v>1180.3515391357598</v>
      </c>
      <c r="E45">
        <f t="shared" si="15"/>
        <v>1214.5636023786096</v>
      </c>
      <c r="F45">
        <f t="shared" si="16"/>
        <v>1240.1895236719372</v>
      </c>
      <c r="G45">
        <f t="shared" si="4"/>
        <v>-374.64846086424018</v>
      </c>
      <c r="H45">
        <f t="shared" si="5"/>
        <v>-340.43639762139037</v>
      </c>
      <c r="I45">
        <f t="shared" si="6"/>
        <v>-314.8104763280628</v>
      </c>
      <c r="J45">
        <f t="shared" si="7"/>
        <v>374.64846086424018</v>
      </c>
      <c r="K45">
        <f t="shared" si="8"/>
        <v>340.43639762139037</v>
      </c>
      <c r="L45">
        <f t="shared" si="9"/>
        <v>314.8104763280628</v>
      </c>
      <c r="M45">
        <f t="shared" si="10"/>
        <v>140361.46922794409</v>
      </c>
      <c r="N45">
        <f t="shared" si="10"/>
        <v>115896.94082542941</v>
      </c>
      <c r="O45">
        <f t="shared" si="10"/>
        <v>99105.63600590179</v>
      </c>
      <c r="P45">
        <f t="shared" si="11"/>
        <v>0.24093148608632808</v>
      </c>
      <c r="Q45">
        <f t="shared" si="12"/>
        <v>0.2189301592420517</v>
      </c>
      <c r="R45">
        <f t="shared" si="13"/>
        <v>0.20245046709200179</v>
      </c>
    </row>
    <row r="46" spans="1:18" x14ac:dyDescent="0.3">
      <c r="A46" s="10">
        <v>40057</v>
      </c>
      <c r="B46" s="12">
        <v>45</v>
      </c>
      <c r="C46" s="2">
        <v>1604</v>
      </c>
      <c r="D46">
        <f t="shared" si="14"/>
        <v>1217.816385222184</v>
      </c>
      <c r="E46">
        <f t="shared" si="15"/>
        <v>1265.6290620218181</v>
      </c>
      <c r="F46">
        <f t="shared" si="16"/>
        <v>1303.1516189375498</v>
      </c>
      <c r="G46">
        <f t="shared" si="4"/>
        <v>-386.18361477781605</v>
      </c>
      <c r="H46">
        <f t="shared" si="5"/>
        <v>-338.37093797818193</v>
      </c>
      <c r="I46">
        <f t="shared" si="6"/>
        <v>-300.84838106245024</v>
      </c>
      <c r="J46">
        <f t="shared" si="7"/>
        <v>386.18361477781605</v>
      </c>
      <c r="K46">
        <f t="shared" si="8"/>
        <v>338.37093797818193</v>
      </c>
      <c r="L46">
        <f t="shared" si="9"/>
        <v>300.84838106245024</v>
      </c>
      <c r="M46">
        <f t="shared" si="10"/>
        <v>149137.78432286062</v>
      </c>
      <c r="N46">
        <f t="shared" si="10"/>
        <v>114494.89166823465</v>
      </c>
      <c r="O46">
        <f t="shared" si="10"/>
        <v>90509.748387897271</v>
      </c>
      <c r="P46">
        <f t="shared" si="11"/>
        <v>0.24076285210587034</v>
      </c>
      <c r="Q46">
        <f t="shared" si="12"/>
        <v>0.21095445011108599</v>
      </c>
      <c r="R46">
        <f t="shared" si="13"/>
        <v>0.18756133482696399</v>
      </c>
    </row>
    <row r="47" spans="1:18" x14ac:dyDescent="0.3">
      <c r="A47" s="4">
        <v>40087</v>
      </c>
      <c r="B47" s="8">
        <v>46</v>
      </c>
      <c r="C47">
        <v>1600</v>
      </c>
      <c r="D47">
        <f t="shared" si="14"/>
        <v>1256.4347466999657</v>
      </c>
      <c r="E47">
        <f t="shared" si="15"/>
        <v>1316.3847027185452</v>
      </c>
      <c r="F47">
        <f t="shared" si="16"/>
        <v>1363.3212951500398</v>
      </c>
      <c r="G47">
        <f t="shared" si="4"/>
        <v>-343.56525330003433</v>
      </c>
      <c r="H47">
        <f t="shared" si="5"/>
        <v>-283.61529728145479</v>
      </c>
      <c r="I47">
        <f t="shared" si="6"/>
        <v>-236.67870484996024</v>
      </c>
      <c r="J47">
        <f t="shared" si="7"/>
        <v>343.56525330003433</v>
      </c>
      <c r="K47">
        <f t="shared" si="8"/>
        <v>283.61529728145479</v>
      </c>
      <c r="L47">
        <f t="shared" si="9"/>
        <v>236.67870484996024</v>
      </c>
      <c r="M47">
        <f t="shared" si="10"/>
        <v>118037.08327511675</v>
      </c>
      <c r="N47">
        <f t="shared" si="10"/>
        <v>80437.636852047974</v>
      </c>
      <c r="O47">
        <f t="shared" si="10"/>
        <v>56016.809329454591</v>
      </c>
      <c r="P47">
        <f t="shared" si="11"/>
        <v>0.21472828331252145</v>
      </c>
      <c r="Q47">
        <f t="shared" si="12"/>
        <v>0.17725956080090924</v>
      </c>
      <c r="R47">
        <f t="shared" si="13"/>
        <v>0.14792419053122516</v>
      </c>
    </row>
    <row r="48" spans="1:18" x14ac:dyDescent="0.3">
      <c r="A48" s="10">
        <v>40118</v>
      </c>
      <c r="B48" s="12">
        <v>47</v>
      </c>
      <c r="C48" s="2">
        <v>1403</v>
      </c>
      <c r="D48">
        <f t="shared" si="14"/>
        <v>1290.7912720299692</v>
      </c>
      <c r="E48">
        <f t="shared" si="15"/>
        <v>1358.9269973107635</v>
      </c>
      <c r="F48">
        <f t="shared" si="16"/>
        <v>1410.6570361200318</v>
      </c>
      <c r="G48">
        <f t="shared" si="4"/>
        <v>-112.20872797003085</v>
      </c>
      <c r="H48">
        <f t="shared" si="5"/>
        <v>-44.073002689236546</v>
      </c>
      <c r="I48">
        <f t="shared" si="6"/>
        <v>7.657036120031762</v>
      </c>
      <c r="J48">
        <f t="shared" si="7"/>
        <v>112.20872797003085</v>
      </c>
      <c r="K48">
        <f t="shared" si="8"/>
        <v>44.073002689236546</v>
      </c>
      <c r="L48">
        <f t="shared" si="9"/>
        <v>7.657036120031762</v>
      </c>
      <c r="M48">
        <f t="shared" si="10"/>
        <v>12590.798632652384</v>
      </c>
      <c r="N48">
        <f t="shared" si="10"/>
        <v>1942.4295660454518</v>
      </c>
      <c r="O48">
        <f t="shared" si="10"/>
        <v>58.63020214347106</v>
      </c>
      <c r="P48">
        <f t="shared" si="11"/>
        <v>7.9977710598739024E-2</v>
      </c>
      <c r="Q48">
        <f t="shared" si="12"/>
        <v>3.1413401774224192E-2</v>
      </c>
      <c r="R48">
        <f t="shared" si="13"/>
        <v>5.4576166215479418E-3</v>
      </c>
    </row>
    <row r="49" spans="1:18" x14ac:dyDescent="0.3">
      <c r="A49" s="4">
        <v>40148</v>
      </c>
      <c r="B49" s="8">
        <v>48</v>
      </c>
      <c r="C49">
        <v>1209</v>
      </c>
      <c r="D49">
        <f t="shared" si="14"/>
        <v>1302.0121448269722</v>
      </c>
      <c r="E49">
        <f t="shared" si="15"/>
        <v>1365.5379477141489</v>
      </c>
      <c r="F49">
        <f t="shared" si="16"/>
        <v>1409.1256288960253</v>
      </c>
      <c r="G49">
        <f t="shared" si="4"/>
        <v>93.01214482697219</v>
      </c>
      <c r="H49">
        <f t="shared" si="5"/>
        <v>156.53794771414891</v>
      </c>
      <c r="I49">
        <f t="shared" si="6"/>
        <v>200.12562889602532</v>
      </c>
      <c r="J49">
        <f t="shared" si="7"/>
        <v>93.01214482697219</v>
      </c>
      <c r="K49">
        <f t="shared" si="8"/>
        <v>156.53794771414891</v>
      </c>
      <c r="L49">
        <f t="shared" si="9"/>
        <v>200.12562889602532</v>
      </c>
      <c r="M49">
        <f t="shared" si="10"/>
        <v>8651.2590853136498</v>
      </c>
      <c r="N49">
        <f t="shared" si="10"/>
        <v>24504.129074557619</v>
      </c>
      <c r="O49">
        <f t="shared" si="10"/>
        <v>40050.267341029641</v>
      </c>
      <c r="P49">
        <f t="shared" si="11"/>
        <v>7.6933122272102722E-2</v>
      </c>
      <c r="Q49">
        <f t="shared" si="12"/>
        <v>0.12947721068167817</v>
      </c>
      <c r="R49">
        <f t="shared" si="13"/>
        <v>0.16552988328868926</v>
      </c>
    </row>
    <row r="50" spans="1:18" x14ac:dyDescent="0.3">
      <c r="A50" s="10">
        <v>40179</v>
      </c>
      <c r="B50" s="12">
        <v>49</v>
      </c>
      <c r="C50" s="2">
        <v>1030</v>
      </c>
      <c r="D50">
        <f t="shared" si="14"/>
        <v>1292.7109303442751</v>
      </c>
      <c r="E50">
        <f t="shared" si="15"/>
        <v>1342.0572555570266</v>
      </c>
      <c r="F50">
        <f t="shared" si="16"/>
        <v>1369.1005031168202</v>
      </c>
      <c r="G50">
        <f t="shared" si="4"/>
        <v>262.71093034427508</v>
      </c>
      <c r="H50">
        <f t="shared" si="5"/>
        <v>312.05725555702656</v>
      </c>
      <c r="I50">
        <f t="shared" si="6"/>
        <v>339.10050311682016</v>
      </c>
      <c r="J50">
        <f t="shared" si="7"/>
        <v>262.71093034427508</v>
      </c>
      <c r="K50">
        <f t="shared" si="8"/>
        <v>312.05725555702656</v>
      </c>
      <c r="L50">
        <f t="shared" si="9"/>
        <v>339.10050311682016</v>
      </c>
      <c r="M50">
        <f t="shared" si="10"/>
        <v>69017.032922354556</v>
      </c>
      <c r="N50">
        <f t="shared" si="10"/>
        <v>97379.730745783381</v>
      </c>
      <c r="O50">
        <f t="shared" si="10"/>
        <v>114989.15121408056</v>
      </c>
      <c r="P50">
        <f t="shared" si="11"/>
        <v>0.25505915567405346</v>
      </c>
      <c r="Q50">
        <f t="shared" si="12"/>
        <v>0.30296820927866658</v>
      </c>
      <c r="R50">
        <f t="shared" si="13"/>
        <v>0.32922378943380598</v>
      </c>
    </row>
    <row r="51" spans="1:18" x14ac:dyDescent="0.3">
      <c r="A51" s="4">
        <v>40210</v>
      </c>
      <c r="B51" s="8">
        <v>50</v>
      </c>
      <c r="C51">
        <v>1032</v>
      </c>
      <c r="D51">
        <f t="shared" si="14"/>
        <v>1266.4398373098477</v>
      </c>
      <c r="E51">
        <f t="shared" si="15"/>
        <v>1295.2486672234725</v>
      </c>
      <c r="F51">
        <f t="shared" si="16"/>
        <v>1301.2804024934562</v>
      </c>
      <c r="G51">
        <f t="shared" si="4"/>
        <v>234.43983730984769</v>
      </c>
      <c r="H51">
        <f t="shared" si="5"/>
        <v>263.24866722347247</v>
      </c>
      <c r="I51">
        <f t="shared" si="6"/>
        <v>269.28040249345622</v>
      </c>
      <c r="J51">
        <f t="shared" si="7"/>
        <v>234.43983730984769</v>
      </c>
      <c r="K51">
        <f t="shared" si="8"/>
        <v>263.24866722347247</v>
      </c>
      <c r="L51">
        <f t="shared" si="9"/>
        <v>269.28040249345622</v>
      </c>
      <c r="M51">
        <f t="shared" si="10"/>
        <v>54962.037317867849</v>
      </c>
      <c r="N51">
        <f t="shared" si="10"/>
        <v>69299.860794934546</v>
      </c>
      <c r="O51">
        <f t="shared" si="10"/>
        <v>72511.93516703778</v>
      </c>
      <c r="P51">
        <f t="shared" si="11"/>
        <v>0.22717038499016248</v>
      </c>
      <c r="Q51">
        <f t="shared" si="12"/>
        <v>0.25508591785220203</v>
      </c>
      <c r="R51">
        <f t="shared" si="13"/>
        <v>0.26093062257117849</v>
      </c>
    </row>
    <row r="52" spans="1:18" x14ac:dyDescent="0.3">
      <c r="A52" s="10">
        <v>40238</v>
      </c>
      <c r="B52" s="12">
        <v>51</v>
      </c>
      <c r="C52" s="2">
        <v>1126</v>
      </c>
      <c r="D52">
        <f t="shared" si="14"/>
        <v>1242.995853578863</v>
      </c>
      <c r="E52">
        <f t="shared" si="15"/>
        <v>1255.7613671399515</v>
      </c>
      <c r="F52">
        <f t="shared" si="16"/>
        <v>1247.424321994765</v>
      </c>
      <c r="G52">
        <f t="shared" si="4"/>
        <v>116.99585357886303</v>
      </c>
      <c r="H52">
        <f t="shared" si="5"/>
        <v>129.76136713995152</v>
      </c>
      <c r="I52">
        <f t="shared" si="6"/>
        <v>121.42432199476502</v>
      </c>
      <c r="J52">
        <f t="shared" si="7"/>
        <v>116.99585357886303</v>
      </c>
      <c r="K52">
        <f t="shared" si="8"/>
        <v>129.76136713995152</v>
      </c>
      <c r="L52">
        <f t="shared" si="9"/>
        <v>121.42432199476502</v>
      </c>
      <c r="M52">
        <f t="shared" si="10"/>
        <v>13688.029754646759</v>
      </c>
      <c r="N52">
        <f t="shared" si="10"/>
        <v>16838.01240202929</v>
      </c>
      <c r="O52">
        <f t="shared" si="10"/>
        <v>14743.865971888377</v>
      </c>
      <c r="P52">
        <f t="shared" si="11"/>
        <v>0.10390395522101513</v>
      </c>
      <c r="Q52">
        <f t="shared" si="12"/>
        <v>0.11524100101239033</v>
      </c>
      <c r="R52">
        <f t="shared" si="13"/>
        <v>0.10783687566142543</v>
      </c>
    </row>
    <row r="53" spans="1:18" x14ac:dyDescent="0.3">
      <c r="A53" s="4">
        <v>40269</v>
      </c>
      <c r="B53" s="8">
        <v>52</v>
      </c>
      <c r="C53">
        <v>1285</v>
      </c>
      <c r="D53">
        <f t="shared" si="14"/>
        <v>1231.2962682209766</v>
      </c>
      <c r="E53">
        <f t="shared" si="15"/>
        <v>1236.2971620689589</v>
      </c>
      <c r="F53">
        <f t="shared" si="16"/>
        <v>1223.139457595812</v>
      </c>
      <c r="G53">
        <f t="shared" si="4"/>
        <v>-53.703731779023428</v>
      </c>
      <c r="H53">
        <f t="shared" si="5"/>
        <v>-48.702837931041131</v>
      </c>
      <c r="I53">
        <f t="shared" si="6"/>
        <v>-61.860542404187981</v>
      </c>
      <c r="J53">
        <f t="shared" si="7"/>
        <v>53.703731779023428</v>
      </c>
      <c r="K53">
        <f t="shared" si="8"/>
        <v>48.702837931041131</v>
      </c>
      <c r="L53">
        <f t="shared" si="9"/>
        <v>61.860542404187981</v>
      </c>
      <c r="M53">
        <f t="shared" si="10"/>
        <v>2884.0908069932907</v>
      </c>
      <c r="N53">
        <f t="shared" si="10"/>
        <v>2371.9664225372589</v>
      </c>
      <c r="O53">
        <f t="shared" si="10"/>
        <v>3826.7267065403394</v>
      </c>
      <c r="P53">
        <f t="shared" si="11"/>
        <v>4.1792787376671928E-2</v>
      </c>
      <c r="Q53">
        <f t="shared" si="12"/>
        <v>3.7901041191471696E-2</v>
      </c>
      <c r="R53">
        <f t="shared" si="13"/>
        <v>4.8140499925438118E-2</v>
      </c>
    </row>
    <row r="54" spans="1:18" x14ac:dyDescent="0.3">
      <c r="A54" s="10">
        <v>40299</v>
      </c>
      <c r="B54" s="12">
        <v>53</v>
      </c>
      <c r="C54" s="2">
        <v>1468</v>
      </c>
      <c r="D54">
        <f t="shared" si="14"/>
        <v>1236.6666413988789</v>
      </c>
      <c r="E54">
        <f t="shared" si="15"/>
        <v>1243.6025877586151</v>
      </c>
      <c r="F54">
        <f t="shared" si="16"/>
        <v>1235.5115660766496</v>
      </c>
      <c r="G54">
        <f t="shared" si="4"/>
        <v>-231.33335860112106</v>
      </c>
      <c r="H54">
        <f t="shared" si="5"/>
        <v>-224.39741224138493</v>
      </c>
      <c r="I54">
        <f t="shared" si="6"/>
        <v>-232.48843392335039</v>
      </c>
      <c r="J54">
        <f t="shared" si="7"/>
        <v>231.33335860112106</v>
      </c>
      <c r="K54">
        <f t="shared" si="8"/>
        <v>224.39741224138493</v>
      </c>
      <c r="L54">
        <f t="shared" si="9"/>
        <v>232.48843392335039</v>
      </c>
      <c r="M54">
        <f t="shared" si="10"/>
        <v>53515.122801674872</v>
      </c>
      <c r="N54">
        <f t="shared" si="10"/>
        <v>50354.19862063005</v>
      </c>
      <c r="O54">
        <f t="shared" si="10"/>
        <v>54050.87190813206</v>
      </c>
      <c r="P54">
        <f t="shared" si="11"/>
        <v>0.15758403174463287</v>
      </c>
      <c r="Q54">
        <f t="shared" si="12"/>
        <v>0.15285927264399518</v>
      </c>
      <c r="R54">
        <f t="shared" si="13"/>
        <v>0.15837086779519782</v>
      </c>
    </row>
    <row r="55" spans="1:18" x14ac:dyDescent="0.3">
      <c r="A55" s="4">
        <v>40330</v>
      </c>
      <c r="B55" s="8">
        <v>54</v>
      </c>
      <c r="C55">
        <v>1637</v>
      </c>
      <c r="D55">
        <f t="shared" si="14"/>
        <v>1259.799977258991</v>
      </c>
      <c r="E55">
        <f t="shared" si="15"/>
        <v>1277.2621995948227</v>
      </c>
      <c r="F55">
        <f t="shared" si="16"/>
        <v>1282.0092528613197</v>
      </c>
      <c r="G55">
        <f t="shared" si="4"/>
        <v>-377.20002274100898</v>
      </c>
      <c r="H55">
        <f t="shared" si="5"/>
        <v>-359.73780040517727</v>
      </c>
      <c r="I55">
        <f t="shared" si="6"/>
        <v>-354.99074713868026</v>
      </c>
      <c r="J55">
        <f t="shared" si="7"/>
        <v>377.20002274100898</v>
      </c>
      <c r="K55">
        <f t="shared" si="8"/>
        <v>359.73780040517727</v>
      </c>
      <c r="L55">
        <f t="shared" si="9"/>
        <v>354.99074713868026</v>
      </c>
      <c r="M55">
        <f t="shared" si="10"/>
        <v>142279.85715581768</v>
      </c>
      <c r="N55">
        <f t="shared" si="10"/>
        <v>129411.28504035516</v>
      </c>
      <c r="O55">
        <f t="shared" si="10"/>
        <v>126018.43055407843</v>
      </c>
      <c r="P55">
        <f t="shared" si="11"/>
        <v>0.23042151664081184</v>
      </c>
      <c r="Q55">
        <f t="shared" si="12"/>
        <v>0.21975430690603376</v>
      </c>
      <c r="R55">
        <f t="shared" si="13"/>
        <v>0.21685445762900443</v>
      </c>
    </row>
    <row r="56" spans="1:18" x14ac:dyDescent="0.3">
      <c r="A56" s="10">
        <v>40360</v>
      </c>
      <c r="B56" s="12">
        <v>55</v>
      </c>
      <c r="C56" s="2">
        <v>1611</v>
      </c>
      <c r="D56">
        <f t="shared" si="14"/>
        <v>1297.5199795330921</v>
      </c>
      <c r="E56">
        <f t="shared" si="15"/>
        <v>1331.2228696555992</v>
      </c>
      <c r="F56">
        <f t="shared" si="16"/>
        <v>1353.007402289056</v>
      </c>
      <c r="G56">
        <f t="shared" si="4"/>
        <v>-313.48002046690794</v>
      </c>
      <c r="H56">
        <f t="shared" si="5"/>
        <v>-279.7771303444008</v>
      </c>
      <c r="I56">
        <f t="shared" si="6"/>
        <v>-257.99259771094398</v>
      </c>
      <c r="J56">
        <f t="shared" si="7"/>
        <v>313.48002046690794</v>
      </c>
      <c r="K56">
        <f t="shared" si="8"/>
        <v>279.7771303444008</v>
      </c>
      <c r="L56">
        <f t="shared" si="9"/>
        <v>257.99259771094398</v>
      </c>
      <c r="M56">
        <f t="shared" si="10"/>
        <v>98269.723231933021</v>
      </c>
      <c r="N56">
        <f t="shared" si="10"/>
        <v>78275.242663747835</v>
      </c>
      <c r="O56">
        <f t="shared" si="10"/>
        <v>66560.180473640983</v>
      </c>
      <c r="P56">
        <f t="shared" si="11"/>
        <v>0.19458722561570946</v>
      </c>
      <c r="Q56">
        <f t="shared" si="12"/>
        <v>0.17366674757566777</v>
      </c>
      <c r="R56">
        <f t="shared" si="13"/>
        <v>0.16014438095030664</v>
      </c>
    </row>
    <row r="57" spans="1:18" x14ac:dyDescent="0.3">
      <c r="A57" s="4">
        <v>40391</v>
      </c>
      <c r="B57" s="8">
        <v>56</v>
      </c>
      <c r="C57">
        <v>1608</v>
      </c>
      <c r="D57">
        <f t="shared" si="14"/>
        <v>1328.8679815797827</v>
      </c>
      <c r="E57">
        <f t="shared" si="15"/>
        <v>1373.1894392072591</v>
      </c>
      <c r="F57">
        <f t="shared" si="16"/>
        <v>1404.6059218312448</v>
      </c>
      <c r="G57">
        <f t="shared" si="4"/>
        <v>-279.13201842021726</v>
      </c>
      <c r="H57">
        <f t="shared" si="5"/>
        <v>-234.81056079274094</v>
      </c>
      <c r="I57">
        <f t="shared" si="6"/>
        <v>-203.39407816875519</v>
      </c>
      <c r="J57">
        <f t="shared" si="7"/>
        <v>279.13201842021726</v>
      </c>
      <c r="K57">
        <f t="shared" si="8"/>
        <v>234.81056079274094</v>
      </c>
      <c r="L57">
        <f t="shared" si="9"/>
        <v>203.39407816875519</v>
      </c>
      <c r="M57">
        <f t="shared" si="10"/>
        <v>77914.683707344506</v>
      </c>
      <c r="N57">
        <f t="shared" si="10"/>
        <v>55135.999459801489</v>
      </c>
      <c r="O57">
        <f t="shared" si="10"/>
        <v>41369.151034117698</v>
      </c>
      <c r="P57">
        <f t="shared" si="11"/>
        <v>0.17358956369416498</v>
      </c>
      <c r="Q57">
        <f t="shared" si="12"/>
        <v>0.14602646815468964</v>
      </c>
      <c r="R57">
        <f t="shared" si="13"/>
        <v>0.12648885458255921</v>
      </c>
    </row>
    <row r="58" spans="1:18" x14ac:dyDescent="0.3">
      <c r="A58" s="10">
        <v>40422</v>
      </c>
      <c r="B58" s="12">
        <v>57</v>
      </c>
      <c r="C58" s="2">
        <v>1528</v>
      </c>
      <c r="D58">
        <f t="shared" si="14"/>
        <v>1356.7811834218044</v>
      </c>
      <c r="E58">
        <f t="shared" si="15"/>
        <v>1408.4110233261702</v>
      </c>
      <c r="F58">
        <f t="shared" si="16"/>
        <v>1445.2847374649959</v>
      </c>
      <c r="G58">
        <f t="shared" si="4"/>
        <v>-171.21881657819563</v>
      </c>
      <c r="H58">
        <f t="shared" si="5"/>
        <v>-119.58897667382985</v>
      </c>
      <c r="I58">
        <f t="shared" si="6"/>
        <v>-82.715262535004058</v>
      </c>
      <c r="J58">
        <f t="shared" si="7"/>
        <v>171.21881657819563</v>
      </c>
      <c r="K58">
        <f t="shared" si="8"/>
        <v>119.58897667382985</v>
      </c>
      <c r="L58">
        <f t="shared" si="9"/>
        <v>82.715262535004058</v>
      </c>
      <c r="M58">
        <f t="shared" si="10"/>
        <v>29315.883150437799</v>
      </c>
      <c r="N58">
        <f t="shared" si="10"/>
        <v>14301.523341893819</v>
      </c>
      <c r="O58">
        <f t="shared" si="10"/>
        <v>6841.8146562346456</v>
      </c>
      <c r="P58">
        <f t="shared" si="11"/>
        <v>0.11205419933127986</v>
      </c>
      <c r="Q58">
        <f t="shared" si="12"/>
        <v>7.8265037090202785E-2</v>
      </c>
      <c r="R58">
        <f t="shared" si="13"/>
        <v>5.4133025219243493E-2</v>
      </c>
    </row>
    <row r="59" spans="1:18" x14ac:dyDescent="0.3">
      <c r="A59" s="4">
        <v>40452</v>
      </c>
      <c r="B59" s="8">
        <v>58</v>
      </c>
      <c r="C59">
        <v>1420</v>
      </c>
      <c r="D59">
        <f t="shared" si="14"/>
        <v>1373.903065079624</v>
      </c>
      <c r="E59">
        <f t="shared" si="15"/>
        <v>1426.3493698272446</v>
      </c>
      <c r="F59">
        <f t="shared" si="16"/>
        <v>1461.8277899719969</v>
      </c>
      <c r="G59">
        <f t="shared" si="4"/>
        <v>-46.096934920376043</v>
      </c>
      <c r="H59">
        <f t="shared" si="5"/>
        <v>6.3493698272445727</v>
      </c>
      <c r="I59">
        <f t="shared" si="6"/>
        <v>41.827789971996935</v>
      </c>
      <c r="J59">
        <f t="shared" si="7"/>
        <v>46.096934920376043</v>
      </c>
      <c r="K59">
        <f t="shared" si="8"/>
        <v>6.3493698272445727</v>
      </c>
      <c r="L59">
        <f t="shared" si="9"/>
        <v>41.827789971996935</v>
      </c>
      <c r="M59">
        <f t="shared" si="10"/>
        <v>2124.9274090533841</v>
      </c>
      <c r="N59">
        <f t="shared" si="10"/>
        <v>40.314497203123771</v>
      </c>
      <c r="O59">
        <f t="shared" si="10"/>
        <v>1749.5640139414875</v>
      </c>
      <c r="P59">
        <f t="shared" si="11"/>
        <v>3.2462630225616934E-2</v>
      </c>
      <c r="Q59">
        <f t="shared" si="12"/>
        <v>4.4713872022849105E-3</v>
      </c>
      <c r="R59">
        <f t="shared" si="13"/>
        <v>2.9456190121124604E-2</v>
      </c>
    </row>
    <row r="60" spans="1:18" x14ac:dyDescent="0.3">
      <c r="A60" s="10">
        <v>40483</v>
      </c>
      <c r="B60" s="12">
        <v>59</v>
      </c>
      <c r="C60" s="2">
        <v>1119</v>
      </c>
      <c r="D60">
        <f t="shared" si="14"/>
        <v>1378.5127585716616</v>
      </c>
      <c r="E60">
        <f t="shared" si="15"/>
        <v>1425.396964353158</v>
      </c>
      <c r="F60">
        <f t="shared" si="16"/>
        <v>1453.4622319775976</v>
      </c>
      <c r="G60">
        <f t="shared" si="4"/>
        <v>259.51275857166161</v>
      </c>
      <c r="H60">
        <f t="shared" si="5"/>
        <v>306.39696435315795</v>
      </c>
      <c r="I60">
        <f t="shared" si="6"/>
        <v>334.46223197759764</v>
      </c>
      <c r="J60">
        <f t="shared" si="7"/>
        <v>259.51275857166161</v>
      </c>
      <c r="K60">
        <f t="shared" si="8"/>
        <v>306.39696435315795</v>
      </c>
      <c r="L60">
        <f t="shared" si="9"/>
        <v>334.46223197759764</v>
      </c>
      <c r="M60">
        <f t="shared" si="10"/>
        <v>67346.871861473526</v>
      </c>
      <c r="N60">
        <f t="shared" si="10"/>
        <v>93879.099764830346</v>
      </c>
      <c r="O60">
        <f t="shared" si="10"/>
        <v>111864.98461943633</v>
      </c>
      <c r="P60">
        <f t="shared" si="11"/>
        <v>0.23191488701667703</v>
      </c>
      <c r="Q60">
        <f t="shared" si="12"/>
        <v>0.27381319423874706</v>
      </c>
      <c r="R60">
        <f t="shared" si="13"/>
        <v>0.29889386235710247</v>
      </c>
    </row>
    <row r="61" spans="1:18" x14ac:dyDescent="0.3">
      <c r="A61" s="13">
        <v>40513</v>
      </c>
      <c r="B61" s="14">
        <v>60</v>
      </c>
      <c r="C61" s="3">
        <v>1013</v>
      </c>
      <c r="D61">
        <f t="shared" si="14"/>
        <v>1352.5614827144955</v>
      </c>
      <c r="E61">
        <f t="shared" si="15"/>
        <v>1379.4374197001841</v>
      </c>
      <c r="F61">
        <f t="shared" si="16"/>
        <v>1386.5697855820781</v>
      </c>
      <c r="G61">
        <f t="shared" si="4"/>
        <v>339.56148271449547</v>
      </c>
      <c r="H61">
        <f t="shared" si="5"/>
        <v>366.43741970018414</v>
      </c>
      <c r="I61">
        <f t="shared" si="6"/>
        <v>373.56978558207811</v>
      </c>
      <c r="J61">
        <f t="shared" si="7"/>
        <v>339.56148271449547</v>
      </c>
      <c r="K61">
        <f t="shared" si="8"/>
        <v>366.43741970018414</v>
      </c>
      <c r="L61">
        <f t="shared" si="9"/>
        <v>373.56978558207811</v>
      </c>
      <c r="M61">
        <f t="shared" si="10"/>
        <v>115302.00054326661</v>
      </c>
      <c r="N61">
        <f t="shared" si="10"/>
        <v>134276.3825565289</v>
      </c>
      <c r="O61">
        <f t="shared" si="10"/>
        <v>139554.38469983981</v>
      </c>
      <c r="P61">
        <f t="shared" si="11"/>
        <v>0.33520383288696493</v>
      </c>
      <c r="Q61">
        <f t="shared" si="12"/>
        <v>0.36173486643650954</v>
      </c>
      <c r="R61">
        <f t="shared" si="13"/>
        <v>0.36877570146305833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34CB8-56C0-4E80-9C2D-270F64EFF5DD}">
  <dimension ref="A1:S84"/>
  <sheetViews>
    <sheetView zoomScale="75" workbookViewId="0">
      <selection activeCell="G12" sqref="G12"/>
    </sheetView>
  </sheetViews>
  <sheetFormatPr defaultRowHeight="14.4" x14ac:dyDescent="0.3"/>
  <cols>
    <col min="8" max="8" width="14.88671875" customWidth="1"/>
  </cols>
  <sheetData>
    <row r="1" spans="1:19" x14ac:dyDescent="0.3">
      <c r="A1" s="45" t="s">
        <v>0</v>
      </c>
      <c r="B1" s="62" t="s">
        <v>94</v>
      </c>
      <c r="C1" s="45" t="s">
        <v>21</v>
      </c>
      <c r="E1" s="34" t="s">
        <v>38</v>
      </c>
      <c r="F1" s="64" t="s">
        <v>97</v>
      </c>
      <c r="G1" s="65" t="s">
        <v>96</v>
      </c>
      <c r="H1" s="65" t="s">
        <v>98</v>
      </c>
      <c r="I1" s="65" t="s">
        <v>99</v>
      </c>
      <c r="J1" s="65" t="s">
        <v>100</v>
      </c>
      <c r="K1" s="42" t="s">
        <v>102</v>
      </c>
      <c r="L1" s="42" t="s">
        <v>101</v>
      </c>
      <c r="M1" s="42" t="s">
        <v>103</v>
      </c>
      <c r="N1" s="42" t="s">
        <v>104</v>
      </c>
      <c r="O1" s="42" t="s">
        <v>105</v>
      </c>
      <c r="P1" s="42" t="s">
        <v>106</v>
      </c>
      <c r="Q1" s="66" t="s">
        <v>107</v>
      </c>
      <c r="R1" s="66" t="s">
        <v>108</v>
      </c>
      <c r="S1" s="66" t="s">
        <v>109</v>
      </c>
    </row>
    <row r="2" spans="1:19" x14ac:dyDescent="0.3">
      <c r="A2" s="59">
        <v>38718</v>
      </c>
      <c r="B2" s="54">
        <v>1</v>
      </c>
      <c r="C2" s="60">
        <v>742</v>
      </c>
      <c r="E2" s="30">
        <f t="shared" ref="D2:E17" si="0">C2*B2</f>
        <v>742</v>
      </c>
      <c r="F2" s="30">
        <v>60</v>
      </c>
      <c r="G2" s="30">
        <f>((60^2*(61)*121)/6)-((60^2*(61^2))/4)</f>
        <v>1079700</v>
      </c>
      <c r="H2" s="52">
        <f>60*E62-((60*61)/2)*C62</f>
        <v>9444180</v>
      </c>
      <c r="I2" s="30">
        <f>H2/G2</f>
        <v>8.7470408446790771</v>
      </c>
      <c r="J2" s="53">
        <f>((1/60)*C62)-((I2*61)/2)</f>
        <v>895.58192090395471</v>
      </c>
      <c r="K2" s="30">
        <f>$J$2+$I$2*L2</f>
        <v>904.32896174863379</v>
      </c>
      <c r="L2" s="54">
        <v>1</v>
      </c>
      <c r="M2" s="30">
        <f>K2-C2</f>
        <v>162.32896174863379</v>
      </c>
      <c r="N2" s="30" cm="1">
        <f t="array" ref="N2:N61">ABS(M2:M61)</f>
        <v>162.32896174863379</v>
      </c>
      <c r="O2" s="30">
        <f>M2^2</f>
        <v>26350.69182238941</v>
      </c>
      <c r="P2" s="30">
        <f>ABS(M2/C2)</f>
        <v>0.21877218564505901</v>
      </c>
      <c r="Q2" s="51">
        <f>AVERAGE(_xlfn.ANCHORARRAY(N2))</f>
        <v>194.19653113519186</v>
      </c>
      <c r="R2" s="30">
        <f>AVERAGE(O2:O61)</f>
        <v>46855.791054305235</v>
      </c>
      <c r="S2" s="55">
        <f>AVERAGE(P2:P61)</f>
        <v>0.17897767139408791</v>
      </c>
    </row>
    <row r="3" spans="1:19" x14ac:dyDescent="0.3">
      <c r="A3" s="61">
        <v>38749</v>
      </c>
      <c r="B3" s="56">
        <v>2</v>
      </c>
      <c r="C3" s="30">
        <v>697</v>
      </c>
      <c r="E3" s="30">
        <f t="shared" si="0"/>
        <v>1394</v>
      </c>
      <c r="K3" s="30">
        <f t="shared" ref="K3:K61" si="1">$J$2+$I$2*L3</f>
        <v>913.07600259331286</v>
      </c>
      <c r="L3" s="56">
        <v>2</v>
      </c>
      <c r="M3" s="30">
        <f t="shared" ref="M3:M61" si="2">K3-C3</f>
        <v>216.07600259331286</v>
      </c>
      <c r="N3" s="30">
        <v>216.07600259331286</v>
      </c>
      <c r="O3" s="30">
        <f t="shared" ref="O3:O61" si="3">M3^2</f>
        <v>46688.838896705347</v>
      </c>
      <c r="P3" s="30">
        <f t="shared" ref="P3:P61" si="4">ABS(M3/C3)</f>
        <v>0.31000861204205576</v>
      </c>
    </row>
    <row r="4" spans="1:19" x14ac:dyDescent="0.3">
      <c r="A4" s="59">
        <v>38777</v>
      </c>
      <c r="B4" s="57">
        <v>3</v>
      </c>
      <c r="C4" s="60">
        <v>776</v>
      </c>
      <c r="E4" s="30">
        <f t="shared" si="0"/>
        <v>2328</v>
      </c>
      <c r="K4" s="30">
        <f t="shared" si="1"/>
        <v>921.82304343799194</v>
      </c>
      <c r="L4" s="57">
        <v>3</v>
      </c>
      <c r="M4" s="30">
        <f t="shared" si="2"/>
        <v>145.82304343799194</v>
      </c>
      <c r="N4" s="30">
        <v>145.82304343799194</v>
      </c>
      <c r="O4" s="30">
        <f t="shared" si="3"/>
        <v>21264.359997518484</v>
      </c>
      <c r="P4" s="30">
        <f t="shared" si="4"/>
        <v>0.18791629309019581</v>
      </c>
    </row>
    <row r="5" spans="1:19" x14ac:dyDescent="0.3">
      <c r="A5" s="61">
        <v>38808</v>
      </c>
      <c r="B5" s="58">
        <v>4</v>
      </c>
      <c r="C5" s="30">
        <v>898</v>
      </c>
      <c r="E5" s="30">
        <f t="shared" si="0"/>
        <v>3592</v>
      </c>
      <c r="K5" s="30">
        <f t="shared" si="1"/>
        <v>930.57008428267102</v>
      </c>
      <c r="L5" s="58">
        <v>4</v>
      </c>
      <c r="M5" s="30">
        <f t="shared" si="2"/>
        <v>32.570084282671019</v>
      </c>
      <c r="N5" s="30">
        <v>32.570084282671019</v>
      </c>
      <c r="O5" s="30">
        <f t="shared" si="3"/>
        <v>1060.8103901802938</v>
      </c>
      <c r="P5" s="30">
        <f t="shared" si="4"/>
        <v>3.6269581606537885E-2</v>
      </c>
    </row>
    <row r="6" spans="1:19" x14ac:dyDescent="0.3">
      <c r="A6" s="59">
        <v>38838</v>
      </c>
      <c r="B6" s="57">
        <v>5</v>
      </c>
      <c r="C6" s="60">
        <v>1030</v>
      </c>
      <c r="E6" s="30">
        <f t="shared" si="0"/>
        <v>5150</v>
      </c>
      <c r="K6" s="30">
        <f t="shared" si="1"/>
        <v>939.3171251273501</v>
      </c>
      <c r="L6" s="57">
        <v>5</v>
      </c>
      <c r="M6" s="30">
        <f t="shared" si="2"/>
        <v>-90.682874872649904</v>
      </c>
      <c r="N6" s="30">
        <v>90.682874872649904</v>
      </c>
      <c r="O6" s="30">
        <f t="shared" si="3"/>
        <v>8223.3837951686801</v>
      </c>
      <c r="P6" s="30">
        <f t="shared" si="4"/>
        <v>8.8041626089951364E-2</v>
      </c>
    </row>
    <row r="7" spans="1:19" x14ac:dyDescent="0.3">
      <c r="A7" s="61">
        <v>38869</v>
      </c>
      <c r="B7" s="58">
        <v>6</v>
      </c>
      <c r="C7" s="30">
        <v>1107</v>
      </c>
      <c r="E7" s="30">
        <f t="shared" si="0"/>
        <v>6642</v>
      </c>
      <c r="K7" s="30">
        <f>$J$2+$I$2*L7</f>
        <v>948.06416597202917</v>
      </c>
      <c r="L7" s="58">
        <v>6</v>
      </c>
      <c r="M7" s="30">
        <f t="shared" si="2"/>
        <v>-158.93583402797083</v>
      </c>
      <c r="N7" s="30">
        <v>158.93583402797083</v>
      </c>
      <c r="O7" s="30">
        <f t="shared" si="3"/>
        <v>25260.599338166689</v>
      </c>
      <c r="P7" s="30">
        <f t="shared" si="4"/>
        <v>0.14357347247332505</v>
      </c>
    </row>
    <row r="8" spans="1:19" x14ac:dyDescent="0.3">
      <c r="A8" s="59">
        <v>38899</v>
      </c>
      <c r="B8" s="57">
        <v>7</v>
      </c>
      <c r="C8" s="60">
        <v>1165</v>
      </c>
      <c r="E8" s="30">
        <f t="shared" si="0"/>
        <v>8155</v>
      </c>
      <c r="K8" s="30">
        <f t="shared" si="1"/>
        <v>956.81120681670825</v>
      </c>
      <c r="L8" s="57">
        <v>7</v>
      </c>
      <c r="M8" s="30">
        <f t="shared" si="2"/>
        <v>-208.18879318329175</v>
      </c>
      <c r="N8" s="30">
        <v>208.18879318329175</v>
      </c>
      <c r="O8" s="30">
        <f t="shared" si="3"/>
        <v>43342.573607115424</v>
      </c>
      <c r="P8" s="30">
        <f t="shared" si="4"/>
        <v>0.17870282676677404</v>
      </c>
    </row>
    <row r="9" spans="1:19" x14ac:dyDescent="0.3">
      <c r="A9" s="61">
        <v>38930</v>
      </c>
      <c r="B9" s="58">
        <v>8</v>
      </c>
      <c r="C9" s="30">
        <v>1216</v>
      </c>
      <c r="E9" s="30">
        <f t="shared" si="0"/>
        <v>9728</v>
      </c>
      <c r="K9" s="30">
        <f t="shared" si="1"/>
        <v>965.55824766138733</v>
      </c>
      <c r="L9" s="58">
        <v>8</v>
      </c>
      <c r="M9" s="30">
        <f t="shared" si="2"/>
        <v>-250.44175233861267</v>
      </c>
      <c r="N9" s="30">
        <v>250.44175233861267</v>
      </c>
      <c r="O9" s="30">
        <f t="shared" si="3"/>
        <v>62721.071314435008</v>
      </c>
      <c r="P9" s="30">
        <f t="shared" si="4"/>
        <v>0.2059553884363591</v>
      </c>
    </row>
    <row r="10" spans="1:19" x14ac:dyDescent="0.3">
      <c r="A10" s="59">
        <v>38961</v>
      </c>
      <c r="B10" s="57">
        <v>9</v>
      </c>
      <c r="C10" s="60">
        <v>1208</v>
      </c>
      <c r="E10" s="30">
        <f t="shared" si="0"/>
        <v>10872</v>
      </c>
      <c r="K10" s="30">
        <f t="shared" si="1"/>
        <v>974.3052885060664</v>
      </c>
      <c r="L10" s="57">
        <v>9</v>
      </c>
      <c r="M10" s="30">
        <f t="shared" si="2"/>
        <v>-233.6947114939336</v>
      </c>
      <c r="N10" s="30">
        <v>233.6947114939336</v>
      </c>
      <c r="O10" s="30">
        <f t="shared" si="3"/>
        <v>54613.218180232856</v>
      </c>
      <c r="P10" s="30">
        <f t="shared" si="4"/>
        <v>0.19345588699828939</v>
      </c>
    </row>
    <row r="11" spans="1:19" x14ac:dyDescent="0.3">
      <c r="A11" s="61">
        <v>38991</v>
      </c>
      <c r="B11" s="58">
        <v>10</v>
      </c>
      <c r="C11" s="30">
        <v>1131</v>
      </c>
      <c r="E11" s="30">
        <f t="shared" si="0"/>
        <v>11310</v>
      </c>
      <c r="K11" s="30">
        <f t="shared" si="1"/>
        <v>983.05232935074548</v>
      </c>
      <c r="L11" s="58">
        <v>10</v>
      </c>
      <c r="M11" s="30">
        <f t="shared" si="2"/>
        <v>-147.94767064925452</v>
      </c>
      <c r="N11" s="30">
        <v>147.94767064925452</v>
      </c>
      <c r="O11" s="30">
        <f t="shared" si="3"/>
        <v>21888.513250540287</v>
      </c>
      <c r="P11" s="30">
        <f t="shared" si="4"/>
        <v>0.13081137988439834</v>
      </c>
    </row>
    <row r="12" spans="1:19" x14ac:dyDescent="0.3">
      <c r="A12" s="59">
        <v>39022</v>
      </c>
      <c r="B12" s="57">
        <v>11</v>
      </c>
      <c r="C12" s="60">
        <v>971</v>
      </c>
      <c r="E12" s="30">
        <f t="shared" si="0"/>
        <v>10681</v>
      </c>
      <c r="K12" s="30">
        <f t="shared" si="1"/>
        <v>991.79937019542456</v>
      </c>
      <c r="L12" s="57">
        <v>11</v>
      </c>
      <c r="M12" s="30">
        <f t="shared" si="2"/>
        <v>20.799370195424558</v>
      </c>
      <c r="N12" s="30">
        <v>20.799370195424558</v>
      </c>
      <c r="O12" s="30">
        <f t="shared" si="3"/>
        <v>432.6138005263154</v>
      </c>
      <c r="P12" s="30">
        <f t="shared" si="4"/>
        <v>2.1420566627625703E-2</v>
      </c>
    </row>
    <row r="13" spans="1:19" x14ac:dyDescent="0.3">
      <c r="A13" s="61">
        <v>39052</v>
      </c>
      <c r="B13" s="58">
        <v>12</v>
      </c>
      <c r="C13" s="30">
        <v>783</v>
      </c>
      <c r="E13" s="30">
        <f t="shared" si="0"/>
        <v>9396</v>
      </c>
      <c r="K13" s="30">
        <f t="shared" si="1"/>
        <v>1000.5464110401036</v>
      </c>
      <c r="L13" s="58">
        <v>12</v>
      </c>
      <c r="M13" s="30">
        <f t="shared" si="2"/>
        <v>217.54641104010364</v>
      </c>
      <c r="N13" s="30">
        <v>217.54641104010364</v>
      </c>
      <c r="O13" s="30">
        <f t="shared" si="3"/>
        <v>47326.440956429724</v>
      </c>
      <c r="P13" s="30">
        <f t="shared" si="4"/>
        <v>0.27783705113678625</v>
      </c>
    </row>
    <row r="14" spans="1:19" x14ac:dyDescent="0.3">
      <c r="A14" s="59">
        <v>39083</v>
      </c>
      <c r="B14" s="57">
        <v>13</v>
      </c>
      <c r="C14" s="60">
        <v>741</v>
      </c>
      <c r="E14" s="30">
        <f t="shared" si="0"/>
        <v>9633</v>
      </c>
      <c r="K14" s="30">
        <f t="shared" si="1"/>
        <v>1009.2934518847827</v>
      </c>
      <c r="L14" s="57">
        <v>13</v>
      </c>
      <c r="M14" s="30">
        <f t="shared" si="2"/>
        <v>268.29345188478271</v>
      </c>
      <c r="N14" s="30">
        <v>268.29345188478271</v>
      </c>
      <c r="O14" s="30">
        <f t="shared" si="3"/>
        <v>71981.376324252211</v>
      </c>
      <c r="P14" s="30">
        <f t="shared" si="4"/>
        <v>0.362069435741947</v>
      </c>
    </row>
    <row r="15" spans="1:19" x14ac:dyDescent="0.3">
      <c r="A15" s="61">
        <v>39114</v>
      </c>
      <c r="B15" s="58">
        <v>14</v>
      </c>
      <c r="C15" s="30">
        <v>700</v>
      </c>
      <c r="E15" s="30">
        <f t="shared" si="0"/>
        <v>9800</v>
      </c>
      <c r="K15" s="30">
        <f t="shared" si="1"/>
        <v>1018.0404927294618</v>
      </c>
      <c r="L15" s="58">
        <v>14</v>
      </c>
      <c r="M15" s="30">
        <f t="shared" si="2"/>
        <v>318.04049272946179</v>
      </c>
      <c r="N15" s="30">
        <v>318.04049272946179</v>
      </c>
      <c r="O15" s="30">
        <f t="shared" si="3"/>
        <v>101149.75501559884</v>
      </c>
      <c r="P15" s="30">
        <f t="shared" si="4"/>
        <v>0.45434356104208828</v>
      </c>
    </row>
    <row r="16" spans="1:19" x14ac:dyDescent="0.3">
      <c r="A16" s="59">
        <v>39142</v>
      </c>
      <c r="B16" s="57">
        <v>15</v>
      </c>
      <c r="C16" s="60">
        <v>774</v>
      </c>
      <c r="E16" s="30">
        <f t="shared" si="0"/>
        <v>11610</v>
      </c>
      <c r="K16" s="30">
        <f t="shared" si="1"/>
        <v>1026.787533574141</v>
      </c>
      <c r="L16" s="57">
        <v>15</v>
      </c>
      <c r="M16" s="30">
        <f t="shared" si="2"/>
        <v>252.78753357414098</v>
      </c>
      <c r="N16" s="30">
        <v>252.78753357414098</v>
      </c>
      <c r="O16" s="30">
        <f t="shared" si="3"/>
        <v>63901.537130497454</v>
      </c>
      <c r="P16" s="30">
        <f t="shared" si="4"/>
        <v>0.32659888058674547</v>
      </c>
    </row>
    <row r="17" spans="1:16" x14ac:dyDescent="0.3">
      <c r="A17" s="61">
        <v>39173</v>
      </c>
      <c r="B17" s="58">
        <v>16</v>
      </c>
      <c r="C17" s="30">
        <v>932</v>
      </c>
      <c r="E17" s="30">
        <f t="shared" si="0"/>
        <v>14912</v>
      </c>
      <c r="K17" s="30">
        <f t="shared" si="1"/>
        <v>1035.5345744188198</v>
      </c>
      <c r="L17" s="58">
        <v>16</v>
      </c>
      <c r="M17" s="30">
        <f t="shared" si="2"/>
        <v>103.53457441881983</v>
      </c>
      <c r="N17" s="30">
        <v>103.53457441881983</v>
      </c>
      <c r="O17" s="30">
        <f t="shared" si="3"/>
        <v>10719.408100086141</v>
      </c>
      <c r="P17" s="30">
        <f t="shared" si="4"/>
        <v>0.11108859916182386</v>
      </c>
    </row>
    <row r="18" spans="1:16" x14ac:dyDescent="0.3">
      <c r="A18" s="59">
        <v>39203</v>
      </c>
      <c r="B18" s="57">
        <v>17</v>
      </c>
      <c r="C18" s="60">
        <v>1099</v>
      </c>
      <c r="E18" s="30">
        <f t="shared" ref="E18:E61" si="5">C18*B18</f>
        <v>18683</v>
      </c>
      <c r="K18" s="30">
        <f t="shared" si="1"/>
        <v>1044.2816152634991</v>
      </c>
      <c r="L18" s="57">
        <v>17</v>
      </c>
      <c r="M18" s="30">
        <f t="shared" si="2"/>
        <v>-54.718384736500866</v>
      </c>
      <c r="N18" s="30">
        <v>54.718384736500866</v>
      </c>
      <c r="O18" s="30">
        <f t="shared" si="3"/>
        <v>2994.1016281717311</v>
      </c>
      <c r="P18" s="30">
        <f t="shared" si="4"/>
        <v>4.9789249077798789E-2</v>
      </c>
    </row>
    <row r="19" spans="1:16" x14ac:dyDescent="0.3">
      <c r="A19" s="61">
        <v>39234</v>
      </c>
      <c r="B19" s="58">
        <v>18</v>
      </c>
      <c r="C19" s="30">
        <v>1223</v>
      </c>
      <c r="E19" s="30">
        <f t="shared" si="5"/>
        <v>22014</v>
      </c>
      <c r="K19" s="30">
        <f t="shared" si="1"/>
        <v>1053.028656108178</v>
      </c>
      <c r="L19" s="58">
        <v>18</v>
      </c>
      <c r="M19" s="30">
        <f t="shared" si="2"/>
        <v>-169.97134389182202</v>
      </c>
      <c r="N19" s="30">
        <v>169.97134389182202</v>
      </c>
      <c r="O19" s="30">
        <f t="shared" si="3"/>
        <v>28890.25774439202</v>
      </c>
      <c r="P19" s="30">
        <f t="shared" si="4"/>
        <v>0.1389790219884072</v>
      </c>
    </row>
    <row r="20" spans="1:16" x14ac:dyDescent="0.3">
      <c r="A20" s="59">
        <v>39264</v>
      </c>
      <c r="B20" s="57">
        <v>19</v>
      </c>
      <c r="C20" s="60">
        <v>1290</v>
      </c>
      <c r="E20" s="30">
        <f t="shared" si="5"/>
        <v>24510</v>
      </c>
      <c r="K20" s="30">
        <f t="shared" si="1"/>
        <v>1061.7756969528573</v>
      </c>
      <c r="L20" s="57">
        <v>19</v>
      </c>
      <c r="M20" s="30">
        <f t="shared" si="2"/>
        <v>-228.22430304714271</v>
      </c>
      <c r="N20" s="30">
        <v>228.22430304714271</v>
      </c>
      <c r="O20" s="30">
        <f t="shared" si="3"/>
        <v>52086.332501354031</v>
      </c>
      <c r="P20" s="30">
        <f t="shared" si="4"/>
        <v>0.17691806437763</v>
      </c>
    </row>
    <row r="21" spans="1:16" x14ac:dyDescent="0.3">
      <c r="A21" s="61">
        <v>39295</v>
      </c>
      <c r="B21" s="58">
        <v>20</v>
      </c>
      <c r="C21" s="30">
        <v>1349</v>
      </c>
      <c r="E21" s="30">
        <f t="shared" si="5"/>
        <v>26980</v>
      </c>
      <c r="K21" s="30">
        <f t="shared" si="1"/>
        <v>1070.5227377975361</v>
      </c>
      <c r="L21" s="58">
        <v>20</v>
      </c>
      <c r="M21" s="30">
        <f t="shared" si="2"/>
        <v>-278.47726220246386</v>
      </c>
      <c r="N21" s="30">
        <v>278.47726220246386</v>
      </c>
      <c r="O21" s="30">
        <f t="shared" si="3"/>
        <v>77549.585563779809</v>
      </c>
      <c r="P21" s="30">
        <f t="shared" si="4"/>
        <v>0.2064323663472675</v>
      </c>
    </row>
    <row r="22" spans="1:16" x14ac:dyDescent="0.3">
      <c r="A22" s="59">
        <v>39326</v>
      </c>
      <c r="B22" s="57">
        <v>21</v>
      </c>
      <c r="C22" s="60">
        <v>1341</v>
      </c>
      <c r="E22" s="30">
        <f t="shared" si="5"/>
        <v>28161</v>
      </c>
      <c r="K22" s="30">
        <f t="shared" si="1"/>
        <v>1079.2697786422154</v>
      </c>
      <c r="L22" s="57">
        <v>21</v>
      </c>
      <c r="M22" s="30">
        <f t="shared" si="2"/>
        <v>-261.73022135778456</v>
      </c>
      <c r="N22" s="30">
        <v>261.73022135778456</v>
      </c>
      <c r="O22" s="30">
        <f t="shared" si="3"/>
        <v>68502.708771994905</v>
      </c>
      <c r="P22" s="30">
        <f t="shared" si="4"/>
        <v>0.19517540742564099</v>
      </c>
    </row>
    <row r="23" spans="1:16" x14ac:dyDescent="0.3">
      <c r="A23" s="61">
        <v>39356</v>
      </c>
      <c r="B23" s="58">
        <v>22</v>
      </c>
      <c r="C23" s="30">
        <v>1296</v>
      </c>
      <c r="E23" s="30">
        <f t="shared" si="5"/>
        <v>28512</v>
      </c>
      <c r="K23" s="30">
        <f t="shared" si="1"/>
        <v>1088.0168194868943</v>
      </c>
      <c r="L23" s="58">
        <v>22</v>
      </c>
      <c r="M23" s="30">
        <f t="shared" si="2"/>
        <v>-207.98318051310571</v>
      </c>
      <c r="N23" s="30">
        <v>207.98318051310571</v>
      </c>
      <c r="O23" s="30">
        <f t="shared" si="3"/>
        <v>43257.003376347115</v>
      </c>
      <c r="P23" s="30">
        <f t="shared" si="4"/>
        <v>0.160480849161347</v>
      </c>
    </row>
    <row r="24" spans="1:16" x14ac:dyDescent="0.3">
      <c r="A24" s="59">
        <v>39387</v>
      </c>
      <c r="B24" s="57">
        <v>23</v>
      </c>
      <c r="C24" s="60">
        <v>1066</v>
      </c>
      <c r="E24" s="30">
        <f t="shared" si="5"/>
        <v>24518</v>
      </c>
      <c r="K24" s="30">
        <f t="shared" si="1"/>
        <v>1096.7638603315736</v>
      </c>
      <c r="L24" s="57">
        <v>23</v>
      </c>
      <c r="M24" s="30">
        <f t="shared" si="2"/>
        <v>30.763860331573596</v>
      </c>
      <c r="N24" s="30">
        <v>30.763860331573596</v>
      </c>
      <c r="O24" s="30">
        <f t="shared" si="3"/>
        <v>946.41510250056751</v>
      </c>
      <c r="P24" s="30">
        <f t="shared" si="4"/>
        <v>2.8859156033371105E-2</v>
      </c>
    </row>
    <row r="25" spans="1:16" x14ac:dyDescent="0.3">
      <c r="A25" s="61">
        <v>39417</v>
      </c>
      <c r="B25" s="58">
        <v>24</v>
      </c>
      <c r="C25" s="30">
        <v>901</v>
      </c>
      <c r="E25" s="30">
        <f t="shared" si="5"/>
        <v>21624</v>
      </c>
      <c r="K25" s="30">
        <f t="shared" si="1"/>
        <v>1105.5109011762524</v>
      </c>
      <c r="L25" s="58">
        <v>24</v>
      </c>
      <c r="M25" s="30">
        <f t="shared" si="2"/>
        <v>204.51090117625245</v>
      </c>
      <c r="N25" s="30">
        <v>204.51090117625245</v>
      </c>
      <c r="O25" s="30">
        <f t="shared" si="3"/>
        <v>41824.708699922892</v>
      </c>
      <c r="P25" s="30">
        <f t="shared" si="4"/>
        <v>0.2269821322710904</v>
      </c>
    </row>
    <row r="26" spans="1:16" x14ac:dyDescent="0.3">
      <c r="A26" s="59">
        <v>39448</v>
      </c>
      <c r="B26" s="57">
        <v>25</v>
      </c>
      <c r="C26" s="60">
        <v>896</v>
      </c>
      <c r="E26" s="30">
        <f t="shared" si="5"/>
        <v>22400</v>
      </c>
      <c r="K26" s="30">
        <f t="shared" si="1"/>
        <v>1114.2579420209318</v>
      </c>
      <c r="L26" s="57">
        <v>25</v>
      </c>
      <c r="M26" s="30">
        <f t="shared" si="2"/>
        <v>218.25794202093175</v>
      </c>
      <c r="N26" s="30">
        <v>218.25794202093175</v>
      </c>
      <c r="O26" s="30">
        <f t="shared" si="3"/>
        <v>47636.529255212408</v>
      </c>
      <c r="P26" s="30">
        <f t="shared" si="4"/>
        <v>0.24359145314836134</v>
      </c>
    </row>
    <row r="27" spans="1:16" x14ac:dyDescent="0.3">
      <c r="A27" s="61">
        <v>39479</v>
      </c>
      <c r="B27" s="58">
        <v>26</v>
      </c>
      <c r="C27" s="30">
        <v>793</v>
      </c>
      <c r="E27" s="30">
        <f t="shared" si="5"/>
        <v>20618</v>
      </c>
      <c r="K27" s="30">
        <f t="shared" si="1"/>
        <v>1123.0049828656106</v>
      </c>
      <c r="L27" s="58">
        <v>26</v>
      </c>
      <c r="M27" s="30">
        <f t="shared" si="2"/>
        <v>330.0049828656106</v>
      </c>
      <c r="N27" s="30">
        <v>330.0049828656106</v>
      </c>
      <c r="O27" s="30">
        <f t="shared" si="3"/>
        <v>108903.28871613195</v>
      </c>
      <c r="P27" s="30">
        <f t="shared" si="4"/>
        <v>0.41614751937655814</v>
      </c>
    </row>
    <row r="28" spans="1:16" x14ac:dyDescent="0.3">
      <c r="A28" s="59">
        <v>39508</v>
      </c>
      <c r="B28" s="57">
        <v>27</v>
      </c>
      <c r="C28" s="60">
        <v>885</v>
      </c>
      <c r="E28" s="30">
        <f t="shared" si="5"/>
        <v>23895</v>
      </c>
      <c r="K28" s="30">
        <f t="shared" si="1"/>
        <v>1131.7520237102899</v>
      </c>
      <c r="L28" s="57">
        <v>27</v>
      </c>
      <c r="M28" s="30">
        <f t="shared" si="2"/>
        <v>246.7520237102899</v>
      </c>
      <c r="N28" s="30">
        <v>246.7520237102899</v>
      </c>
      <c r="O28" s="30">
        <f t="shared" si="3"/>
        <v>60886.561205123471</v>
      </c>
      <c r="P28" s="30">
        <f t="shared" si="4"/>
        <v>0.27881584600032755</v>
      </c>
    </row>
    <row r="29" spans="1:16" x14ac:dyDescent="0.3">
      <c r="A29" s="61">
        <v>39539</v>
      </c>
      <c r="B29" s="58">
        <v>28</v>
      </c>
      <c r="C29" s="30">
        <v>1055</v>
      </c>
      <c r="E29" s="30">
        <f t="shared" si="5"/>
        <v>29540</v>
      </c>
      <c r="K29" s="30">
        <f t="shared" si="1"/>
        <v>1140.4990645549688</v>
      </c>
      <c r="L29" s="58">
        <v>28</v>
      </c>
      <c r="M29" s="30">
        <f t="shared" si="2"/>
        <v>85.499064554968754</v>
      </c>
      <c r="N29" s="30">
        <v>85.499064554968754</v>
      </c>
      <c r="O29" s="30">
        <f t="shared" si="3"/>
        <v>7310.0900397747146</v>
      </c>
      <c r="P29" s="30">
        <f t="shared" si="4"/>
        <v>8.104176735068129E-2</v>
      </c>
    </row>
    <row r="30" spans="1:16" x14ac:dyDescent="0.3">
      <c r="A30" s="59">
        <v>39569</v>
      </c>
      <c r="B30" s="57">
        <v>29</v>
      </c>
      <c r="C30" s="60">
        <v>1204</v>
      </c>
      <c r="E30" s="30">
        <f t="shared" si="5"/>
        <v>34916</v>
      </c>
      <c r="K30" s="30">
        <f t="shared" si="1"/>
        <v>1149.2461053996481</v>
      </c>
      <c r="L30" s="57">
        <v>29</v>
      </c>
      <c r="M30" s="30">
        <f t="shared" si="2"/>
        <v>-54.753894600351941</v>
      </c>
      <c r="N30" s="30">
        <v>54.753894600351941</v>
      </c>
      <c r="O30" s="30">
        <f t="shared" si="3"/>
        <v>2997.9889739064497</v>
      </c>
      <c r="P30" s="30">
        <f t="shared" si="4"/>
        <v>4.5476656644810584E-2</v>
      </c>
    </row>
    <row r="31" spans="1:16" x14ac:dyDescent="0.3">
      <c r="A31" s="61">
        <v>39600</v>
      </c>
      <c r="B31" s="58">
        <v>30</v>
      </c>
      <c r="C31" s="30">
        <v>1326</v>
      </c>
      <c r="E31" s="30">
        <f t="shared" si="5"/>
        <v>39780</v>
      </c>
      <c r="K31" s="30">
        <f t="shared" si="1"/>
        <v>1157.9931462443269</v>
      </c>
      <c r="L31" s="58">
        <v>30</v>
      </c>
      <c r="M31" s="30">
        <f t="shared" si="2"/>
        <v>-168.00685375567309</v>
      </c>
      <c r="N31" s="30">
        <v>168.00685375567309</v>
      </c>
      <c r="O31" s="30">
        <f t="shared" si="3"/>
        <v>28226.302908880127</v>
      </c>
      <c r="P31" s="30">
        <f t="shared" si="4"/>
        <v>0.12670200132403703</v>
      </c>
    </row>
    <row r="32" spans="1:16" x14ac:dyDescent="0.3">
      <c r="A32" s="59">
        <v>39630</v>
      </c>
      <c r="B32" s="57">
        <v>31</v>
      </c>
      <c r="C32" s="60">
        <v>1303</v>
      </c>
      <c r="E32" s="30">
        <f t="shared" si="5"/>
        <v>40393</v>
      </c>
      <c r="K32" s="30">
        <f t="shared" si="1"/>
        <v>1166.7401870890062</v>
      </c>
      <c r="L32" s="57">
        <v>31</v>
      </c>
      <c r="M32" s="30">
        <f t="shared" si="2"/>
        <v>-136.25981291099379</v>
      </c>
      <c r="N32" s="30">
        <v>136.25981291099379</v>
      </c>
      <c r="O32" s="30">
        <f t="shared" si="3"/>
        <v>18566.73661453903</v>
      </c>
      <c r="P32" s="30">
        <f t="shared" si="4"/>
        <v>0.1045739162785831</v>
      </c>
    </row>
    <row r="33" spans="1:16" x14ac:dyDescent="0.3">
      <c r="A33" s="61">
        <v>39661</v>
      </c>
      <c r="B33" s="58">
        <v>32</v>
      </c>
      <c r="C33" s="30">
        <v>1436</v>
      </c>
      <c r="E33" s="30">
        <f t="shared" si="5"/>
        <v>45952</v>
      </c>
      <c r="K33" s="30">
        <f t="shared" si="1"/>
        <v>1175.4872279336851</v>
      </c>
      <c r="L33" s="58">
        <v>32</v>
      </c>
      <c r="M33" s="30">
        <f t="shared" si="2"/>
        <v>-260.51277206631494</v>
      </c>
      <c r="N33" s="30">
        <v>260.51277206631494</v>
      </c>
      <c r="O33" s="30">
        <f t="shared" si="3"/>
        <v>67866.904409675757</v>
      </c>
      <c r="P33" s="30">
        <f t="shared" si="4"/>
        <v>0.18141557943336695</v>
      </c>
    </row>
    <row r="34" spans="1:16" x14ac:dyDescent="0.3">
      <c r="A34" s="59">
        <v>39692</v>
      </c>
      <c r="B34" s="57">
        <v>33</v>
      </c>
      <c r="C34" s="60">
        <v>1473</v>
      </c>
      <c r="E34" s="30">
        <f t="shared" si="5"/>
        <v>48609</v>
      </c>
      <c r="K34" s="30">
        <f t="shared" si="1"/>
        <v>1184.2342687783644</v>
      </c>
      <c r="L34" s="57">
        <v>33</v>
      </c>
      <c r="M34" s="30">
        <f t="shared" si="2"/>
        <v>-288.76573122163563</v>
      </c>
      <c r="N34" s="30">
        <v>288.76573122163563</v>
      </c>
      <c r="O34" s="30">
        <f t="shared" si="3"/>
        <v>83385.647527965906</v>
      </c>
      <c r="P34" s="30">
        <f t="shared" si="4"/>
        <v>0.19603919295426722</v>
      </c>
    </row>
    <row r="35" spans="1:16" x14ac:dyDescent="0.3">
      <c r="A35" s="61">
        <v>39722</v>
      </c>
      <c r="B35" s="58">
        <v>34</v>
      </c>
      <c r="C35" s="30">
        <v>1453</v>
      </c>
      <c r="E35" s="30">
        <f t="shared" si="5"/>
        <v>49402</v>
      </c>
      <c r="K35" s="30">
        <f t="shared" si="1"/>
        <v>1192.9813096230432</v>
      </c>
      <c r="L35" s="58">
        <v>34</v>
      </c>
      <c r="M35" s="30">
        <f t="shared" si="2"/>
        <v>-260.01869037695678</v>
      </c>
      <c r="N35" s="30">
        <v>260.01869037695678</v>
      </c>
      <c r="O35" s="30">
        <f t="shared" si="3"/>
        <v>67609.719345347723</v>
      </c>
      <c r="P35" s="30">
        <f t="shared" si="4"/>
        <v>0.17895298718303976</v>
      </c>
    </row>
    <row r="36" spans="1:16" x14ac:dyDescent="0.3">
      <c r="A36" s="59">
        <v>39753</v>
      </c>
      <c r="B36" s="57">
        <v>35</v>
      </c>
      <c r="C36" s="60">
        <v>1170</v>
      </c>
      <c r="E36" s="30">
        <f t="shared" si="5"/>
        <v>40950</v>
      </c>
      <c r="K36" s="30">
        <f t="shared" si="1"/>
        <v>1201.7283504677225</v>
      </c>
      <c r="L36" s="57">
        <v>35</v>
      </c>
      <c r="M36" s="30">
        <f t="shared" si="2"/>
        <v>31.728350467722521</v>
      </c>
      <c r="N36" s="30">
        <v>31.728350467722521</v>
      </c>
      <c r="O36" s="30">
        <f t="shared" si="3"/>
        <v>1006.688223402628</v>
      </c>
      <c r="P36" s="30">
        <f t="shared" si="4"/>
        <v>2.7118248263010701E-2</v>
      </c>
    </row>
    <row r="37" spans="1:16" x14ac:dyDescent="0.3">
      <c r="A37" s="61">
        <v>39783</v>
      </c>
      <c r="B37" s="58">
        <v>36</v>
      </c>
      <c r="C37" s="30">
        <v>1023</v>
      </c>
      <c r="E37" s="30">
        <f t="shared" si="5"/>
        <v>36828</v>
      </c>
      <c r="K37" s="30">
        <f t="shared" si="1"/>
        <v>1210.4753913124014</v>
      </c>
      <c r="L37" s="58">
        <v>36</v>
      </c>
      <c r="M37" s="30">
        <f t="shared" si="2"/>
        <v>187.47539131240137</v>
      </c>
      <c r="N37" s="30">
        <v>187.47539131240137</v>
      </c>
      <c r="O37" s="30">
        <f t="shared" si="3"/>
        <v>35147.02234773802</v>
      </c>
      <c r="P37" s="30">
        <f t="shared" si="4"/>
        <v>0.18326040206490848</v>
      </c>
    </row>
    <row r="38" spans="1:16" x14ac:dyDescent="0.3">
      <c r="A38" s="59">
        <v>39814</v>
      </c>
      <c r="B38" s="57">
        <v>37</v>
      </c>
      <c r="C38" s="60">
        <v>951</v>
      </c>
      <c r="E38" s="30">
        <f t="shared" si="5"/>
        <v>35187</v>
      </c>
      <c r="K38" s="30">
        <f t="shared" si="1"/>
        <v>1219.2224321570807</v>
      </c>
      <c r="L38" s="57">
        <v>37</v>
      </c>
      <c r="M38" s="30">
        <f t="shared" si="2"/>
        <v>268.22243215708068</v>
      </c>
      <c r="N38" s="30">
        <v>268.22243215708068</v>
      </c>
      <c r="O38" s="30">
        <f t="shared" si="3"/>
        <v>71943.273112259747</v>
      </c>
      <c r="P38" s="30">
        <f t="shared" si="4"/>
        <v>0.28204251541228254</v>
      </c>
    </row>
    <row r="39" spans="1:16" x14ac:dyDescent="0.3">
      <c r="A39" s="61">
        <v>39845</v>
      </c>
      <c r="B39" s="58">
        <v>38</v>
      </c>
      <c r="C39" s="30">
        <v>861</v>
      </c>
      <c r="E39" s="30">
        <f t="shared" si="5"/>
        <v>32718</v>
      </c>
      <c r="K39" s="30">
        <f t="shared" si="1"/>
        <v>1227.9694730017595</v>
      </c>
      <c r="L39" s="58">
        <v>38</v>
      </c>
      <c r="M39" s="30">
        <f t="shared" si="2"/>
        <v>366.96947300175952</v>
      </c>
      <c r="N39" s="30">
        <v>366.96947300175952</v>
      </c>
      <c r="O39" s="30">
        <f t="shared" si="3"/>
        <v>134666.5941151891</v>
      </c>
      <c r="P39" s="30">
        <f t="shared" si="4"/>
        <v>0.42621309291725845</v>
      </c>
    </row>
    <row r="40" spans="1:16" x14ac:dyDescent="0.3">
      <c r="A40" s="59">
        <v>39873</v>
      </c>
      <c r="B40" s="57">
        <v>39</v>
      </c>
      <c r="C40" s="60">
        <v>938</v>
      </c>
      <c r="E40" s="30">
        <f t="shared" si="5"/>
        <v>36582</v>
      </c>
      <c r="K40" s="30">
        <f t="shared" si="1"/>
        <v>1236.7165138464388</v>
      </c>
      <c r="L40" s="57">
        <v>39</v>
      </c>
      <c r="M40" s="30">
        <f t="shared" si="2"/>
        <v>298.71651384643883</v>
      </c>
      <c r="N40" s="30">
        <v>298.71651384643883</v>
      </c>
      <c r="O40" s="30">
        <f t="shared" si="3"/>
        <v>89231.555644569686</v>
      </c>
      <c r="P40" s="30">
        <f t="shared" si="4"/>
        <v>0.31846110218170454</v>
      </c>
    </row>
    <row r="41" spans="1:16" x14ac:dyDescent="0.3">
      <c r="A41" s="61">
        <v>39904</v>
      </c>
      <c r="B41" s="58">
        <v>40</v>
      </c>
      <c r="C41" s="30">
        <v>1109</v>
      </c>
      <c r="E41" s="30">
        <f t="shared" si="5"/>
        <v>44360</v>
      </c>
      <c r="K41" s="30">
        <f t="shared" si="1"/>
        <v>1245.4635546911177</v>
      </c>
      <c r="L41" s="58">
        <v>40</v>
      </c>
      <c r="M41" s="30">
        <f t="shared" si="2"/>
        <v>136.46355469111768</v>
      </c>
      <c r="N41" s="30">
        <v>136.46355469111768</v>
      </c>
      <c r="O41" s="30">
        <f t="shared" si="3"/>
        <v>18622.301758935664</v>
      </c>
      <c r="P41" s="30">
        <f t="shared" si="4"/>
        <v>0.1230509961146237</v>
      </c>
    </row>
    <row r="42" spans="1:16" x14ac:dyDescent="0.3">
      <c r="A42" s="59">
        <v>39934</v>
      </c>
      <c r="B42" s="57">
        <v>41</v>
      </c>
      <c r="C42" s="60">
        <v>1274</v>
      </c>
      <c r="E42" s="30">
        <f t="shared" si="5"/>
        <v>52234</v>
      </c>
      <c r="K42" s="30">
        <f t="shared" si="1"/>
        <v>1254.210595535797</v>
      </c>
      <c r="L42" s="57">
        <v>41</v>
      </c>
      <c r="M42" s="30">
        <f t="shared" si="2"/>
        <v>-19.789404464203017</v>
      </c>
      <c r="N42" s="30">
        <v>19.789404464203017</v>
      </c>
      <c r="O42" s="30">
        <f t="shared" si="3"/>
        <v>391.62052904781831</v>
      </c>
      <c r="P42" s="30">
        <f t="shared" si="4"/>
        <v>1.5533284508793576E-2</v>
      </c>
    </row>
    <row r="43" spans="1:16" x14ac:dyDescent="0.3">
      <c r="A43" s="61">
        <v>39965</v>
      </c>
      <c r="B43" s="58">
        <v>42</v>
      </c>
      <c r="C43" s="30">
        <v>1422</v>
      </c>
      <c r="E43" s="30">
        <f t="shared" si="5"/>
        <v>59724</v>
      </c>
      <c r="K43" s="30">
        <f t="shared" si="1"/>
        <v>1262.9576363804758</v>
      </c>
      <c r="L43" s="58">
        <v>42</v>
      </c>
      <c r="M43" s="30">
        <f t="shared" si="2"/>
        <v>-159.04236361952417</v>
      </c>
      <c r="N43" s="30">
        <v>159.04236361952417</v>
      </c>
      <c r="O43" s="30">
        <f t="shared" si="3"/>
        <v>25294.473425684944</v>
      </c>
      <c r="P43" s="30">
        <f t="shared" si="4"/>
        <v>0.11184413756647268</v>
      </c>
    </row>
    <row r="44" spans="1:16" x14ac:dyDescent="0.3">
      <c r="A44" s="59">
        <v>39995</v>
      </c>
      <c r="B44" s="57">
        <v>43</v>
      </c>
      <c r="C44" s="60">
        <v>1486</v>
      </c>
      <c r="E44" s="30">
        <f t="shared" si="5"/>
        <v>63898</v>
      </c>
      <c r="K44" s="30">
        <f t="shared" si="1"/>
        <v>1271.7046772251551</v>
      </c>
      <c r="L44" s="57">
        <v>43</v>
      </c>
      <c r="M44" s="30">
        <f t="shared" si="2"/>
        <v>-214.29532277484486</v>
      </c>
      <c r="N44" s="30">
        <v>214.29532277484486</v>
      </c>
      <c r="O44" s="30">
        <f t="shared" si="3"/>
        <v>45922.485363174943</v>
      </c>
      <c r="P44" s="30">
        <f t="shared" si="4"/>
        <v>0.14420950388616746</v>
      </c>
    </row>
    <row r="45" spans="1:16" x14ac:dyDescent="0.3">
      <c r="A45" s="61">
        <v>40026</v>
      </c>
      <c r="B45" s="58">
        <v>44</v>
      </c>
      <c r="C45" s="30">
        <v>1555</v>
      </c>
      <c r="E45" s="30">
        <f t="shared" si="5"/>
        <v>68420</v>
      </c>
      <c r="K45" s="30">
        <f t="shared" si="1"/>
        <v>1280.451718069834</v>
      </c>
      <c r="L45" s="58">
        <v>44</v>
      </c>
      <c r="M45" s="30">
        <f t="shared" si="2"/>
        <v>-274.54828193016601</v>
      </c>
      <c r="N45" s="30">
        <v>274.54828193016601</v>
      </c>
      <c r="O45" s="30">
        <f t="shared" si="3"/>
        <v>75376.759110805928</v>
      </c>
      <c r="P45" s="30">
        <f t="shared" si="4"/>
        <v>0.17655838066248619</v>
      </c>
    </row>
    <row r="46" spans="1:16" x14ac:dyDescent="0.3">
      <c r="A46" s="59">
        <v>40057</v>
      </c>
      <c r="B46" s="57">
        <v>45</v>
      </c>
      <c r="C46" s="60">
        <v>1604</v>
      </c>
      <c r="E46" s="30">
        <f t="shared" si="5"/>
        <v>72180</v>
      </c>
      <c r="K46" s="30">
        <f t="shared" si="1"/>
        <v>1289.1987589145133</v>
      </c>
      <c r="L46" s="57">
        <v>45</v>
      </c>
      <c r="M46" s="30">
        <f t="shared" si="2"/>
        <v>-314.80124108548671</v>
      </c>
      <c r="N46" s="30">
        <v>314.80124108548671</v>
      </c>
      <c r="O46" s="30">
        <f t="shared" si="3"/>
        <v>99099.821388962722</v>
      </c>
      <c r="P46" s="30">
        <f t="shared" si="4"/>
        <v>0.19626012536501666</v>
      </c>
    </row>
    <row r="47" spans="1:16" x14ac:dyDescent="0.3">
      <c r="A47" s="61">
        <v>40087</v>
      </c>
      <c r="B47" s="58">
        <v>46</v>
      </c>
      <c r="C47" s="30">
        <v>1600</v>
      </c>
      <c r="E47" s="30">
        <f t="shared" si="5"/>
        <v>73600</v>
      </c>
      <c r="K47" s="30">
        <f t="shared" si="1"/>
        <v>1297.9457997591921</v>
      </c>
      <c r="L47" s="58">
        <v>46</v>
      </c>
      <c r="M47" s="30">
        <f t="shared" si="2"/>
        <v>-302.05420024080786</v>
      </c>
      <c r="N47" s="30">
        <v>302.05420024080786</v>
      </c>
      <c r="O47" s="30">
        <f t="shared" si="3"/>
        <v>91236.739883114045</v>
      </c>
      <c r="P47" s="30">
        <f t="shared" si="4"/>
        <v>0.1887838751505049</v>
      </c>
    </row>
    <row r="48" spans="1:16" x14ac:dyDescent="0.3">
      <c r="A48" s="59">
        <v>40118</v>
      </c>
      <c r="B48" s="57">
        <v>47</v>
      </c>
      <c r="C48" s="60">
        <v>1403</v>
      </c>
      <c r="E48" s="30">
        <f t="shared" si="5"/>
        <v>65941</v>
      </c>
      <c r="K48" s="30">
        <f t="shared" si="1"/>
        <v>1306.6928406038714</v>
      </c>
      <c r="L48" s="57">
        <v>47</v>
      </c>
      <c r="M48" s="30">
        <f t="shared" si="2"/>
        <v>-96.307159396128554</v>
      </c>
      <c r="N48" s="30">
        <v>96.307159396128554</v>
      </c>
      <c r="O48" s="30">
        <f t="shared" si="3"/>
        <v>9275.0689509513122</v>
      </c>
      <c r="P48" s="30">
        <f t="shared" si="4"/>
        <v>6.8643734423470104E-2</v>
      </c>
    </row>
    <row r="49" spans="1:16" x14ac:dyDescent="0.3">
      <c r="A49" s="61">
        <v>40148</v>
      </c>
      <c r="B49" s="58">
        <v>48</v>
      </c>
      <c r="C49" s="30">
        <v>1209</v>
      </c>
      <c r="E49" s="30">
        <f t="shared" si="5"/>
        <v>58032</v>
      </c>
      <c r="K49" s="30">
        <f t="shared" si="1"/>
        <v>1315.4398814485503</v>
      </c>
      <c r="L49" s="58">
        <v>48</v>
      </c>
      <c r="M49" s="30">
        <f t="shared" si="2"/>
        <v>106.4398814485503</v>
      </c>
      <c r="N49" s="30">
        <v>106.4398814485503</v>
      </c>
      <c r="O49" s="30">
        <f t="shared" si="3"/>
        <v>11329.448362781441</v>
      </c>
      <c r="P49" s="30">
        <f t="shared" si="4"/>
        <v>8.8039604175806696E-2</v>
      </c>
    </row>
    <row r="50" spans="1:16" x14ac:dyDescent="0.3">
      <c r="A50" s="59">
        <v>40179</v>
      </c>
      <c r="B50" s="57">
        <v>49</v>
      </c>
      <c r="C50" s="60">
        <v>1030</v>
      </c>
      <c r="E50" s="30">
        <f t="shared" si="5"/>
        <v>50470</v>
      </c>
      <c r="K50" s="30">
        <f t="shared" si="1"/>
        <v>1324.1869222932296</v>
      </c>
      <c r="L50" s="57">
        <v>49</v>
      </c>
      <c r="M50" s="30">
        <f t="shared" si="2"/>
        <v>294.1869222932296</v>
      </c>
      <c r="N50" s="30">
        <v>294.1869222932296</v>
      </c>
      <c r="O50" s="30">
        <f t="shared" si="3"/>
        <v>86545.94524836271</v>
      </c>
      <c r="P50" s="30">
        <f t="shared" si="4"/>
        <v>0.28561837115847533</v>
      </c>
    </row>
    <row r="51" spans="1:16" x14ac:dyDescent="0.3">
      <c r="A51" s="61">
        <v>40210</v>
      </c>
      <c r="B51" s="58">
        <v>50</v>
      </c>
      <c r="C51" s="30">
        <v>1032</v>
      </c>
      <c r="E51" s="30">
        <f t="shared" si="5"/>
        <v>51600</v>
      </c>
      <c r="K51" s="30">
        <f t="shared" si="1"/>
        <v>1332.9339631379084</v>
      </c>
      <c r="L51" s="58">
        <v>50</v>
      </c>
      <c r="M51" s="30">
        <f t="shared" si="2"/>
        <v>300.93396313790845</v>
      </c>
      <c r="N51" s="30">
        <v>300.93396313790845</v>
      </c>
      <c r="O51" s="30">
        <f t="shared" si="3"/>
        <v>90561.250169888037</v>
      </c>
      <c r="P51" s="30">
        <f t="shared" si="4"/>
        <v>0.29160267745921359</v>
      </c>
    </row>
    <row r="52" spans="1:16" x14ac:dyDescent="0.3">
      <c r="A52" s="59">
        <v>40238</v>
      </c>
      <c r="B52" s="57">
        <v>51</v>
      </c>
      <c r="C52" s="60">
        <v>1126</v>
      </c>
      <c r="E52" s="30">
        <f t="shared" si="5"/>
        <v>57426</v>
      </c>
      <c r="K52" s="30">
        <f t="shared" si="1"/>
        <v>1341.6810039825878</v>
      </c>
      <c r="L52" s="57">
        <v>51</v>
      </c>
      <c r="M52" s="30">
        <f t="shared" si="2"/>
        <v>215.68100398258775</v>
      </c>
      <c r="N52" s="30">
        <v>215.68100398258775</v>
      </c>
      <c r="O52" s="30">
        <f t="shared" si="3"/>
        <v>46518.295478937034</v>
      </c>
      <c r="P52" s="30">
        <f t="shared" si="4"/>
        <v>0.19154618470922535</v>
      </c>
    </row>
    <row r="53" spans="1:16" x14ac:dyDescent="0.3">
      <c r="A53" s="61">
        <v>40269</v>
      </c>
      <c r="B53" s="58">
        <v>52</v>
      </c>
      <c r="C53" s="30">
        <v>1285</v>
      </c>
      <c r="E53" s="30">
        <f t="shared" si="5"/>
        <v>66820</v>
      </c>
      <c r="K53" s="30">
        <f t="shared" si="1"/>
        <v>1350.4280448272666</v>
      </c>
      <c r="L53" s="58">
        <v>52</v>
      </c>
      <c r="M53" s="30">
        <f t="shared" si="2"/>
        <v>65.428044827266604</v>
      </c>
      <c r="N53" s="30">
        <v>65.428044827266604</v>
      </c>
      <c r="O53" s="30">
        <f t="shared" si="3"/>
        <v>4280.8290499188079</v>
      </c>
      <c r="P53" s="30">
        <f t="shared" si="4"/>
        <v>5.0916766402542106E-2</v>
      </c>
    </row>
    <row r="54" spans="1:16" x14ac:dyDescent="0.3">
      <c r="A54" s="59">
        <v>40299</v>
      </c>
      <c r="B54" s="57">
        <v>53</v>
      </c>
      <c r="C54" s="60">
        <v>1468</v>
      </c>
      <c r="E54" s="30">
        <f t="shared" si="5"/>
        <v>77804</v>
      </c>
      <c r="K54" s="30">
        <f t="shared" si="1"/>
        <v>1359.1750856719459</v>
      </c>
      <c r="L54" s="57">
        <v>53</v>
      </c>
      <c r="M54" s="30">
        <f t="shared" si="2"/>
        <v>-108.82491432805409</v>
      </c>
      <c r="N54" s="30">
        <v>108.82491432805409</v>
      </c>
      <c r="O54" s="30">
        <f t="shared" si="3"/>
        <v>11842.861978508312</v>
      </c>
      <c r="P54" s="30">
        <f t="shared" si="4"/>
        <v>7.4131413030009599E-2</v>
      </c>
    </row>
    <row r="55" spans="1:16" x14ac:dyDescent="0.3">
      <c r="A55" s="61">
        <v>40330</v>
      </c>
      <c r="B55" s="58">
        <v>54</v>
      </c>
      <c r="C55" s="30">
        <v>1637</v>
      </c>
      <c r="E55" s="30">
        <f t="shared" si="5"/>
        <v>88398</v>
      </c>
      <c r="K55" s="30">
        <f t="shared" si="1"/>
        <v>1367.9221265166248</v>
      </c>
      <c r="L55" s="58">
        <v>54</v>
      </c>
      <c r="M55" s="30">
        <f t="shared" si="2"/>
        <v>-269.07787348337524</v>
      </c>
      <c r="N55" s="30">
        <v>269.07787348337524</v>
      </c>
      <c r="O55" s="30">
        <f t="shared" si="3"/>
        <v>72402.901998335292</v>
      </c>
      <c r="P55" s="30">
        <f t="shared" si="4"/>
        <v>0.16437255557933736</v>
      </c>
    </row>
    <row r="56" spans="1:16" x14ac:dyDescent="0.3">
      <c r="A56" s="59">
        <v>40360</v>
      </c>
      <c r="B56" s="57">
        <v>55</v>
      </c>
      <c r="C56" s="60">
        <v>1611</v>
      </c>
      <c r="E56" s="30">
        <f t="shared" si="5"/>
        <v>88605</v>
      </c>
      <c r="K56" s="30">
        <f t="shared" si="1"/>
        <v>1376.6691673613041</v>
      </c>
      <c r="L56" s="57">
        <v>55</v>
      </c>
      <c r="M56" s="30">
        <f t="shared" si="2"/>
        <v>-234.33083263869594</v>
      </c>
      <c r="N56" s="30">
        <v>234.33083263869594</v>
      </c>
      <c r="O56" s="30">
        <f t="shared" si="3"/>
        <v>54910.939125144527</v>
      </c>
      <c r="P56" s="30">
        <f t="shared" si="4"/>
        <v>0.14545675520713591</v>
      </c>
    </row>
    <row r="57" spans="1:16" x14ac:dyDescent="0.3">
      <c r="A57" s="61">
        <v>40391</v>
      </c>
      <c r="B57" s="58">
        <v>56</v>
      </c>
      <c r="C57" s="30">
        <v>1608</v>
      </c>
      <c r="E57" s="30">
        <f t="shared" si="5"/>
        <v>90048</v>
      </c>
      <c r="K57" s="30">
        <f t="shared" si="1"/>
        <v>1385.4162082059829</v>
      </c>
      <c r="L57" s="58">
        <v>56</v>
      </c>
      <c r="M57" s="30">
        <f t="shared" si="2"/>
        <v>-222.58379179401709</v>
      </c>
      <c r="N57" s="30">
        <v>222.58379179401709</v>
      </c>
      <c r="O57" s="30">
        <f t="shared" si="3"/>
        <v>49543.544369402349</v>
      </c>
      <c r="P57" s="30">
        <f t="shared" si="4"/>
        <v>0.13842275609080665</v>
      </c>
    </row>
    <row r="58" spans="1:16" x14ac:dyDescent="0.3">
      <c r="A58" s="59">
        <v>40422</v>
      </c>
      <c r="B58" s="57">
        <v>57</v>
      </c>
      <c r="C58" s="60">
        <v>1528</v>
      </c>
      <c r="E58" s="30">
        <f t="shared" si="5"/>
        <v>87096</v>
      </c>
      <c r="K58" s="30">
        <f t="shared" si="1"/>
        <v>1394.1632490506622</v>
      </c>
      <c r="L58" s="57">
        <v>57</v>
      </c>
      <c r="M58" s="30">
        <f t="shared" si="2"/>
        <v>-133.83675094933778</v>
      </c>
      <c r="N58" s="30">
        <v>133.83675094933778</v>
      </c>
      <c r="O58" s="30">
        <f t="shared" si="3"/>
        <v>17912.275904675069</v>
      </c>
      <c r="P58" s="30">
        <f t="shared" si="4"/>
        <v>8.7589496694592789E-2</v>
      </c>
    </row>
    <row r="59" spans="1:16" x14ac:dyDescent="0.3">
      <c r="A59" s="61">
        <v>40452</v>
      </c>
      <c r="B59" s="58">
        <v>58</v>
      </c>
      <c r="C59" s="30">
        <v>1420</v>
      </c>
      <c r="E59" s="30">
        <f t="shared" si="5"/>
        <v>82360</v>
      </c>
      <c r="K59" s="30">
        <f t="shared" si="1"/>
        <v>1402.9102898953411</v>
      </c>
      <c r="L59" s="58">
        <v>58</v>
      </c>
      <c r="M59" s="30">
        <f t="shared" si="2"/>
        <v>-17.089710104658934</v>
      </c>
      <c r="N59" s="30">
        <v>17.089710104658934</v>
      </c>
      <c r="O59" s="30">
        <f t="shared" si="3"/>
        <v>292.05819146128169</v>
      </c>
      <c r="P59" s="30">
        <f t="shared" si="4"/>
        <v>1.2035007115956996E-2</v>
      </c>
    </row>
    <row r="60" spans="1:16" x14ac:dyDescent="0.3">
      <c r="A60" s="59">
        <v>40483</v>
      </c>
      <c r="B60" s="57">
        <v>59</v>
      </c>
      <c r="C60" s="60">
        <v>1119</v>
      </c>
      <c r="E60" s="30">
        <f t="shared" si="5"/>
        <v>66021</v>
      </c>
      <c r="K60" s="30">
        <f t="shared" si="1"/>
        <v>1411.6573307400204</v>
      </c>
      <c r="L60" s="57">
        <v>59</v>
      </c>
      <c r="M60" s="30">
        <f t="shared" si="2"/>
        <v>292.65733074002037</v>
      </c>
      <c r="N60" s="30">
        <v>292.65733074002037</v>
      </c>
      <c r="O60" s="30">
        <f t="shared" si="3"/>
        <v>85648.313235873677</v>
      </c>
      <c r="P60" s="30">
        <f t="shared" si="4"/>
        <v>0.2615347012868815</v>
      </c>
    </row>
    <row r="61" spans="1:16" x14ac:dyDescent="0.3">
      <c r="A61" s="61">
        <v>40513</v>
      </c>
      <c r="B61" s="58">
        <v>60</v>
      </c>
      <c r="C61" s="30">
        <v>1013</v>
      </c>
      <c r="E61" s="30">
        <f t="shared" si="5"/>
        <v>60780</v>
      </c>
      <c r="K61" s="30">
        <f t="shared" si="1"/>
        <v>1420.4043715846992</v>
      </c>
      <c r="L61" s="58">
        <v>60</v>
      </c>
      <c r="M61" s="30">
        <f t="shared" si="2"/>
        <v>407.40437158469922</v>
      </c>
      <c r="N61" s="30">
        <v>407.40437158469922</v>
      </c>
      <c r="O61" s="30">
        <f t="shared" si="3"/>
        <v>165978.32198632369</v>
      </c>
      <c r="P61" s="30">
        <f t="shared" si="4"/>
        <v>0.40217608251204268</v>
      </c>
    </row>
    <row r="62" spans="1:16" x14ac:dyDescent="0.3">
      <c r="A62" s="30" t="s">
        <v>95</v>
      </c>
      <c r="B62" s="30"/>
      <c r="C62" s="30">
        <f>SUM(C2:C61)</f>
        <v>69742</v>
      </c>
      <c r="D62" t="s">
        <v>95</v>
      </c>
      <c r="E62" s="30">
        <f>SUM(E2:E61)</f>
        <v>2284534</v>
      </c>
    </row>
    <row r="84" spans="5:10" ht="15" thickBot="1" x14ac:dyDescent="0.35">
      <c r="E84" s="16"/>
      <c r="F84" s="16"/>
      <c r="G84" s="16"/>
      <c r="I84" s="16"/>
      <c r="J84" s="16"/>
    </row>
  </sheetData>
  <sortState xmlns:xlrd2="http://schemas.microsoft.com/office/spreadsheetml/2017/richdata2" ref="J25:J84">
    <sortCondition ref="J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5C600-F26A-4ABA-8497-DBE61FEE41EF}">
  <dimension ref="A1:AA37"/>
  <sheetViews>
    <sheetView zoomScale="71" zoomScaleNormal="85" workbookViewId="0">
      <selection activeCell="H6" sqref="H6"/>
    </sheetView>
  </sheetViews>
  <sheetFormatPr defaultRowHeight="14.4" x14ac:dyDescent="0.3"/>
  <cols>
    <col min="7" max="7" width="17" customWidth="1"/>
    <col min="11" max="11" width="12.6640625" customWidth="1"/>
    <col min="18" max="18" width="11.21875" bestFit="1" customWidth="1"/>
  </cols>
  <sheetData>
    <row r="1" spans="1:27" ht="17.399999999999999" x14ac:dyDescent="0.3">
      <c r="A1" s="38" t="s">
        <v>0</v>
      </c>
      <c r="B1" s="72" t="s">
        <v>19</v>
      </c>
      <c r="C1" s="38" t="s">
        <v>92</v>
      </c>
      <c r="E1" s="42" t="s">
        <v>21</v>
      </c>
      <c r="F1" s="42" t="s">
        <v>40</v>
      </c>
      <c r="G1" s="42" t="s">
        <v>41</v>
      </c>
      <c r="H1" s="67" t="s">
        <v>34</v>
      </c>
      <c r="I1">
        <v>0.2</v>
      </c>
      <c r="K1" s="65" t="s">
        <v>0</v>
      </c>
      <c r="L1" s="71" t="s">
        <v>94</v>
      </c>
      <c r="M1" s="65" t="s">
        <v>21</v>
      </c>
      <c r="O1" s="63" t="s">
        <v>38</v>
      </c>
      <c r="P1" s="63" t="s">
        <v>97</v>
      </c>
      <c r="Q1" s="63" t="s">
        <v>96</v>
      </c>
      <c r="R1" s="63" t="s">
        <v>98</v>
      </c>
      <c r="S1" s="63" t="s">
        <v>99</v>
      </c>
      <c r="T1" s="63" t="s">
        <v>100</v>
      </c>
      <c r="U1" s="63" t="s">
        <v>103</v>
      </c>
      <c r="V1" s="63" t="s">
        <v>104</v>
      </c>
      <c r="W1" s="63" t="s">
        <v>110</v>
      </c>
      <c r="X1" s="63" t="s">
        <v>106</v>
      </c>
      <c r="Y1" s="63" t="s">
        <v>107</v>
      </c>
      <c r="Z1" s="63" t="s">
        <v>108</v>
      </c>
      <c r="AA1" s="63" t="s">
        <v>109</v>
      </c>
    </row>
    <row r="2" spans="1:27" ht="17.399999999999999" x14ac:dyDescent="0.3">
      <c r="A2" s="10">
        <v>39448</v>
      </c>
      <c r="B2" s="12">
        <v>25</v>
      </c>
      <c r="C2" s="2">
        <v>896</v>
      </c>
      <c r="E2" s="30">
        <v>849.721</v>
      </c>
      <c r="F2" s="30">
        <v>13.4757</v>
      </c>
      <c r="G2" s="30">
        <f>E2+F2</f>
        <v>863.19669999999996</v>
      </c>
      <c r="H2" s="67" t="s">
        <v>39</v>
      </c>
      <c r="I2">
        <v>0.1</v>
      </c>
      <c r="K2" s="59">
        <v>38718</v>
      </c>
      <c r="L2" s="54">
        <v>1</v>
      </c>
      <c r="M2" s="60">
        <v>742</v>
      </c>
      <c r="O2" s="30">
        <f t="shared" ref="O2:O25" si="0">M2*L2</f>
        <v>742</v>
      </c>
      <c r="P2" s="30">
        <v>24</v>
      </c>
      <c r="Q2" s="30">
        <f>((24^2*(25)*49)/6)-((24^2*(25^2))/4)</f>
        <v>27600</v>
      </c>
      <c r="R2" s="52">
        <f>24*O26-((24*25)/2)*M26</f>
        <v>371928</v>
      </c>
      <c r="S2" s="30">
        <f>R2/Q2</f>
        <v>13.475652173913044</v>
      </c>
      <c r="T2" s="53">
        <f>((1/24)*M26)-((S2*25)/2)</f>
        <v>849.72101449275351</v>
      </c>
      <c r="U2" s="30">
        <f>G2-C2</f>
        <v>-32.803300000000036</v>
      </c>
      <c r="V2" s="30">
        <f>ABS(U2)</f>
        <v>32.803300000000036</v>
      </c>
      <c r="W2" s="30">
        <f>U2^2</f>
        <v>1076.0564908900024</v>
      </c>
      <c r="X2" s="30">
        <f>ABS(U2/C2)</f>
        <v>3.6610825892857184E-2</v>
      </c>
      <c r="Y2" s="51">
        <f>AVERAGE(V2:V37)</f>
        <v>170.82236414428559</v>
      </c>
      <c r="Z2" s="30">
        <f>AVERAGE(W2:W37)</f>
        <v>40745.937784362002</v>
      </c>
      <c r="AA2" s="70">
        <f>AVERAGE(X2:X37)</f>
        <v>0.14724779628709572</v>
      </c>
    </row>
    <row r="3" spans="1:27" x14ac:dyDescent="0.3">
      <c r="A3" s="4">
        <v>39479</v>
      </c>
      <c r="B3" s="8">
        <v>26</v>
      </c>
      <c r="C3">
        <v>793</v>
      </c>
      <c r="E3" s="30">
        <f>$I$1*C3+(1-$I$1)*(E2+F2)</f>
        <v>849.15736000000004</v>
      </c>
      <c r="F3" s="30">
        <f>$I$2*(E3-E2)+(1-$I$2)*F2</f>
        <v>12.071766000000004</v>
      </c>
      <c r="G3" s="30">
        <f>E3+F3</f>
        <v>861.22912600000006</v>
      </c>
      <c r="K3" s="61">
        <v>38749</v>
      </c>
      <c r="L3" s="56">
        <v>2</v>
      </c>
      <c r="M3" s="30">
        <v>697</v>
      </c>
      <c r="O3" s="30">
        <f t="shared" si="0"/>
        <v>1394</v>
      </c>
      <c r="U3" s="30">
        <f t="shared" ref="U3:U37" si="1">G3-C3</f>
        <v>68.229126000000065</v>
      </c>
      <c r="V3" s="30">
        <f t="shared" ref="V3:V37" si="2">ABS(U3)</f>
        <v>68.229126000000065</v>
      </c>
      <c r="W3" s="30">
        <f t="shared" ref="W3:W37" si="3">U3^2</f>
        <v>4655.2136347238848</v>
      </c>
      <c r="X3" s="30">
        <f t="shared" ref="X3:X37" si="4">ABS(U3/C3)</f>
        <v>8.6039250945775622E-2</v>
      </c>
    </row>
    <row r="4" spans="1:27" x14ac:dyDescent="0.3">
      <c r="A4" s="10">
        <v>39508</v>
      </c>
      <c r="B4" s="12">
        <v>27</v>
      </c>
      <c r="C4" s="2">
        <v>885</v>
      </c>
      <c r="E4" s="30">
        <f t="shared" ref="E4:E37" si="5">$I$1*C4+(1-$I$1)*(E3+F3)</f>
        <v>865.98330080000005</v>
      </c>
      <c r="F4" s="30">
        <f t="shared" ref="F4:F37" si="6">$I$2*(E4-E3)+(1-$I$2)*F3</f>
        <v>12.547183480000005</v>
      </c>
      <c r="G4" s="30">
        <f>E4+F4</f>
        <v>878.53048428000011</v>
      </c>
      <c r="K4" s="59">
        <v>38777</v>
      </c>
      <c r="L4" s="57">
        <v>3</v>
      </c>
      <c r="M4" s="60">
        <v>776</v>
      </c>
      <c r="O4" s="30">
        <f t="shared" si="0"/>
        <v>2328</v>
      </c>
      <c r="U4" s="30">
        <f t="shared" si="1"/>
        <v>-6.4695157199998903</v>
      </c>
      <c r="V4" s="30">
        <f t="shared" si="2"/>
        <v>6.4695157199998903</v>
      </c>
      <c r="W4" s="30">
        <f t="shared" si="3"/>
        <v>41.854633651325699</v>
      </c>
      <c r="X4" s="30">
        <f t="shared" si="4"/>
        <v>7.3101872542371644E-3</v>
      </c>
    </row>
    <row r="5" spans="1:27" x14ac:dyDescent="0.3">
      <c r="A5" s="4">
        <v>39539</v>
      </c>
      <c r="B5" s="8">
        <v>28</v>
      </c>
      <c r="C5">
        <v>1055</v>
      </c>
      <c r="E5" s="30">
        <f t="shared" si="5"/>
        <v>913.82438742400018</v>
      </c>
      <c r="F5" s="30">
        <f t="shared" si="6"/>
        <v>16.076573794400016</v>
      </c>
      <c r="G5" s="30">
        <f>E5+F5</f>
        <v>929.9009612184002</v>
      </c>
      <c r="K5" s="61">
        <v>38808</v>
      </c>
      <c r="L5" s="58">
        <v>4</v>
      </c>
      <c r="M5" s="30">
        <v>898</v>
      </c>
      <c r="O5" s="30">
        <f t="shared" si="0"/>
        <v>3592</v>
      </c>
      <c r="U5" s="30">
        <f t="shared" si="1"/>
        <v>-125.0990387815998</v>
      </c>
      <c r="V5" s="30">
        <f t="shared" si="2"/>
        <v>125.0990387815998</v>
      </c>
      <c r="W5" s="30">
        <f t="shared" si="3"/>
        <v>15649.769504080212</v>
      </c>
      <c r="X5" s="30">
        <f t="shared" si="4"/>
        <v>0.11857728794464437</v>
      </c>
    </row>
    <row r="6" spans="1:27" x14ac:dyDescent="0.3">
      <c r="A6" s="10">
        <v>39569</v>
      </c>
      <c r="B6" s="12">
        <v>29</v>
      </c>
      <c r="C6" s="2">
        <v>1204</v>
      </c>
      <c r="E6" s="30">
        <f t="shared" si="5"/>
        <v>984.72076897472016</v>
      </c>
      <c r="F6" s="30">
        <f t="shared" si="6"/>
        <v>21.558554570032015</v>
      </c>
      <c r="G6" s="30">
        <f>E6+F6</f>
        <v>1006.2793235447522</v>
      </c>
      <c r="K6" s="59">
        <v>38838</v>
      </c>
      <c r="L6" s="57">
        <v>5</v>
      </c>
      <c r="M6" s="60">
        <v>1030</v>
      </c>
      <c r="O6" s="30">
        <f t="shared" si="0"/>
        <v>5150</v>
      </c>
      <c r="U6" s="30">
        <f t="shared" si="1"/>
        <v>-197.72067645524783</v>
      </c>
      <c r="V6" s="30">
        <f t="shared" si="2"/>
        <v>197.72067645524783</v>
      </c>
      <c r="W6" s="30">
        <f t="shared" si="3"/>
        <v>39093.465897920789</v>
      </c>
      <c r="X6" s="30">
        <f t="shared" si="4"/>
        <v>0.16421983094289686</v>
      </c>
    </row>
    <row r="7" spans="1:27" x14ac:dyDescent="0.3">
      <c r="A7" s="4">
        <v>39600</v>
      </c>
      <c r="B7" s="8">
        <v>30</v>
      </c>
      <c r="C7">
        <v>1326</v>
      </c>
      <c r="E7" s="30">
        <f t="shared" si="5"/>
        <v>1070.2234588358017</v>
      </c>
      <c r="F7" s="30">
        <f t="shared" si="6"/>
        <v>27.952968099136967</v>
      </c>
      <c r="G7" s="30">
        <f>E7+F7</f>
        <v>1098.1764269349387</v>
      </c>
      <c r="K7" s="61">
        <v>38869</v>
      </c>
      <c r="L7" s="58">
        <v>6</v>
      </c>
      <c r="M7" s="30">
        <v>1107</v>
      </c>
      <c r="O7" s="30">
        <f t="shared" si="0"/>
        <v>6642</v>
      </c>
      <c r="U7" s="30">
        <f t="shared" si="1"/>
        <v>-227.82357306506128</v>
      </c>
      <c r="V7" s="30">
        <f t="shared" si="2"/>
        <v>227.82357306506128</v>
      </c>
      <c r="W7" s="30">
        <f t="shared" si="3"/>
        <v>51903.580444131316</v>
      </c>
      <c r="X7" s="30">
        <f t="shared" si="4"/>
        <v>0.1718126493703328</v>
      </c>
    </row>
    <row r="8" spans="1:27" x14ac:dyDescent="0.3">
      <c r="A8" s="10">
        <v>39630</v>
      </c>
      <c r="B8" s="12">
        <v>31</v>
      </c>
      <c r="C8" s="2">
        <v>1303</v>
      </c>
      <c r="E8" s="30">
        <f t="shared" si="5"/>
        <v>1139.1411415479511</v>
      </c>
      <c r="F8" s="30">
        <f t="shared" si="6"/>
        <v>32.049439560438209</v>
      </c>
      <c r="G8" s="30">
        <f>E8+F8</f>
        <v>1171.1905811083893</v>
      </c>
      <c r="K8" s="59">
        <v>38899</v>
      </c>
      <c r="L8" s="57">
        <v>7</v>
      </c>
      <c r="M8" s="60">
        <v>1165</v>
      </c>
      <c r="O8" s="30">
        <f t="shared" si="0"/>
        <v>8155</v>
      </c>
      <c r="U8" s="30">
        <f t="shared" si="1"/>
        <v>-131.80941889161068</v>
      </c>
      <c r="V8" s="30">
        <f t="shared" si="2"/>
        <v>131.80941889161068</v>
      </c>
      <c r="W8" s="30">
        <f t="shared" si="3"/>
        <v>17373.722908544092</v>
      </c>
      <c r="X8" s="30">
        <f t="shared" si="4"/>
        <v>0.10115841818235662</v>
      </c>
    </row>
    <row r="9" spans="1:27" x14ac:dyDescent="0.3">
      <c r="A9" s="4">
        <v>39661</v>
      </c>
      <c r="B9" s="8">
        <v>32</v>
      </c>
      <c r="C9">
        <v>1436</v>
      </c>
      <c r="E9" s="30">
        <f t="shared" si="5"/>
        <v>1224.1524648867114</v>
      </c>
      <c r="F9" s="30">
        <f t="shared" si="6"/>
        <v>37.345627938270425</v>
      </c>
      <c r="G9" s="30">
        <f>E9+F9</f>
        <v>1261.4980928249818</v>
      </c>
      <c r="K9" s="61">
        <v>38930</v>
      </c>
      <c r="L9" s="58">
        <v>8</v>
      </c>
      <c r="M9" s="30">
        <v>1216</v>
      </c>
      <c r="O9" s="30">
        <f t="shared" si="0"/>
        <v>9728</v>
      </c>
      <c r="U9" s="30">
        <f t="shared" si="1"/>
        <v>-174.50190717501823</v>
      </c>
      <c r="V9" s="30">
        <f t="shared" si="2"/>
        <v>174.50190717501823</v>
      </c>
      <c r="W9" s="30">
        <f t="shared" si="3"/>
        <v>30450.915607718678</v>
      </c>
      <c r="X9" s="30">
        <f t="shared" si="4"/>
        <v>0.12151943396589013</v>
      </c>
    </row>
    <row r="10" spans="1:27" x14ac:dyDescent="0.3">
      <c r="A10" s="10">
        <v>39692</v>
      </c>
      <c r="B10" s="12">
        <v>33</v>
      </c>
      <c r="C10" s="2">
        <v>1473</v>
      </c>
      <c r="E10" s="30">
        <f t="shared" si="5"/>
        <v>1303.7984742599856</v>
      </c>
      <c r="F10" s="30">
        <f t="shared" si="6"/>
        <v>41.575666081770805</v>
      </c>
      <c r="G10" s="30">
        <f>E10+F10</f>
        <v>1345.3741403417564</v>
      </c>
      <c r="K10" s="59">
        <v>38961</v>
      </c>
      <c r="L10" s="57">
        <v>9</v>
      </c>
      <c r="M10" s="60">
        <v>1208</v>
      </c>
      <c r="O10" s="30">
        <f t="shared" si="0"/>
        <v>10872</v>
      </c>
      <c r="U10" s="30">
        <f t="shared" si="1"/>
        <v>-127.6258596582436</v>
      </c>
      <c r="V10" s="30">
        <f t="shared" si="2"/>
        <v>127.6258596582436</v>
      </c>
      <c r="W10" s="30">
        <f t="shared" si="3"/>
        <v>16288.36005350569</v>
      </c>
      <c r="X10" s="30">
        <f t="shared" si="4"/>
        <v>8.6643489245243455E-2</v>
      </c>
    </row>
    <row r="11" spans="1:27" x14ac:dyDescent="0.3">
      <c r="A11" s="4">
        <v>39722</v>
      </c>
      <c r="B11" s="8">
        <v>34</v>
      </c>
      <c r="C11">
        <v>1453</v>
      </c>
      <c r="E11" s="30">
        <f t="shared" si="5"/>
        <v>1366.899312273405</v>
      </c>
      <c r="F11" s="30">
        <f t="shared" si="6"/>
        <v>43.728183274935674</v>
      </c>
      <c r="G11" s="30">
        <f>E11+F11</f>
        <v>1410.6274955483407</v>
      </c>
      <c r="K11" s="61">
        <v>38991</v>
      </c>
      <c r="L11" s="58">
        <v>10</v>
      </c>
      <c r="M11" s="30">
        <v>1131</v>
      </c>
      <c r="O11" s="30">
        <f t="shared" si="0"/>
        <v>11310</v>
      </c>
      <c r="U11" s="30">
        <f t="shared" si="1"/>
        <v>-42.372504451659324</v>
      </c>
      <c r="V11" s="30">
        <f t="shared" si="2"/>
        <v>42.372504451659324</v>
      </c>
      <c r="W11" s="30">
        <f t="shared" si="3"/>
        <v>1795.4291335058892</v>
      </c>
      <c r="X11" s="30">
        <f t="shared" si="4"/>
        <v>2.9162081522133051E-2</v>
      </c>
    </row>
    <row r="12" spans="1:27" x14ac:dyDescent="0.3">
      <c r="A12" s="10">
        <v>39753</v>
      </c>
      <c r="B12" s="12">
        <v>35</v>
      </c>
      <c r="C12" s="2">
        <v>1170</v>
      </c>
      <c r="E12" s="30">
        <f t="shared" si="5"/>
        <v>1362.5019964386727</v>
      </c>
      <c r="F12" s="30">
        <f t="shared" si="6"/>
        <v>38.915633363968873</v>
      </c>
      <c r="G12" s="30">
        <f>E12+F12</f>
        <v>1401.4176298026416</v>
      </c>
      <c r="K12" s="59">
        <v>39022</v>
      </c>
      <c r="L12" s="57">
        <v>11</v>
      </c>
      <c r="M12" s="60">
        <v>971</v>
      </c>
      <c r="O12" s="30">
        <f t="shared" si="0"/>
        <v>10681</v>
      </c>
      <c r="U12" s="30">
        <f t="shared" si="1"/>
        <v>231.41762980264161</v>
      </c>
      <c r="V12" s="30">
        <f t="shared" si="2"/>
        <v>231.41762980264161</v>
      </c>
      <c r="W12" s="30">
        <f t="shared" si="3"/>
        <v>53554.119383472476</v>
      </c>
      <c r="X12" s="30">
        <f t="shared" si="4"/>
        <v>0.19779284598516378</v>
      </c>
    </row>
    <row r="13" spans="1:27" x14ac:dyDescent="0.3">
      <c r="A13" s="4">
        <v>39783</v>
      </c>
      <c r="B13" s="8">
        <v>36</v>
      </c>
      <c r="C13">
        <v>1023</v>
      </c>
      <c r="E13" s="30">
        <f t="shared" si="5"/>
        <v>1325.7341038421132</v>
      </c>
      <c r="F13" s="30">
        <f t="shared" si="6"/>
        <v>31.34728076791604</v>
      </c>
      <c r="G13" s="30">
        <f>E13+F13</f>
        <v>1357.0813846100293</v>
      </c>
      <c r="K13" s="61">
        <v>39052</v>
      </c>
      <c r="L13" s="58">
        <v>12</v>
      </c>
      <c r="M13" s="30">
        <v>783</v>
      </c>
      <c r="O13" s="30">
        <f t="shared" si="0"/>
        <v>9396</v>
      </c>
      <c r="U13" s="30">
        <f t="shared" si="1"/>
        <v>334.08138461002932</v>
      </c>
      <c r="V13" s="30">
        <f t="shared" si="2"/>
        <v>334.08138461002932</v>
      </c>
      <c r="W13" s="30">
        <f t="shared" si="3"/>
        <v>111610.37154295434</v>
      </c>
      <c r="X13" s="30">
        <f t="shared" si="4"/>
        <v>0.32657026843600129</v>
      </c>
    </row>
    <row r="14" spans="1:27" x14ac:dyDescent="0.3">
      <c r="A14" s="10">
        <v>39814</v>
      </c>
      <c r="B14" s="12">
        <v>37</v>
      </c>
      <c r="C14" s="2">
        <v>951</v>
      </c>
      <c r="E14" s="30">
        <f t="shared" si="5"/>
        <v>1275.8651076880235</v>
      </c>
      <c r="F14" s="30">
        <f t="shared" si="6"/>
        <v>23.225653075715467</v>
      </c>
      <c r="G14" s="30">
        <f>E14+F14</f>
        <v>1299.0907607637389</v>
      </c>
      <c r="K14" s="59">
        <v>39083</v>
      </c>
      <c r="L14" s="57">
        <v>13</v>
      </c>
      <c r="M14" s="60">
        <v>741</v>
      </c>
      <c r="O14" s="30">
        <f t="shared" si="0"/>
        <v>9633</v>
      </c>
      <c r="U14" s="30">
        <f t="shared" si="1"/>
        <v>348.0907607637389</v>
      </c>
      <c r="V14" s="30">
        <f t="shared" si="2"/>
        <v>348.0907607637389</v>
      </c>
      <c r="W14" s="30">
        <f t="shared" si="3"/>
        <v>121167.17772907851</v>
      </c>
      <c r="X14" s="30">
        <f t="shared" si="4"/>
        <v>0.36602603655493049</v>
      </c>
    </row>
    <row r="15" spans="1:27" x14ac:dyDescent="0.3">
      <c r="A15" s="4">
        <v>39845</v>
      </c>
      <c r="B15" s="8">
        <v>38</v>
      </c>
      <c r="C15">
        <v>861</v>
      </c>
      <c r="E15" s="30">
        <f t="shared" si="5"/>
        <v>1211.4726086109913</v>
      </c>
      <c r="F15" s="30">
        <f t="shared" si="6"/>
        <v>14.463837860440698</v>
      </c>
      <c r="G15" s="30">
        <f>E15+F15</f>
        <v>1225.936446471432</v>
      </c>
      <c r="K15" s="61">
        <v>39114</v>
      </c>
      <c r="L15" s="58">
        <v>14</v>
      </c>
      <c r="M15" s="30">
        <v>700</v>
      </c>
      <c r="O15" s="30">
        <f t="shared" si="0"/>
        <v>9800</v>
      </c>
      <c r="U15" s="30">
        <f t="shared" si="1"/>
        <v>364.93644647143196</v>
      </c>
      <c r="V15" s="30">
        <f t="shared" si="2"/>
        <v>364.93644647143196</v>
      </c>
      <c r="W15" s="30">
        <f t="shared" si="3"/>
        <v>133178.60996319633</v>
      </c>
      <c r="X15" s="30">
        <f t="shared" si="4"/>
        <v>0.42385185420607663</v>
      </c>
    </row>
    <row r="16" spans="1:27" x14ac:dyDescent="0.3">
      <c r="A16" s="10">
        <v>39873</v>
      </c>
      <c r="B16" s="12">
        <v>39</v>
      </c>
      <c r="C16" s="2">
        <v>938</v>
      </c>
      <c r="E16" s="30">
        <f t="shared" si="5"/>
        <v>1168.3491571771456</v>
      </c>
      <c r="F16" s="30">
        <f t="shared" si="6"/>
        <v>8.705108931012056</v>
      </c>
      <c r="G16" s="30">
        <f>E16+F16</f>
        <v>1177.0542661081577</v>
      </c>
      <c r="K16" s="59">
        <v>39142</v>
      </c>
      <c r="L16" s="57">
        <v>15</v>
      </c>
      <c r="M16" s="60">
        <v>774</v>
      </c>
      <c r="O16" s="30">
        <f t="shared" si="0"/>
        <v>11610</v>
      </c>
      <c r="U16" s="30">
        <f t="shared" si="1"/>
        <v>239.05426610815766</v>
      </c>
      <c r="V16" s="30">
        <f t="shared" si="2"/>
        <v>239.05426610815766</v>
      </c>
      <c r="W16" s="30">
        <f t="shared" si="3"/>
        <v>57146.942144509856</v>
      </c>
      <c r="X16" s="30">
        <f t="shared" si="4"/>
        <v>0.25485529435837706</v>
      </c>
    </row>
    <row r="17" spans="1:24" x14ac:dyDescent="0.3">
      <c r="A17" s="4">
        <v>39904</v>
      </c>
      <c r="B17" s="8">
        <v>40</v>
      </c>
      <c r="C17">
        <v>1109</v>
      </c>
      <c r="E17" s="30">
        <f t="shared" si="5"/>
        <v>1163.4434128865262</v>
      </c>
      <c r="F17" s="30">
        <f t="shared" si="6"/>
        <v>7.3440236088489108</v>
      </c>
      <c r="G17" s="30">
        <f>E17+F17</f>
        <v>1170.787436495375</v>
      </c>
      <c r="K17" s="61">
        <v>39173</v>
      </c>
      <c r="L17" s="58">
        <v>16</v>
      </c>
      <c r="M17" s="30">
        <v>932</v>
      </c>
      <c r="O17" s="30">
        <f t="shared" si="0"/>
        <v>14912</v>
      </c>
      <c r="U17" s="30">
        <f t="shared" si="1"/>
        <v>61.787436495375005</v>
      </c>
      <c r="V17" s="30">
        <f t="shared" si="2"/>
        <v>61.787436495375005</v>
      </c>
      <c r="W17" s="30">
        <f t="shared" si="3"/>
        <v>3817.6873086699989</v>
      </c>
      <c r="X17" s="30">
        <f t="shared" si="4"/>
        <v>5.5714550491771868E-2</v>
      </c>
    </row>
    <row r="18" spans="1:24" x14ac:dyDescent="0.3">
      <c r="A18" s="10">
        <v>39934</v>
      </c>
      <c r="B18" s="12">
        <v>41</v>
      </c>
      <c r="C18" s="2">
        <v>1274</v>
      </c>
      <c r="E18" s="30">
        <f t="shared" si="5"/>
        <v>1191.4299491963</v>
      </c>
      <c r="F18" s="30">
        <f t="shared" si="6"/>
        <v>9.4082748789413984</v>
      </c>
      <c r="G18" s="30">
        <f>E18+F18</f>
        <v>1200.8382240752414</v>
      </c>
      <c r="K18" s="59">
        <v>39203</v>
      </c>
      <c r="L18" s="57">
        <v>17</v>
      </c>
      <c r="M18" s="60">
        <v>1099</v>
      </c>
      <c r="O18" s="30">
        <f t="shared" si="0"/>
        <v>18683</v>
      </c>
      <c r="U18" s="30">
        <f t="shared" si="1"/>
        <v>-73.161775924758558</v>
      </c>
      <c r="V18" s="30">
        <f t="shared" si="2"/>
        <v>73.161775924758558</v>
      </c>
      <c r="W18" s="30">
        <f t="shared" si="3"/>
        <v>5352.645456464581</v>
      </c>
      <c r="X18" s="30">
        <f t="shared" si="4"/>
        <v>5.7426825686623675E-2</v>
      </c>
    </row>
    <row r="19" spans="1:24" x14ac:dyDescent="0.3">
      <c r="A19" s="4">
        <v>39965</v>
      </c>
      <c r="B19" s="8">
        <v>42</v>
      </c>
      <c r="C19">
        <v>1422</v>
      </c>
      <c r="E19" s="30">
        <f t="shared" si="5"/>
        <v>1245.0705792601932</v>
      </c>
      <c r="F19" s="30">
        <f t="shared" si="6"/>
        <v>13.831510397436583</v>
      </c>
      <c r="G19" s="30">
        <f>E19+F19</f>
        <v>1258.9020896576299</v>
      </c>
      <c r="K19" s="61">
        <v>39234</v>
      </c>
      <c r="L19" s="58">
        <v>18</v>
      </c>
      <c r="M19" s="30">
        <v>1223</v>
      </c>
      <c r="O19" s="30">
        <f t="shared" si="0"/>
        <v>22014</v>
      </c>
      <c r="U19" s="30">
        <f t="shared" si="1"/>
        <v>-163.09791034237014</v>
      </c>
      <c r="V19" s="30">
        <f t="shared" si="2"/>
        <v>163.09791034237014</v>
      </c>
      <c r="W19" s="30">
        <f t="shared" si="3"/>
        <v>26600.928358047808</v>
      </c>
      <c r="X19" s="30">
        <f t="shared" si="4"/>
        <v>0.11469613948127295</v>
      </c>
    </row>
    <row r="20" spans="1:24" x14ac:dyDescent="0.3">
      <c r="A20" s="10">
        <v>39995</v>
      </c>
      <c r="B20" s="12">
        <v>43</v>
      </c>
      <c r="C20" s="2">
        <v>1486</v>
      </c>
      <c r="E20" s="30">
        <f t="shared" si="5"/>
        <v>1304.3216717261039</v>
      </c>
      <c r="F20" s="30">
        <f t="shared" si="6"/>
        <v>18.373468604283993</v>
      </c>
      <c r="G20" s="30">
        <f>E20+F20</f>
        <v>1322.6951403303879</v>
      </c>
      <c r="K20" s="59">
        <v>39264</v>
      </c>
      <c r="L20" s="57">
        <v>19</v>
      </c>
      <c r="M20" s="60">
        <v>1290</v>
      </c>
      <c r="O20" s="30">
        <f t="shared" si="0"/>
        <v>24510</v>
      </c>
      <c r="U20" s="30">
        <f t="shared" si="1"/>
        <v>-163.30485966961214</v>
      </c>
      <c r="V20" s="30">
        <f t="shared" si="2"/>
        <v>163.30485966961214</v>
      </c>
      <c r="W20" s="30">
        <f t="shared" si="3"/>
        <v>26668.477191711714</v>
      </c>
      <c r="X20" s="30">
        <f t="shared" si="4"/>
        <v>0.10989559870095029</v>
      </c>
    </row>
    <row r="21" spans="1:24" x14ac:dyDescent="0.3">
      <c r="A21" s="4">
        <v>40026</v>
      </c>
      <c r="B21" s="8">
        <v>44</v>
      </c>
      <c r="C21">
        <v>1555</v>
      </c>
      <c r="E21" s="30">
        <f t="shared" si="5"/>
        <v>1369.1561122643104</v>
      </c>
      <c r="F21" s="30">
        <f t="shared" si="6"/>
        <v>23.01956579767625</v>
      </c>
      <c r="G21" s="30">
        <f>E21+F21</f>
        <v>1392.1756780619867</v>
      </c>
      <c r="K21" s="61">
        <v>39295</v>
      </c>
      <c r="L21" s="58">
        <v>20</v>
      </c>
      <c r="M21" s="30">
        <v>1349</v>
      </c>
      <c r="O21" s="30">
        <f t="shared" si="0"/>
        <v>26980</v>
      </c>
      <c r="U21" s="30">
        <f t="shared" si="1"/>
        <v>-162.82432193801333</v>
      </c>
      <c r="V21" s="30">
        <f t="shared" si="2"/>
        <v>162.82432193801333</v>
      </c>
      <c r="W21" s="30">
        <f t="shared" si="3"/>
        <v>26511.759814573808</v>
      </c>
      <c r="X21" s="30">
        <f t="shared" si="4"/>
        <v>0.10471017487975133</v>
      </c>
    </row>
    <row r="22" spans="1:24" x14ac:dyDescent="0.3">
      <c r="A22" s="10">
        <v>40057</v>
      </c>
      <c r="B22" s="12">
        <v>45</v>
      </c>
      <c r="C22" s="2">
        <v>1604</v>
      </c>
      <c r="E22" s="30">
        <f t="shared" si="5"/>
        <v>1434.5405424495893</v>
      </c>
      <c r="F22" s="30">
        <f t="shared" si="6"/>
        <v>27.256052236436521</v>
      </c>
      <c r="G22" s="30">
        <f>E22+F22</f>
        <v>1461.7965946860259</v>
      </c>
      <c r="K22" s="59">
        <v>39326</v>
      </c>
      <c r="L22" s="57">
        <v>21</v>
      </c>
      <c r="M22" s="60">
        <v>1341</v>
      </c>
      <c r="O22" s="30">
        <f t="shared" si="0"/>
        <v>28161</v>
      </c>
      <c r="U22" s="30">
        <f t="shared" si="1"/>
        <v>-142.20340531397414</v>
      </c>
      <c r="V22" s="30">
        <f t="shared" si="2"/>
        <v>142.20340531397414</v>
      </c>
      <c r="W22" s="30">
        <f t="shared" si="3"/>
        <v>20221.80848289041</v>
      </c>
      <c r="X22" s="30">
        <f t="shared" si="4"/>
        <v>8.8655489597240733E-2</v>
      </c>
    </row>
    <row r="23" spans="1:24" x14ac:dyDescent="0.3">
      <c r="A23" s="4">
        <v>40087</v>
      </c>
      <c r="B23" s="8">
        <v>46</v>
      </c>
      <c r="C23">
        <v>1600</v>
      </c>
      <c r="E23" s="30">
        <f t="shared" si="5"/>
        <v>1489.4372757488206</v>
      </c>
      <c r="F23" s="30">
        <f t="shared" si="6"/>
        <v>30.020120342715998</v>
      </c>
      <c r="G23" s="30">
        <f>E23+F23</f>
        <v>1519.4573960915366</v>
      </c>
      <c r="K23" s="61">
        <v>39356</v>
      </c>
      <c r="L23" s="58">
        <v>22</v>
      </c>
      <c r="M23" s="30">
        <v>1296</v>
      </c>
      <c r="O23" s="30">
        <f t="shared" si="0"/>
        <v>28512</v>
      </c>
      <c r="U23" s="30">
        <f t="shared" si="1"/>
        <v>-80.542603908463434</v>
      </c>
      <c r="V23" s="30">
        <f t="shared" si="2"/>
        <v>80.542603908463434</v>
      </c>
      <c r="W23" s="30">
        <f t="shared" si="3"/>
        <v>6487.111044355629</v>
      </c>
      <c r="X23" s="30">
        <f t="shared" si="4"/>
        <v>5.033912744278965E-2</v>
      </c>
    </row>
    <row r="24" spans="1:24" x14ac:dyDescent="0.3">
      <c r="A24" s="10">
        <v>40118</v>
      </c>
      <c r="B24" s="12">
        <v>47</v>
      </c>
      <c r="C24" s="2">
        <v>1403</v>
      </c>
      <c r="E24" s="30">
        <f t="shared" si="5"/>
        <v>1496.1659168732294</v>
      </c>
      <c r="F24" s="30">
        <f t="shared" si="6"/>
        <v>27.690972420885281</v>
      </c>
      <c r="G24" s="30">
        <f>E24+F24</f>
        <v>1523.8568892941148</v>
      </c>
      <c r="K24" s="59">
        <v>39387</v>
      </c>
      <c r="L24" s="57">
        <v>23</v>
      </c>
      <c r="M24" s="60">
        <v>1066</v>
      </c>
      <c r="O24" s="30">
        <f t="shared" si="0"/>
        <v>24518</v>
      </c>
      <c r="U24" s="30">
        <f t="shared" si="1"/>
        <v>120.85688929411481</v>
      </c>
      <c r="V24" s="30">
        <f t="shared" si="2"/>
        <v>120.85688929411481</v>
      </c>
      <c r="W24" s="30">
        <f t="shared" si="3"/>
        <v>14606.387689849922</v>
      </c>
      <c r="X24" s="30">
        <f t="shared" si="4"/>
        <v>8.614176001006045E-2</v>
      </c>
    </row>
    <row r="25" spans="1:24" x14ac:dyDescent="0.3">
      <c r="A25" s="4">
        <v>40148</v>
      </c>
      <c r="B25" s="8">
        <v>48</v>
      </c>
      <c r="C25">
        <v>1209</v>
      </c>
      <c r="E25" s="30">
        <f t="shared" si="5"/>
        <v>1460.8855114352918</v>
      </c>
      <c r="F25" s="30">
        <f t="shared" si="6"/>
        <v>21.393834635002996</v>
      </c>
      <c r="G25" s="30">
        <f>E25+F25</f>
        <v>1482.2793460702949</v>
      </c>
      <c r="K25" s="61">
        <v>39417</v>
      </c>
      <c r="L25" s="68">
        <v>24</v>
      </c>
      <c r="M25" s="69">
        <v>901</v>
      </c>
      <c r="O25" s="69">
        <f t="shared" si="0"/>
        <v>21624</v>
      </c>
      <c r="U25" s="30">
        <f t="shared" si="1"/>
        <v>273.27934607029488</v>
      </c>
      <c r="V25" s="30">
        <f t="shared" si="2"/>
        <v>273.27934607029488</v>
      </c>
      <c r="W25" s="30">
        <f t="shared" si="3"/>
        <v>74681.600988607999</v>
      </c>
      <c r="X25" s="30">
        <f t="shared" si="4"/>
        <v>0.22603750708874679</v>
      </c>
    </row>
    <row r="26" spans="1:24" x14ac:dyDescent="0.3">
      <c r="A26" s="10">
        <v>40179</v>
      </c>
      <c r="B26" s="12">
        <v>49</v>
      </c>
      <c r="C26" s="2">
        <v>1030</v>
      </c>
      <c r="E26" s="30">
        <f t="shared" si="5"/>
        <v>1391.8234768562359</v>
      </c>
      <c r="F26" s="30">
        <f t="shared" si="6"/>
        <v>12.348247713597098</v>
      </c>
      <c r="G26" s="30">
        <f>E26+F26</f>
        <v>1404.171724569833</v>
      </c>
      <c r="L26" s="30" t="s">
        <v>95</v>
      </c>
      <c r="M26" s="30">
        <f>SUM(M2:M25)</f>
        <v>24436</v>
      </c>
      <c r="N26" s="30" t="s">
        <v>95</v>
      </c>
      <c r="O26" s="30">
        <f>SUM(O2:O25)</f>
        <v>320947</v>
      </c>
      <c r="U26" s="30">
        <f t="shared" si="1"/>
        <v>374.17172456983303</v>
      </c>
      <c r="V26" s="30">
        <f t="shared" si="2"/>
        <v>374.17172456983303</v>
      </c>
      <c r="W26" s="30">
        <f t="shared" si="3"/>
        <v>140004.47946756298</v>
      </c>
      <c r="X26" s="30">
        <f t="shared" si="4"/>
        <v>0.3632735189998379</v>
      </c>
    </row>
    <row r="27" spans="1:24" x14ac:dyDescent="0.3">
      <c r="A27" s="4">
        <v>40210</v>
      </c>
      <c r="B27" s="8">
        <v>50</v>
      </c>
      <c r="C27">
        <v>1032</v>
      </c>
      <c r="E27" s="30">
        <f t="shared" si="5"/>
        <v>1329.7373796558666</v>
      </c>
      <c r="F27" s="30">
        <f t="shared" si="6"/>
        <v>4.9048132222004588</v>
      </c>
      <c r="G27" s="30">
        <f>E27+F27</f>
        <v>1334.6421928780669</v>
      </c>
      <c r="U27" s="30">
        <f t="shared" si="1"/>
        <v>302.64219287806691</v>
      </c>
      <c r="V27" s="30">
        <f t="shared" si="2"/>
        <v>302.64219287806691</v>
      </c>
      <c r="W27" s="30">
        <f t="shared" si="3"/>
        <v>91592.296910045057</v>
      </c>
      <c r="X27" s="30">
        <f t="shared" si="4"/>
        <v>0.29325793883533613</v>
      </c>
    </row>
    <row r="28" spans="1:24" x14ac:dyDescent="0.3">
      <c r="A28" s="10">
        <v>40238</v>
      </c>
      <c r="B28" s="12">
        <v>51</v>
      </c>
      <c r="C28" s="2">
        <v>1126</v>
      </c>
      <c r="E28" s="30">
        <f t="shared" si="5"/>
        <v>1292.9137543024535</v>
      </c>
      <c r="F28" s="30">
        <f t="shared" si="6"/>
        <v>0.731969364639109</v>
      </c>
      <c r="G28" s="30">
        <f>E28+F28</f>
        <v>1293.6457236670926</v>
      </c>
      <c r="U28" s="30">
        <f t="shared" si="1"/>
        <v>167.64572366709262</v>
      </c>
      <c r="V28" s="30">
        <f t="shared" si="2"/>
        <v>167.64572366709262</v>
      </c>
      <c r="W28" s="30">
        <f t="shared" si="3"/>
        <v>28105.088663863182</v>
      </c>
      <c r="X28" s="30">
        <f t="shared" si="4"/>
        <v>0.14888607785709826</v>
      </c>
    </row>
    <row r="29" spans="1:24" x14ac:dyDescent="0.3">
      <c r="A29" s="4">
        <v>40269</v>
      </c>
      <c r="B29" s="8">
        <v>52</v>
      </c>
      <c r="C29">
        <v>1285</v>
      </c>
      <c r="E29" s="30">
        <f t="shared" si="5"/>
        <v>1291.9165789336741</v>
      </c>
      <c r="F29" s="30">
        <f t="shared" si="6"/>
        <v>0.55905489129726005</v>
      </c>
      <c r="G29" s="30">
        <f>E29+F29</f>
        <v>1292.4756338249715</v>
      </c>
      <c r="U29" s="30">
        <f t="shared" si="1"/>
        <v>7.47563382497151</v>
      </c>
      <c r="V29" s="30">
        <f t="shared" si="2"/>
        <v>7.47563382497151</v>
      </c>
      <c r="W29" s="30">
        <f t="shared" si="3"/>
        <v>55.885101085058167</v>
      </c>
      <c r="X29" s="30">
        <f t="shared" si="4"/>
        <v>5.8176138715731593E-3</v>
      </c>
    </row>
    <row r="30" spans="1:24" x14ac:dyDescent="0.3">
      <c r="A30" s="10">
        <v>40299</v>
      </c>
      <c r="B30" s="12">
        <v>53</v>
      </c>
      <c r="C30" s="2">
        <v>1468</v>
      </c>
      <c r="E30" s="30">
        <f t="shared" si="5"/>
        <v>1327.5805070599772</v>
      </c>
      <c r="F30" s="30">
        <f t="shared" si="6"/>
        <v>4.0695422147978402</v>
      </c>
      <c r="G30" s="30">
        <f>E30+F30</f>
        <v>1331.650049274775</v>
      </c>
      <c r="U30" s="30">
        <f t="shared" si="1"/>
        <v>-136.34995072522497</v>
      </c>
      <c r="V30" s="30">
        <f t="shared" si="2"/>
        <v>136.34995072522497</v>
      </c>
      <c r="W30" s="30">
        <f t="shared" si="3"/>
        <v>18591.309062771277</v>
      </c>
      <c r="X30" s="30">
        <f t="shared" si="4"/>
        <v>9.2881437823722726E-2</v>
      </c>
    </row>
    <row r="31" spans="1:24" x14ac:dyDescent="0.3">
      <c r="A31" s="4">
        <v>40330</v>
      </c>
      <c r="B31" s="8">
        <v>54</v>
      </c>
      <c r="C31">
        <v>1637</v>
      </c>
      <c r="E31" s="30">
        <f t="shared" si="5"/>
        <v>1392.7200394198201</v>
      </c>
      <c r="F31" s="30">
        <f t="shared" si="6"/>
        <v>10.176541229302343</v>
      </c>
      <c r="G31" s="30">
        <f>E31+F31</f>
        <v>1402.8965806491224</v>
      </c>
      <c r="U31" s="30">
        <f t="shared" si="1"/>
        <v>-234.10341935087763</v>
      </c>
      <c r="V31" s="30">
        <f t="shared" si="2"/>
        <v>234.10341935087763</v>
      </c>
      <c r="W31" s="30">
        <f t="shared" si="3"/>
        <v>54804.410951772865</v>
      </c>
      <c r="X31" s="30">
        <f t="shared" si="4"/>
        <v>0.14300758665294908</v>
      </c>
    </row>
    <row r="32" spans="1:24" x14ac:dyDescent="0.3">
      <c r="A32" s="10">
        <v>40360</v>
      </c>
      <c r="B32" s="12">
        <v>55</v>
      </c>
      <c r="C32" s="2">
        <v>1611</v>
      </c>
      <c r="E32" s="30">
        <f t="shared" si="5"/>
        <v>1444.5172645192979</v>
      </c>
      <c r="F32" s="30">
        <f t="shared" si="6"/>
        <v>14.338609616319893</v>
      </c>
      <c r="G32" s="30">
        <f>E32+F32</f>
        <v>1458.8558741356178</v>
      </c>
      <c r="U32" s="30">
        <f t="shared" si="1"/>
        <v>-152.1441258643822</v>
      </c>
      <c r="V32" s="30">
        <f t="shared" si="2"/>
        <v>152.1441258643822</v>
      </c>
      <c r="W32" s="30">
        <f t="shared" si="3"/>
        <v>23147.835035036973</v>
      </c>
      <c r="X32" s="30">
        <f t="shared" si="4"/>
        <v>9.4440798177766724E-2</v>
      </c>
    </row>
    <row r="33" spans="1:24" x14ac:dyDescent="0.3">
      <c r="A33" s="4">
        <v>40391</v>
      </c>
      <c r="B33" s="8">
        <v>56</v>
      </c>
      <c r="C33">
        <v>1608</v>
      </c>
      <c r="E33" s="30">
        <f t="shared" si="5"/>
        <v>1488.6846993084941</v>
      </c>
      <c r="F33" s="30">
        <f t="shared" si="6"/>
        <v>17.321492133607528</v>
      </c>
      <c r="G33" s="30">
        <f>E33+F33</f>
        <v>1506.0061914421017</v>
      </c>
      <c r="U33" s="30">
        <f t="shared" si="1"/>
        <v>-101.99380855789832</v>
      </c>
      <c r="V33" s="30">
        <f t="shared" si="2"/>
        <v>101.99380855789832</v>
      </c>
      <c r="W33" s="30">
        <f t="shared" si="3"/>
        <v>10402.736984145213</v>
      </c>
      <c r="X33" s="30">
        <f t="shared" si="4"/>
        <v>6.3428985421578557E-2</v>
      </c>
    </row>
    <row r="34" spans="1:24" x14ac:dyDescent="0.3">
      <c r="A34" s="10">
        <v>40422</v>
      </c>
      <c r="B34" s="12">
        <v>57</v>
      </c>
      <c r="C34" s="2">
        <v>1528</v>
      </c>
      <c r="E34" s="30">
        <f t="shared" si="5"/>
        <v>1510.4049531536816</v>
      </c>
      <c r="F34" s="30">
        <f t="shared" si="6"/>
        <v>17.761368304765522</v>
      </c>
      <c r="G34" s="30">
        <f>E34+F34</f>
        <v>1528.1663214584471</v>
      </c>
      <c r="U34" s="30">
        <f t="shared" si="1"/>
        <v>0.16632145844710067</v>
      </c>
      <c r="V34" s="30">
        <f t="shared" si="2"/>
        <v>0.16632145844710067</v>
      </c>
      <c r="W34" s="30">
        <f t="shared" si="3"/>
        <v>2.7662827539970635E-2</v>
      </c>
      <c r="X34" s="30">
        <f t="shared" si="4"/>
        <v>1.0884912202035384E-4</v>
      </c>
    </row>
    <row r="35" spans="1:24" x14ac:dyDescent="0.3">
      <c r="A35" s="4">
        <v>40452</v>
      </c>
      <c r="B35" s="8">
        <v>58</v>
      </c>
      <c r="C35">
        <v>1420</v>
      </c>
      <c r="E35" s="30">
        <f t="shared" si="5"/>
        <v>1506.5330571667578</v>
      </c>
      <c r="F35" s="30">
        <f t="shared" si="6"/>
        <v>15.598041875596586</v>
      </c>
      <c r="G35" s="30">
        <f>E35+F35</f>
        <v>1522.1310990423544</v>
      </c>
      <c r="U35" s="30">
        <f t="shared" si="1"/>
        <v>102.13109904235444</v>
      </c>
      <c r="V35" s="30">
        <f t="shared" si="2"/>
        <v>102.13109904235444</v>
      </c>
      <c r="W35" s="30">
        <f t="shared" si="3"/>
        <v>10430.761391599211</v>
      </c>
      <c r="X35" s="30">
        <f t="shared" si="4"/>
        <v>7.1923309184756645E-2</v>
      </c>
    </row>
    <row r="36" spans="1:24" x14ac:dyDescent="0.3">
      <c r="A36" s="10">
        <v>40483</v>
      </c>
      <c r="B36" s="12">
        <v>59</v>
      </c>
      <c r="C36" s="2">
        <v>1119</v>
      </c>
      <c r="E36" s="30">
        <f t="shared" si="5"/>
        <v>1441.5048792338835</v>
      </c>
      <c r="F36" s="30">
        <f t="shared" si="6"/>
        <v>7.5354198947494959</v>
      </c>
      <c r="G36" s="30">
        <f>E36+F36</f>
        <v>1449.040299128633</v>
      </c>
      <c r="U36" s="30">
        <f t="shared" si="1"/>
        <v>330.04029912863302</v>
      </c>
      <c r="V36" s="30">
        <f t="shared" si="2"/>
        <v>330.04029912863302</v>
      </c>
      <c r="W36" s="30">
        <f t="shared" si="3"/>
        <v>108926.59904891756</v>
      </c>
      <c r="X36" s="30">
        <f t="shared" si="4"/>
        <v>0.29494217973961845</v>
      </c>
    </row>
    <row r="37" spans="1:24" x14ac:dyDescent="0.3">
      <c r="A37" s="13">
        <v>40513</v>
      </c>
      <c r="B37" s="14">
        <v>60</v>
      </c>
      <c r="C37" s="3">
        <v>1013</v>
      </c>
      <c r="E37" s="30">
        <f t="shared" si="5"/>
        <v>1361.8322393029066</v>
      </c>
      <c r="F37" s="30">
        <f t="shared" si="6"/>
        <v>-1.1853860878231393</v>
      </c>
      <c r="G37" s="30">
        <f>E37+F37</f>
        <v>1360.6468532150834</v>
      </c>
      <c r="U37" s="30">
        <f t="shared" si="1"/>
        <v>347.64685321508341</v>
      </c>
      <c r="V37" s="30">
        <f t="shared" si="2"/>
        <v>347.64685321508341</v>
      </c>
      <c r="W37" s="30">
        <f t="shared" si="3"/>
        <v>120858.33455034975</v>
      </c>
      <c r="X37" s="30">
        <f t="shared" si="4"/>
        <v>0.34318544246306359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DC90-9A40-4C7C-98DE-696B44E97EB4}">
  <dimension ref="A1:S99"/>
  <sheetViews>
    <sheetView topLeftCell="A50" zoomScale="46" zoomScaleNormal="70" workbookViewId="0">
      <selection activeCell="V9" sqref="V9"/>
    </sheetView>
  </sheetViews>
  <sheetFormatPr defaultRowHeight="14.4" x14ac:dyDescent="0.3"/>
  <cols>
    <col min="4" max="4" width="10.33203125" customWidth="1"/>
    <col min="5" max="5" width="12.33203125" customWidth="1"/>
    <col min="6" max="7" width="11.33203125" customWidth="1"/>
    <col min="8" max="8" width="15" customWidth="1"/>
    <col min="9" max="9" width="11.33203125" customWidth="1"/>
    <col min="10" max="10" width="13.44140625" customWidth="1"/>
    <col min="11" max="11" width="13.33203125" customWidth="1"/>
    <col min="12" max="12" width="10.33203125" customWidth="1"/>
    <col min="13" max="13" width="15.109375" customWidth="1"/>
    <col min="14" max="14" width="14.6640625" customWidth="1"/>
    <col min="15" max="15" width="8.88671875" customWidth="1"/>
    <col min="18" max="18" width="11.109375" customWidth="1"/>
    <col min="19" max="19" width="13.21875" customWidth="1"/>
  </cols>
  <sheetData>
    <row r="1" spans="1:19" x14ac:dyDescent="0.3">
      <c r="A1" s="7" t="s">
        <v>93</v>
      </c>
      <c r="B1" s="7" t="s">
        <v>92</v>
      </c>
      <c r="C1" s="25"/>
      <c r="D1" t="s">
        <v>85</v>
      </c>
      <c r="K1" s="44"/>
      <c r="L1" s="45" t="s">
        <v>111</v>
      </c>
      <c r="M1" s="45" t="s">
        <v>112</v>
      </c>
      <c r="N1" s="45" t="s">
        <v>113</v>
      </c>
      <c r="P1" s="33"/>
      <c r="Q1" s="34" t="s">
        <v>120</v>
      </c>
      <c r="R1" s="34" t="s">
        <v>112</v>
      </c>
      <c r="S1" s="34" t="s">
        <v>113</v>
      </c>
    </row>
    <row r="2" spans="1:19" x14ac:dyDescent="0.3">
      <c r="A2" s="21">
        <v>38718</v>
      </c>
      <c r="B2" s="22">
        <v>742</v>
      </c>
      <c r="C2" s="50"/>
      <c r="D2" s="30" t="s">
        <v>86</v>
      </c>
      <c r="E2" s="30">
        <v>12</v>
      </c>
      <c r="J2" s="47"/>
      <c r="K2" s="46">
        <v>-23</v>
      </c>
      <c r="L2" s="44">
        <v>0.75927881820712595</v>
      </c>
      <c r="M2" s="44">
        <f>AVERAGE(L2,L14)</f>
        <v>0.76237805454992191</v>
      </c>
      <c r="N2" s="44">
        <f>(M2/$M$15)*12</f>
        <v>0.76196535741311255</v>
      </c>
      <c r="P2" s="35">
        <v>-23</v>
      </c>
      <c r="Q2" s="33">
        <f>B2/($E$6-(((13/2)-1)*$E$9))</f>
        <v>0.78998033329883033</v>
      </c>
      <c r="R2" s="33">
        <f>AVERAGE(Q2,Q14)</f>
        <v>0.75765755839708704</v>
      </c>
      <c r="S2" s="33">
        <f>(R2/$R$15)*12</f>
        <v>0.75927881820712595</v>
      </c>
    </row>
    <row r="3" spans="1:19" x14ac:dyDescent="0.3">
      <c r="A3" s="23">
        <v>38749</v>
      </c>
      <c r="B3" s="24">
        <v>697</v>
      </c>
      <c r="C3" s="50"/>
      <c r="D3" s="30" t="s">
        <v>114</v>
      </c>
      <c r="E3" s="30">
        <v>24</v>
      </c>
      <c r="J3" s="48"/>
      <c r="K3" s="46">
        <v>-22</v>
      </c>
      <c r="L3" s="44">
        <v>0.7101761728028585</v>
      </c>
      <c r="M3" s="44">
        <f t="shared" ref="M3:M13" si="0">AVERAGE(L3,L15)</f>
        <v>0.70976279706905632</v>
      </c>
      <c r="N3" s="44">
        <f t="shared" ref="N3:N13" si="1">(M3/$M$15)*12</f>
        <v>0.70937858208225812</v>
      </c>
      <c r="P3" s="35">
        <v>-22</v>
      </c>
      <c r="Q3" s="33">
        <f>B3/($E$6-(((13/2)-2)*$E$9))</f>
        <v>0.73668912670101727</v>
      </c>
      <c r="R3" s="33">
        <f t="shared" ref="R3:R13" si="2">AVERAGE(Q3,Q15)</f>
        <v>0.70865976004458964</v>
      </c>
      <c r="S3" s="33">
        <f t="shared" ref="S3:S13" si="3">(R3/$R$15)*12</f>
        <v>0.7101761728028585</v>
      </c>
    </row>
    <row r="4" spans="1:19" x14ac:dyDescent="0.3">
      <c r="A4" s="21">
        <v>38777</v>
      </c>
      <c r="B4" s="22">
        <v>776</v>
      </c>
      <c r="C4" s="50"/>
      <c r="D4" s="30"/>
      <c r="E4" s="30"/>
      <c r="J4" s="48"/>
      <c r="K4" s="46">
        <v>-21</v>
      </c>
      <c r="L4" s="44">
        <v>0.78261004757693842</v>
      </c>
      <c r="M4" s="44">
        <f t="shared" si="0"/>
        <v>0.7824984626716478</v>
      </c>
      <c r="N4" s="44">
        <f t="shared" si="1"/>
        <v>0.78207487378005403</v>
      </c>
      <c r="P4" s="35">
        <v>-21</v>
      </c>
      <c r="Q4" s="33">
        <f>B4/($E$6-(((13/2)-3)*$E$9))</f>
        <v>0.81428259127013047</v>
      </c>
      <c r="R4" s="33">
        <f t="shared" si="2"/>
        <v>0.78093896946091079</v>
      </c>
      <c r="S4" s="33">
        <f t="shared" si="3"/>
        <v>0.78261004757693842</v>
      </c>
    </row>
    <row r="5" spans="1:19" x14ac:dyDescent="0.3">
      <c r="A5" s="23">
        <v>38808</v>
      </c>
      <c r="B5" s="24">
        <v>898</v>
      </c>
      <c r="C5" s="50"/>
      <c r="D5" s="30"/>
      <c r="E5" s="30"/>
      <c r="J5" s="48"/>
      <c r="K5" s="46">
        <v>-20</v>
      </c>
      <c r="L5" s="44">
        <v>0.91687996883742728</v>
      </c>
      <c r="M5" s="44">
        <f t="shared" si="0"/>
        <v>0.91733934158821717</v>
      </c>
      <c r="N5" s="44">
        <f t="shared" si="1"/>
        <v>0.91684275945616789</v>
      </c>
      <c r="P5" s="35">
        <v>-20</v>
      </c>
      <c r="Q5" s="33">
        <f>B5/($E$6-(((13/2)-4)*$E$9))</f>
        <v>0.93556555586103107</v>
      </c>
      <c r="R5" s="33">
        <f t="shared" si="2"/>
        <v>0.91492218915431178</v>
      </c>
      <c r="S5" s="33">
        <f t="shared" si="3"/>
        <v>0.91687996883742728</v>
      </c>
    </row>
    <row r="6" spans="1:19" x14ac:dyDescent="0.3">
      <c r="A6" s="21">
        <v>38838</v>
      </c>
      <c r="B6" s="22">
        <v>1030</v>
      </c>
      <c r="C6" s="50"/>
      <c r="D6" s="30" t="s">
        <v>50</v>
      </c>
      <c r="E6" s="30">
        <f>AVERAGE(B2:B13)</f>
        <v>977</v>
      </c>
      <c r="J6" s="48"/>
      <c r="K6" s="46">
        <v>-19</v>
      </c>
      <c r="L6" s="44">
        <v>1.058807906253469</v>
      </c>
      <c r="M6" s="44">
        <f t="shared" si="0"/>
        <v>1.0580235056825651</v>
      </c>
      <c r="N6" s="44">
        <f t="shared" si="1"/>
        <v>1.0574507671719715</v>
      </c>
      <c r="P6" s="35">
        <v>-19</v>
      </c>
      <c r="Q6" s="33">
        <f>B6/($E$6-(((13/2)-5)*$E$9))</f>
        <v>1.0654713158915563</v>
      </c>
      <c r="R6" s="33">
        <f t="shared" si="2"/>
        <v>1.0565470731263003</v>
      </c>
      <c r="S6" s="33">
        <f t="shared" si="3"/>
        <v>1.058807906253469</v>
      </c>
    </row>
    <row r="7" spans="1:19" x14ac:dyDescent="0.3">
      <c r="A7" s="23">
        <v>38869</v>
      </c>
      <c r="B7" s="24">
        <v>1107</v>
      </c>
      <c r="C7" s="50"/>
      <c r="D7" s="30" t="s">
        <v>51</v>
      </c>
      <c r="E7" s="30">
        <f>AVERAGE(B14:B25)</f>
        <v>1059.3333333333333</v>
      </c>
      <c r="J7" s="48"/>
      <c r="K7" s="46">
        <v>-18</v>
      </c>
      <c r="L7" s="44">
        <v>1.1501075400348548</v>
      </c>
      <c r="M7" s="44">
        <f t="shared" si="0"/>
        <v>1.1498952562660014</v>
      </c>
      <c r="N7" s="44">
        <f t="shared" si="1"/>
        <v>1.1492727849382143</v>
      </c>
      <c r="P7" s="35">
        <v>-18</v>
      </c>
      <c r="Q7" s="33">
        <f>B7/($E$6-(((13/2)-6)*$E$9))</f>
        <v>1.1370529409247185</v>
      </c>
      <c r="R7" s="33">
        <f t="shared" si="2"/>
        <v>1.1476517581966572</v>
      </c>
      <c r="S7" s="33">
        <f t="shared" si="3"/>
        <v>1.1501075400348548</v>
      </c>
    </row>
    <row r="8" spans="1:19" x14ac:dyDescent="0.3">
      <c r="A8" s="21">
        <v>38899</v>
      </c>
      <c r="B8" s="22">
        <v>1165</v>
      </c>
      <c r="C8" s="50"/>
      <c r="D8" s="30"/>
      <c r="E8" s="30"/>
      <c r="J8" s="48"/>
      <c r="K8" s="46">
        <v>-17</v>
      </c>
      <c r="L8" s="44">
        <v>1.2036048308364278</v>
      </c>
      <c r="M8" s="44">
        <f t="shared" si="0"/>
        <v>1.1984979740947597</v>
      </c>
      <c r="N8" s="44">
        <f t="shared" si="1"/>
        <v>1.1978491927199171</v>
      </c>
      <c r="P8" s="35">
        <v>-17</v>
      </c>
      <c r="Q8" s="33">
        <f>B8/($E$6-(((13/2)-7)*$E$9))</f>
        <v>1.1882534600728138</v>
      </c>
      <c r="R8" s="33">
        <f t="shared" si="2"/>
        <v>1.2010348182236545</v>
      </c>
      <c r="S8" s="33">
        <f t="shared" si="3"/>
        <v>1.2036048308364278</v>
      </c>
    </row>
    <row r="9" spans="1:19" x14ac:dyDescent="0.3">
      <c r="A9" s="23">
        <v>38930</v>
      </c>
      <c r="B9" s="24">
        <v>1216</v>
      </c>
      <c r="C9" s="50"/>
      <c r="D9" s="30" t="s">
        <v>87</v>
      </c>
      <c r="E9" s="30">
        <f>(E7-E6)/12</f>
        <v>6.8611111111111045</v>
      </c>
      <c r="J9" s="48"/>
      <c r="K9" s="46">
        <v>-16</v>
      </c>
      <c r="L9" s="44">
        <v>1.2490880896160375</v>
      </c>
      <c r="M9" s="44">
        <f t="shared" si="0"/>
        <v>1.2488160766106065</v>
      </c>
      <c r="N9" s="44">
        <f t="shared" si="1"/>
        <v>1.2481400566017109</v>
      </c>
      <c r="P9" s="35">
        <v>-16</v>
      </c>
      <c r="Q9" s="33">
        <f>B9/($E$6-(((13/2)-8)*$E$9))</f>
        <v>1.231652247309559</v>
      </c>
      <c r="R9" s="33">
        <f t="shared" si="2"/>
        <v>1.2464209582930872</v>
      </c>
      <c r="S9" s="33">
        <f t="shared" si="3"/>
        <v>1.2490880896160375</v>
      </c>
    </row>
    <row r="10" spans="1:19" x14ac:dyDescent="0.3">
      <c r="A10" s="21">
        <v>38961</v>
      </c>
      <c r="B10" s="22">
        <v>1208</v>
      </c>
      <c r="C10" s="50"/>
      <c r="D10" s="30" t="s">
        <v>88</v>
      </c>
      <c r="E10" s="30">
        <f>E7+E9*(11/2)</f>
        <v>1097.0694444444443</v>
      </c>
      <c r="J10" s="48"/>
      <c r="K10" s="46">
        <v>-15</v>
      </c>
      <c r="L10" s="44">
        <v>1.2330452407928134</v>
      </c>
      <c r="M10" s="44">
        <f t="shared" si="0"/>
        <v>1.2352892457216016</v>
      </c>
      <c r="N10" s="44">
        <f t="shared" si="1"/>
        <v>1.2346205481747636</v>
      </c>
      <c r="P10" s="35">
        <v>-15</v>
      </c>
      <c r="Q10" s="33">
        <f>B10/($E$6-(((13/2)-9)*$E$9))</f>
        <v>1.2151049888933907</v>
      </c>
      <c r="R10" s="33">
        <f t="shared" si="2"/>
        <v>1.2304123651680494</v>
      </c>
      <c r="S10" s="33">
        <f t="shared" si="3"/>
        <v>1.2330452407928134</v>
      </c>
    </row>
    <row r="11" spans="1:19" x14ac:dyDescent="0.3">
      <c r="A11" s="23">
        <v>38991</v>
      </c>
      <c r="B11" s="24">
        <v>1131</v>
      </c>
      <c r="C11" s="50"/>
      <c r="D11" s="30"/>
      <c r="E11" s="30"/>
      <c r="J11" s="48"/>
      <c r="K11" s="46">
        <v>-14</v>
      </c>
      <c r="L11" s="44">
        <v>1.1655621857432237</v>
      </c>
      <c r="M11" s="44">
        <f t="shared" si="0"/>
        <v>1.169880768236482</v>
      </c>
      <c r="N11" s="44">
        <f t="shared" si="1"/>
        <v>1.1692474781770712</v>
      </c>
      <c r="P11" s="35">
        <v>-14</v>
      </c>
      <c r="Q11" s="33">
        <f>B11/($E$6-(((13/2)-10)*$E$9))</f>
        <v>1.1298544531239161</v>
      </c>
      <c r="R11" s="33">
        <f t="shared" si="2"/>
        <v>1.1630734041750657</v>
      </c>
      <c r="S11" s="33">
        <f t="shared" si="3"/>
        <v>1.1655621857432237</v>
      </c>
    </row>
    <row r="12" spans="1:19" x14ac:dyDescent="0.3">
      <c r="A12" s="21">
        <v>39022</v>
      </c>
      <c r="B12" s="22">
        <v>971</v>
      </c>
      <c r="C12" s="50"/>
      <c r="D12" s="30" t="s">
        <v>89</v>
      </c>
      <c r="E12" s="30">
        <v>0.15</v>
      </c>
      <c r="J12" s="48"/>
      <c r="K12" s="46">
        <v>-13</v>
      </c>
      <c r="L12" s="44">
        <v>0.9726808721079756</v>
      </c>
      <c r="M12" s="44">
        <f t="shared" si="0"/>
        <v>0.97299870227561924</v>
      </c>
      <c r="N12" s="44">
        <f t="shared" si="1"/>
        <v>0.97247199013306496</v>
      </c>
      <c r="P12" s="35">
        <v>-13</v>
      </c>
      <c r="Q12" s="33">
        <f>B12/($E$6-(((13/2)-11)*$E$9))</f>
        <v>0.96341312166687332</v>
      </c>
      <c r="R12" s="33">
        <f t="shared" si="2"/>
        <v>0.97060394283229012</v>
      </c>
      <c r="S12" s="33">
        <f t="shared" si="3"/>
        <v>0.9726808721079756</v>
      </c>
    </row>
    <row r="13" spans="1:19" x14ac:dyDescent="0.3">
      <c r="A13" s="23">
        <v>39052</v>
      </c>
      <c r="B13" s="24">
        <v>783</v>
      </c>
      <c r="C13" s="50"/>
      <c r="D13" s="30" t="s">
        <v>90</v>
      </c>
      <c r="E13" s="30">
        <v>0.2</v>
      </c>
      <c r="G13" t="s">
        <v>111</v>
      </c>
      <c r="K13" s="46">
        <v>-12</v>
      </c>
      <c r="L13" s="44">
        <v>0.79815832719084823</v>
      </c>
      <c r="M13" s="44">
        <f t="shared" si="0"/>
        <v>0.80111927822554541</v>
      </c>
      <c r="N13" s="44">
        <f t="shared" si="1"/>
        <v>0.80068560935169308</v>
      </c>
      <c r="P13" s="35">
        <v>-12</v>
      </c>
      <c r="Q13" s="33">
        <f>B13/($E$6-(((13/2)-12)*$E$9))</f>
        <v>0.77162918657012636</v>
      </c>
      <c r="R13" s="33">
        <f t="shared" si="2"/>
        <v>0.79645404941186571</v>
      </c>
      <c r="S13" s="33">
        <f t="shared" si="3"/>
        <v>0.79815832719084823</v>
      </c>
    </row>
    <row r="14" spans="1:19" x14ac:dyDescent="0.3">
      <c r="A14" s="21">
        <v>39083</v>
      </c>
      <c r="B14" s="22">
        <v>741</v>
      </c>
      <c r="C14" s="50"/>
      <c r="D14" s="30" t="s">
        <v>91</v>
      </c>
      <c r="E14" s="30">
        <v>0.1</v>
      </c>
      <c r="G14" s="24">
        <v>0.75927881820712595</v>
      </c>
      <c r="H14" s="32" t="s">
        <v>118</v>
      </c>
      <c r="K14" s="46">
        <v>-11</v>
      </c>
      <c r="L14" s="44">
        <v>0.76547729089271799</v>
      </c>
      <c r="M14" s="44"/>
      <c r="N14" s="44"/>
      <c r="P14" s="35">
        <v>-11</v>
      </c>
      <c r="Q14" s="33">
        <f>B14/($E$7-(((13/2)-1)*$E$9))</f>
        <v>0.72533478349534364</v>
      </c>
      <c r="R14" s="33"/>
      <c r="S14" s="33"/>
    </row>
    <row r="15" spans="1:19" x14ac:dyDescent="0.3">
      <c r="A15" s="23">
        <v>39114</v>
      </c>
      <c r="B15" s="24">
        <v>700</v>
      </c>
      <c r="C15" s="50"/>
      <c r="G15" s="24">
        <v>0.7101761728028585</v>
      </c>
      <c r="H15" s="31"/>
      <c r="K15" s="46">
        <v>-10</v>
      </c>
      <c r="L15" s="44">
        <v>0.70934942133525425</v>
      </c>
      <c r="M15" s="44">
        <f>SUM(M2:M13)</f>
        <v>12.006499462992025</v>
      </c>
      <c r="N15" s="44"/>
      <c r="P15" s="35">
        <v>-10</v>
      </c>
      <c r="Q15" s="33">
        <f>B15/($E$7-(((13/2)-2)*$E$9))</f>
        <v>0.68063039338816189</v>
      </c>
      <c r="R15" s="33">
        <f>SUM(R2:R13)</f>
        <v>11.974376846483869</v>
      </c>
      <c r="S15" s="33"/>
    </row>
    <row r="16" spans="1:19" x14ac:dyDescent="0.3">
      <c r="A16" s="21">
        <v>39142</v>
      </c>
      <c r="B16" s="22">
        <v>774</v>
      </c>
      <c r="C16" s="50"/>
      <c r="G16" s="24">
        <v>0.78261004757693842</v>
      </c>
      <c r="H16" s="31"/>
      <c r="K16" s="46">
        <v>-9</v>
      </c>
      <c r="L16" s="44">
        <v>0.78238687776635718</v>
      </c>
      <c r="M16" s="44"/>
      <c r="N16" s="44"/>
      <c r="P16" s="35">
        <v>-9</v>
      </c>
      <c r="Q16" s="33">
        <f>B16/($E$7-(((13/2)-3)*$E$9))</f>
        <v>0.747595347651691</v>
      </c>
      <c r="R16" s="33"/>
      <c r="S16" s="33"/>
    </row>
    <row r="17" spans="1:19" x14ac:dyDescent="0.3">
      <c r="A17" s="23">
        <v>39173</v>
      </c>
      <c r="B17" s="24">
        <v>932</v>
      </c>
      <c r="C17" s="50"/>
      <c r="G17" s="24">
        <v>0.91687996883742728</v>
      </c>
      <c r="H17" s="31"/>
      <c r="K17" s="46">
        <v>-8</v>
      </c>
      <c r="L17" s="44">
        <v>0.91779871433900695</v>
      </c>
      <c r="M17" s="44"/>
      <c r="N17" s="44"/>
      <c r="P17" s="35">
        <v>-8</v>
      </c>
      <c r="Q17" s="33">
        <f>B17/($E$7-(((13/2)-4)*$E$9))</f>
        <v>0.8942788224475926</v>
      </c>
      <c r="R17" s="33"/>
      <c r="S17" s="33"/>
    </row>
    <row r="18" spans="1:19" x14ac:dyDescent="0.3">
      <c r="A18" s="21">
        <v>39203</v>
      </c>
      <c r="B18" s="22">
        <v>1099</v>
      </c>
      <c r="C18" s="50"/>
      <c r="G18" s="24">
        <v>1.058807906253469</v>
      </c>
      <c r="H18" s="31"/>
      <c r="K18" s="46">
        <v>-7</v>
      </c>
      <c r="L18" s="44">
        <v>1.0572391051116612</v>
      </c>
      <c r="M18" s="44"/>
      <c r="N18" s="44"/>
      <c r="P18" s="35">
        <v>-7</v>
      </c>
      <c r="Q18" s="33">
        <f>B18/($E$7-(((13/2)-5)*$E$9))</f>
        <v>1.047622830361044</v>
      </c>
      <c r="R18" s="33"/>
      <c r="S18" s="33"/>
    </row>
    <row r="19" spans="1:19" x14ac:dyDescent="0.3">
      <c r="A19" s="23">
        <v>39234</v>
      </c>
      <c r="B19" s="24">
        <v>1223</v>
      </c>
      <c r="C19" s="50"/>
      <c r="G19" s="24">
        <v>1.1501075400348548</v>
      </c>
      <c r="H19" s="31"/>
      <c r="K19" s="46">
        <v>-6</v>
      </c>
      <c r="L19" s="44">
        <v>1.149682972497148</v>
      </c>
      <c r="M19" s="44"/>
      <c r="N19" s="44"/>
      <c r="P19" s="35">
        <v>-6</v>
      </c>
      <c r="Q19" s="33">
        <f>B19/($E$7-(((13/2)-6)*$E$9))</f>
        <v>1.1582505754685961</v>
      </c>
      <c r="R19" s="33"/>
      <c r="S19" s="33"/>
    </row>
    <row r="20" spans="1:19" x14ac:dyDescent="0.3">
      <c r="A20" s="21">
        <v>39264</v>
      </c>
      <c r="B20" s="22">
        <v>1290</v>
      </c>
      <c r="C20" s="50"/>
      <c r="G20" s="24">
        <v>1.2036048308364278</v>
      </c>
      <c r="H20" s="31"/>
      <c r="K20" s="46">
        <v>-5</v>
      </c>
      <c r="L20" s="44">
        <v>1.1933911173530918</v>
      </c>
      <c r="M20" s="44"/>
      <c r="N20" s="44"/>
      <c r="P20" s="35">
        <v>-5</v>
      </c>
      <c r="Q20" s="33">
        <f>B20/($E$7-(((13/2)-7)*$E$9))</f>
        <v>1.2138161763744952</v>
      </c>
      <c r="R20" s="33"/>
      <c r="S20" s="33"/>
    </row>
    <row r="21" spans="1:19" x14ac:dyDescent="0.3">
      <c r="A21" s="23">
        <v>39295</v>
      </c>
      <c r="B21" s="24">
        <v>1349</v>
      </c>
      <c r="C21" s="50"/>
      <c r="G21" s="24">
        <v>1.2490880896160375</v>
      </c>
      <c r="H21" s="31"/>
      <c r="K21" s="46">
        <v>-4</v>
      </c>
      <c r="L21" s="44">
        <v>1.2485440636051757</v>
      </c>
      <c r="M21" s="44"/>
      <c r="N21" s="44"/>
      <c r="P21" s="35">
        <v>-4</v>
      </c>
      <c r="Q21" s="33">
        <f>B21/($E$7-(((13/2)-8)*$E$9))</f>
        <v>1.2611896692766156</v>
      </c>
      <c r="R21" s="33"/>
      <c r="S21" s="33"/>
    </row>
    <row r="22" spans="1:19" x14ac:dyDescent="0.3">
      <c r="A22" s="21">
        <v>39326</v>
      </c>
      <c r="B22" s="22">
        <v>1341</v>
      </c>
      <c r="C22" s="50"/>
      <c r="G22" s="24">
        <v>1.2330452407928134</v>
      </c>
      <c r="H22" s="31"/>
      <c r="K22" s="46">
        <v>-3</v>
      </c>
      <c r="L22" s="44">
        <v>1.2375332506503898</v>
      </c>
      <c r="M22" s="44"/>
      <c r="N22" s="44"/>
      <c r="P22" s="35">
        <v>-3</v>
      </c>
      <c r="Q22" s="33">
        <f>B22/($E$7-(((13/2)-9)*$E$9))</f>
        <v>1.2457197414427084</v>
      </c>
      <c r="R22" s="33"/>
      <c r="S22" s="33"/>
    </row>
    <row r="23" spans="1:19" x14ac:dyDescent="0.3">
      <c r="A23" s="23">
        <v>39356</v>
      </c>
      <c r="B23" s="24">
        <v>1296</v>
      </c>
      <c r="C23" s="50"/>
      <c r="G23" s="24">
        <v>1.1655621857432237</v>
      </c>
      <c r="H23" s="31"/>
      <c r="K23" s="46">
        <v>-2</v>
      </c>
      <c r="L23" s="44">
        <v>1.1741993507297404</v>
      </c>
      <c r="M23" s="44"/>
      <c r="N23" s="44"/>
      <c r="P23" s="35">
        <v>-2</v>
      </c>
      <c r="Q23" s="33">
        <f>B23/($E$7-(((13/2)-10)*$E$9))</f>
        <v>1.196292355226215</v>
      </c>
      <c r="R23" s="33"/>
      <c r="S23" s="33"/>
    </row>
    <row r="24" spans="1:19" x14ac:dyDescent="0.3">
      <c r="A24" s="21">
        <v>39387</v>
      </c>
      <c r="B24" s="22">
        <v>1066</v>
      </c>
      <c r="C24" s="50"/>
      <c r="E24" s="1" t="s">
        <v>21</v>
      </c>
      <c r="F24" s="1" t="s">
        <v>40</v>
      </c>
      <c r="G24" s="24">
        <v>0.9726808721079756</v>
      </c>
      <c r="H24" s="31"/>
      <c r="K24" s="46">
        <v>-1</v>
      </c>
      <c r="L24" s="44">
        <v>0.97331653244326299</v>
      </c>
      <c r="M24" s="44"/>
      <c r="N24" s="44"/>
      <c r="P24" s="35">
        <v>-1</v>
      </c>
      <c r="Q24" s="33">
        <f>B24/($E$7-(((13/2)-11)*$E$9))</f>
        <v>0.97779476399770693</v>
      </c>
      <c r="R24" s="33"/>
      <c r="S24" s="33"/>
    </row>
    <row r="25" spans="1:19" x14ac:dyDescent="0.3">
      <c r="A25" s="23">
        <v>39417</v>
      </c>
      <c r="B25" s="24">
        <v>901</v>
      </c>
      <c r="C25" s="50"/>
      <c r="E25">
        <v>1097.069444</v>
      </c>
      <c r="F25">
        <v>6.8611111100000004</v>
      </c>
      <c r="G25" s="24">
        <v>0.79815832719084823</v>
      </c>
      <c r="H25" s="1" t="s">
        <v>113</v>
      </c>
      <c r="I25" s="1" t="s">
        <v>119</v>
      </c>
      <c r="K25" s="46">
        <v>0</v>
      </c>
      <c r="L25" s="44">
        <v>0.80408022926024247</v>
      </c>
      <c r="M25" s="44"/>
      <c r="N25" s="44"/>
      <c r="P25" s="35">
        <v>0</v>
      </c>
      <c r="Q25" s="33">
        <f>B25/($E$7-(((13/2)-12)*$E$9))</f>
        <v>0.82127891225360505</v>
      </c>
      <c r="R25" s="33"/>
      <c r="S25" s="33"/>
    </row>
    <row r="26" spans="1:19" x14ac:dyDescent="0.3">
      <c r="A26" s="10">
        <v>39448</v>
      </c>
      <c r="B26" s="2">
        <v>896</v>
      </c>
      <c r="C26" s="26" t="s">
        <v>115</v>
      </c>
      <c r="E26">
        <f>0.2*(B26/G14)+(0.8)*(E25+F25)</f>
        <v>1119.1578764436429</v>
      </c>
      <c r="F26">
        <f>($E$14*(E26-E25))+(0.9*F25)</f>
        <v>8.3838432433642893</v>
      </c>
      <c r="G26">
        <f>0.15*(B26/E26)+(0.85*G14)</f>
        <v>0.76547729089271799</v>
      </c>
      <c r="H26" s="49">
        <v>0.76196535741311255</v>
      </c>
      <c r="I26">
        <f>(E26+F26)*G14</f>
        <v>856.1185444031812</v>
      </c>
      <c r="K26" s="41"/>
      <c r="L26" s="42" t="s">
        <v>111</v>
      </c>
      <c r="M26" s="42" t="s">
        <v>112</v>
      </c>
      <c r="N26" s="42" t="s">
        <v>113</v>
      </c>
    </row>
    <row r="27" spans="1:19" x14ac:dyDescent="0.3">
      <c r="A27" s="4">
        <v>39479</v>
      </c>
      <c r="B27">
        <v>793</v>
      </c>
      <c r="C27" s="26"/>
      <c r="E27">
        <f t="shared" ref="E27:E37" si="4">0.2*(B27/G15)+(0.8)*(E26+F26)</f>
        <v>1125.3582436820964</v>
      </c>
      <c r="F27">
        <f t="shared" ref="F27:F37" si="5">($E$14*(E27-E26))+(0.9*F26)</f>
        <v>8.1654956428732124</v>
      </c>
      <c r="G27">
        <f t="shared" ref="G27:G36" si="6">0.15*(B27/E27)+(0.85*G15)</f>
        <v>0.70934942133525425</v>
      </c>
      <c r="H27" s="49">
        <v>0.70937858208225812</v>
      </c>
      <c r="I27">
        <f t="shared" ref="I27:I37" si="7">(E27+F27)*G15</f>
        <v>805.0015509749918</v>
      </c>
      <c r="K27" s="41">
        <v>-23</v>
      </c>
      <c r="L27" s="43">
        <v>0.76196535741311255</v>
      </c>
      <c r="M27" s="43">
        <f>AVERAGE(L27,L39)</f>
        <v>0.76258519872994501</v>
      </c>
      <c r="N27" s="43">
        <f>(M27/$M$40)*12</f>
        <v>0.76187229631325437</v>
      </c>
    </row>
    <row r="28" spans="1:19" x14ac:dyDescent="0.3">
      <c r="A28" s="10">
        <v>39508</v>
      </c>
      <c r="B28" s="2">
        <v>885</v>
      </c>
      <c r="C28" s="26"/>
      <c r="E28">
        <f t="shared" si="4"/>
        <v>1132.9852674335782</v>
      </c>
      <c r="F28">
        <f t="shared" si="5"/>
        <v>8.1116484537340749</v>
      </c>
      <c r="G28">
        <f t="shared" si="6"/>
        <v>0.78238687776635718</v>
      </c>
      <c r="H28" s="49">
        <v>0.78207487378005403</v>
      </c>
      <c r="I28">
        <f t="shared" si="7"/>
        <v>893.03391163246715</v>
      </c>
      <c r="K28" s="41">
        <v>-22</v>
      </c>
      <c r="L28" s="43">
        <v>0.70937858208225812</v>
      </c>
      <c r="M28" s="43">
        <f t="shared" ref="M28:M38" si="8">AVERAGE(L28,L40)</f>
        <v>0.7083015002080062</v>
      </c>
      <c r="N28" s="43">
        <f t="shared" ref="N28:N38" si="9">(M28/$M$40)*12</f>
        <v>0.70763934488151303</v>
      </c>
    </row>
    <row r="29" spans="1:19" x14ac:dyDescent="0.3">
      <c r="A29" s="4">
        <v>39539</v>
      </c>
      <c r="B29">
        <v>1055</v>
      </c>
      <c r="C29" s="26"/>
      <c r="E29">
        <f t="shared" si="4"/>
        <v>1143.0058015906072</v>
      </c>
      <c r="F29">
        <f t="shared" si="5"/>
        <v>8.3025370240635716</v>
      </c>
      <c r="G29">
        <f t="shared" si="6"/>
        <v>0.91779871433900695</v>
      </c>
      <c r="H29" s="49">
        <v>0.91684275945616789</v>
      </c>
      <c r="I29">
        <f t="shared" si="7"/>
        <v>1055.6115536312896</v>
      </c>
      <c r="K29" s="41">
        <v>-21</v>
      </c>
      <c r="L29" s="43">
        <v>0.78207487378005403</v>
      </c>
      <c r="M29" s="43">
        <f t="shared" si="8"/>
        <v>0.78021081892497635</v>
      </c>
      <c r="N29" s="43">
        <f t="shared" si="9"/>
        <v>0.77948143920548241</v>
      </c>
    </row>
    <row r="30" spans="1:19" x14ac:dyDescent="0.3">
      <c r="A30" s="10">
        <v>39569</v>
      </c>
      <c r="B30" s="2">
        <v>1204</v>
      </c>
      <c r="C30" s="26"/>
      <c r="E30">
        <f t="shared" si="4"/>
        <v>1148.4722488249968</v>
      </c>
      <c r="F30">
        <f t="shared" si="5"/>
        <v>8.0189280450961675</v>
      </c>
      <c r="G30">
        <f t="shared" si="6"/>
        <v>1.0572391051116612</v>
      </c>
      <c r="H30" s="49">
        <v>1.0574507671719715</v>
      </c>
      <c r="I30">
        <f t="shared" si="7"/>
        <v>1224.5020015824334</v>
      </c>
      <c r="K30" s="41">
        <v>-20</v>
      </c>
      <c r="L30" s="43">
        <v>0.91684275945616789</v>
      </c>
      <c r="M30" s="43">
        <f t="shared" si="8"/>
        <v>0.91515975724397158</v>
      </c>
      <c r="N30" s="43">
        <f t="shared" si="9"/>
        <v>0.91430422057254934</v>
      </c>
    </row>
    <row r="31" spans="1:19" x14ac:dyDescent="0.3">
      <c r="A31" s="4">
        <v>39600</v>
      </c>
      <c r="B31">
        <v>1326</v>
      </c>
      <c r="C31" s="26"/>
      <c r="E31">
        <f t="shared" si="4"/>
        <v>1155.7800742366901</v>
      </c>
      <c r="F31">
        <f t="shared" si="5"/>
        <v>7.9478177817558837</v>
      </c>
      <c r="G31">
        <f t="shared" si="6"/>
        <v>1.149682972497148</v>
      </c>
      <c r="H31" s="49">
        <v>1.1492727849382143</v>
      </c>
      <c r="I31">
        <f t="shared" si="7"/>
        <v>1338.4122231592821</v>
      </c>
      <c r="K31" s="41">
        <v>-19</v>
      </c>
      <c r="L31" s="43">
        <v>1.0574507671719715</v>
      </c>
      <c r="M31" s="43">
        <f t="shared" si="8"/>
        <v>1.0552406352251167</v>
      </c>
      <c r="N31" s="43">
        <f t="shared" si="9"/>
        <v>1.054254144010371</v>
      </c>
    </row>
    <row r="32" spans="1:19" x14ac:dyDescent="0.3">
      <c r="A32" s="10">
        <v>39630</v>
      </c>
      <c r="B32" s="2">
        <v>1303</v>
      </c>
      <c r="C32" s="26"/>
      <c r="E32">
        <f t="shared" si="4"/>
        <v>1147.4985599137185</v>
      </c>
      <c r="F32">
        <f t="shared" si="5"/>
        <v>6.3248845712831363</v>
      </c>
      <c r="G32">
        <f t="shared" si="6"/>
        <v>1.1933911173530918</v>
      </c>
      <c r="H32" s="49">
        <v>1.1978491927199171</v>
      </c>
      <c r="I32">
        <f t="shared" si="7"/>
        <v>1388.7474717144748</v>
      </c>
      <c r="K32" s="41">
        <v>-18</v>
      </c>
      <c r="L32" s="43">
        <v>1.1492727849382143</v>
      </c>
      <c r="M32" s="43">
        <f t="shared" si="8"/>
        <v>1.1487644789956712</v>
      </c>
      <c r="N32" s="43">
        <f t="shared" si="9"/>
        <v>1.1476905570592786</v>
      </c>
    </row>
    <row r="33" spans="1:14" x14ac:dyDescent="0.3">
      <c r="A33" s="4">
        <v>39661</v>
      </c>
      <c r="B33">
        <v>1436</v>
      </c>
      <c r="C33" s="26"/>
      <c r="E33">
        <f t="shared" si="4"/>
        <v>1152.9864943820553</v>
      </c>
      <c r="F33">
        <f t="shared" si="5"/>
        <v>6.2411895609885022</v>
      </c>
      <c r="G33">
        <f t="shared" si="6"/>
        <v>1.2485440636051757</v>
      </c>
      <c r="H33" s="49">
        <v>1.2481400566017109</v>
      </c>
      <c r="I33">
        <f t="shared" si="7"/>
        <v>1447.9774931664401</v>
      </c>
      <c r="K33" s="41">
        <v>-17</v>
      </c>
      <c r="L33" s="43">
        <v>1.1978491927199171</v>
      </c>
      <c r="M33" s="43">
        <f t="shared" si="8"/>
        <v>1.1972128778506557</v>
      </c>
      <c r="N33" s="43">
        <f t="shared" si="9"/>
        <v>1.1960936639512325</v>
      </c>
    </row>
    <row r="34" spans="1:14" x14ac:dyDescent="0.3">
      <c r="A34" s="10">
        <v>39692</v>
      </c>
      <c r="B34" s="2">
        <v>1473</v>
      </c>
      <c r="C34" s="26"/>
      <c r="E34">
        <f t="shared" si="4"/>
        <v>1166.3028211522362</v>
      </c>
      <c r="F34">
        <f t="shared" si="5"/>
        <v>6.9487032819077443</v>
      </c>
      <c r="G34">
        <f t="shared" si="6"/>
        <v>1.2375332506503898</v>
      </c>
      <c r="H34" s="49">
        <v>1.2346205481747636</v>
      </c>
      <c r="I34">
        <f t="shared" si="7"/>
        <v>1446.6722084564344</v>
      </c>
      <c r="K34" s="41">
        <v>-16</v>
      </c>
      <c r="L34" s="43">
        <v>1.2481400566017109</v>
      </c>
      <c r="M34" s="43">
        <f t="shared" si="8"/>
        <v>1.2475246496322141</v>
      </c>
      <c r="N34" s="43">
        <f t="shared" si="9"/>
        <v>1.2463584017964506</v>
      </c>
    </row>
    <row r="35" spans="1:14" x14ac:dyDescent="0.3">
      <c r="A35" s="4">
        <v>39722</v>
      </c>
      <c r="B35">
        <v>1453</v>
      </c>
      <c r="C35" s="26"/>
      <c r="E35">
        <f t="shared" si="4"/>
        <v>1187.9229662155963</v>
      </c>
      <c r="F35">
        <f t="shared" si="5"/>
        <v>8.4158474600529747</v>
      </c>
      <c r="G35">
        <f t="shared" si="6"/>
        <v>1.1741993507297404</v>
      </c>
      <c r="H35" s="49">
        <v>1.1692474781770712</v>
      </c>
      <c r="I35">
        <f t="shared" si="7"/>
        <v>1394.4072825572448</v>
      </c>
      <c r="K35" s="41">
        <v>-15</v>
      </c>
      <c r="L35" s="43">
        <v>1.2346205481747636</v>
      </c>
      <c r="M35" s="43">
        <f t="shared" si="8"/>
        <v>1.2368713910551623</v>
      </c>
      <c r="N35" s="43">
        <f t="shared" si="9"/>
        <v>1.2357151024132016</v>
      </c>
    </row>
    <row r="36" spans="1:14" x14ac:dyDescent="0.3">
      <c r="A36" s="10">
        <v>39753</v>
      </c>
      <c r="B36" s="2">
        <v>1170</v>
      </c>
      <c r="C36" s="26"/>
      <c r="E36">
        <f t="shared" si="4"/>
        <v>1197.6432742771208</v>
      </c>
      <c r="F36">
        <f t="shared" si="5"/>
        <v>8.5462935202001287</v>
      </c>
      <c r="G36">
        <f t="shared" si="6"/>
        <v>0.97331653244326299</v>
      </c>
      <c r="H36" s="49">
        <v>0.97247199013306496</v>
      </c>
      <c r="I36">
        <f t="shared" si="7"/>
        <v>1173.2375207326402</v>
      </c>
      <c r="K36" s="41">
        <v>-14</v>
      </c>
      <c r="L36" s="43">
        <v>1.1692474781770712</v>
      </c>
      <c r="M36" s="43">
        <f t="shared" si="8"/>
        <v>1.1742740437067352</v>
      </c>
      <c r="N36" s="43">
        <f t="shared" si="9"/>
        <v>1.1731762741656926</v>
      </c>
    </row>
    <row r="37" spans="1:14" x14ac:dyDescent="0.3">
      <c r="A37" s="4">
        <v>39783</v>
      </c>
      <c r="B37">
        <v>1023</v>
      </c>
      <c r="C37" s="26"/>
      <c r="E37">
        <f t="shared" si="4"/>
        <v>1221.2917725200255</v>
      </c>
      <c r="F37">
        <f t="shared" si="5"/>
        <v>10.056513992470585</v>
      </c>
      <c r="G37">
        <f>0.15*(B37/E37)+(0.85*G25)</f>
        <v>0.80408022926024247</v>
      </c>
      <c r="H37" s="49">
        <v>0.80068560935169308</v>
      </c>
      <c r="I37">
        <f t="shared" si="7"/>
        <v>982.81088855213113</v>
      </c>
      <c r="K37" s="41">
        <v>-13</v>
      </c>
      <c r="L37" s="43">
        <v>0.97247199013306496</v>
      </c>
      <c r="M37" s="43">
        <f t="shared" si="8"/>
        <v>0.97857854772454411</v>
      </c>
      <c r="N37" s="43">
        <f t="shared" si="9"/>
        <v>0.9776637240264755</v>
      </c>
    </row>
    <row r="38" spans="1:14" x14ac:dyDescent="0.3">
      <c r="A38" s="10">
        <v>39814</v>
      </c>
      <c r="B38" s="2">
        <v>951</v>
      </c>
      <c r="C38" s="27" t="s">
        <v>116</v>
      </c>
      <c r="E38">
        <f>0.2*(B38/H26)+(0.8)*(E37+F37)</f>
        <v>1234.6962767179266</v>
      </c>
      <c r="F38">
        <f t="shared" ref="F28:F61" si="10">($E$14*(E38-E37))+(0.9*F37)</f>
        <v>10.39131301301364</v>
      </c>
      <c r="G38">
        <f>0.15*(B38/E38)+(0.85*H26)</f>
        <v>0.76320504004677736</v>
      </c>
      <c r="H38" s="40">
        <v>0.76187229631325437</v>
      </c>
      <c r="I38">
        <f>(E38+F38)*H26</f>
        <v>948.71361031996673</v>
      </c>
      <c r="K38" s="41">
        <v>-12</v>
      </c>
      <c r="L38" s="43">
        <v>0.80068560935169308</v>
      </c>
      <c r="M38" s="43">
        <f t="shared" si="8"/>
        <v>0.80650479223265337</v>
      </c>
      <c r="N38" s="43">
        <f t="shared" si="9"/>
        <v>0.80575083160449945</v>
      </c>
    </row>
    <row r="39" spans="1:14" x14ac:dyDescent="0.3">
      <c r="A39" s="4">
        <v>39845</v>
      </c>
      <c r="B39">
        <v>861</v>
      </c>
      <c r="C39" s="28"/>
      <c r="E39">
        <f t="shared" ref="E39:E49" si="11">0.2*(B39/H27)+(0.8)*(E38+F38)</f>
        <v>1238.8177446769005</v>
      </c>
      <c r="F39">
        <f t="shared" si="10"/>
        <v>9.7643285076096653</v>
      </c>
      <c r="G39">
        <f t="shared" ref="G39:G61" si="12">0.15*(B39/E39)+(0.85*H27)</f>
        <v>0.70722441833375438</v>
      </c>
      <c r="H39" s="40">
        <v>0.70763934488151303</v>
      </c>
      <c r="I39">
        <f t="shared" ref="I39:I61" si="13">(E39+F39)*H27</f>
        <v>885.71738068895399</v>
      </c>
      <c r="K39" s="41">
        <v>-11</v>
      </c>
      <c r="L39" s="43">
        <v>0.76320504004677736</v>
      </c>
      <c r="M39" s="43"/>
      <c r="N39" s="43"/>
    </row>
    <row r="40" spans="1:14" x14ac:dyDescent="0.3">
      <c r="A40" s="10">
        <v>39873</v>
      </c>
      <c r="B40" s="2">
        <v>938</v>
      </c>
      <c r="C40" s="28"/>
      <c r="E40">
        <f t="shared" si="11"/>
        <v>1238.7403895861603</v>
      </c>
      <c r="F40">
        <f t="shared" si="10"/>
        <v>8.78016014777468</v>
      </c>
      <c r="G40">
        <f t="shared" si="12"/>
        <v>0.77834676406989867</v>
      </c>
      <c r="H40" s="40">
        <v>0.77948143920548241</v>
      </c>
      <c r="I40">
        <f t="shared" si="13"/>
        <v>975.65447647119083</v>
      </c>
      <c r="K40" s="41">
        <v>-10</v>
      </c>
      <c r="L40" s="43">
        <v>0.70722441833375438</v>
      </c>
      <c r="M40" s="43">
        <f>SUM(M27:M38)</f>
        <v>12.01122869152965</v>
      </c>
      <c r="N40" s="43"/>
    </row>
    <row r="41" spans="1:14" x14ac:dyDescent="0.3">
      <c r="A41" s="4">
        <v>39904</v>
      </c>
      <c r="B41">
        <v>1109</v>
      </c>
      <c r="C41" s="28"/>
      <c r="E41">
        <f t="shared" si="11"/>
        <v>1239.9336035672954</v>
      </c>
      <c r="F41">
        <f t="shared" si="10"/>
        <v>8.0214655311107279</v>
      </c>
      <c r="G41">
        <f t="shared" si="12"/>
        <v>0.91347675503177539</v>
      </c>
      <c r="H41" s="40">
        <v>0.91430422057254934</v>
      </c>
      <c r="I41">
        <f t="shared" si="13"/>
        <v>1144.1785692294955</v>
      </c>
      <c r="K41" s="41">
        <v>-9</v>
      </c>
      <c r="L41" s="43">
        <v>0.77834676406989867</v>
      </c>
      <c r="M41" s="43"/>
      <c r="N41" s="43"/>
    </row>
    <row r="42" spans="1:14" x14ac:dyDescent="0.3">
      <c r="A42" s="10">
        <v>39934</v>
      </c>
      <c r="B42" s="2">
        <v>1274</v>
      </c>
      <c r="C42" s="28"/>
      <c r="E42">
        <f t="shared" si="11"/>
        <v>1239.320899710767</v>
      </c>
      <c r="F42">
        <f t="shared" si="10"/>
        <v>7.158048592346808</v>
      </c>
      <c r="G42">
        <f t="shared" si="12"/>
        <v>1.0530305032782619</v>
      </c>
      <c r="H42" s="40">
        <v>1.054254144010371</v>
      </c>
      <c r="I42">
        <f t="shared" si="13"/>
        <v>1318.09012014684</v>
      </c>
      <c r="K42" s="41">
        <v>-8</v>
      </c>
      <c r="L42" s="43">
        <v>0.91347675503177539</v>
      </c>
      <c r="M42" s="43"/>
      <c r="N42" s="43"/>
    </row>
    <row r="43" spans="1:14" x14ac:dyDescent="0.3">
      <c r="A43" s="4">
        <v>39965</v>
      </c>
      <c r="B43">
        <v>1422</v>
      </c>
      <c r="C43" s="28"/>
      <c r="E43">
        <f t="shared" si="11"/>
        <v>1244.6439910290246</v>
      </c>
      <c r="F43">
        <f t="shared" si="10"/>
        <v>6.9745528649378912</v>
      </c>
      <c r="G43">
        <f t="shared" si="12"/>
        <v>1.1482561730531282</v>
      </c>
      <c r="H43" s="40">
        <v>1.1476905570592786</v>
      </c>
      <c r="I43">
        <f t="shared" si="13"/>
        <v>1438.4511296213268</v>
      </c>
      <c r="K43" s="41">
        <v>-7</v>
      </c>
      <c r="L43" s="43">
        <v>1.0530305032782619</v>
      </c>
      <c r="M43" s="43"/>
      <c r="N43" s="43"/>
    </row>
    <row r="44" spans="1:14" x14ac:dyDescent="0.3">
      <c r="A44" s="10">
        <v>39995</v>
      </c>
      <c r="B44" s="2">
        <v>1486</v>
      </c>
      <c r="C44" s="28"/>
      <c r="E44">
        <f t="shared" si="11"/>
        <v>1249.4062015595198</v>
      </c>
      <c r="F44">
        <f t="shared" si="10"/>
        <v>6.7533186314936184</v>
      </c>
      <c r="G44">
        <f t="shared" si="12"/>
        <v>1.1965765629813945</v>
      </c>
      <c r="H44" s="40">
        <v>1.1960936639512325</v>
      </c>
      <c r="I44">
        <f t="shared" si="13"/>
        <v>1504.6896671882437</v>
      </c>
      <c r="K44" s="41">
        <v>-6</v>
      </c>
      <c r="L44" s="43">
        <v>1.1482561730531282</v>
      </c>
      <c r="M44" s="43"/>
      <c r="N44" s="43"/>
    </row>
    <row r="45" spans="1:14" x14ac:dyDescent="0.3">
      <c r="A45" s="4">
        <v>40026</v>
      </c>
      <c r="B45">
        <v>1555</v>
      </c>
      <c r="C45" s="28"/>
      <c r="E45">
        <f t="shared" si="11"/>
        <v>1254.0983709531608</v>
      </c>
      <c r="F45">
        <f t="shared" si="10"/>
        <v>6.5472037077083618</v>
      </c>
      <c r="G45">
        <f t="shared" si="12"/>
        <v>1.2469092426627171</v>
      </c>
      <c r="H45" s="40">
        <v>1.2463584017964506</v>
      </c>
      <c r="I45">
        <f t="shared" si="13"/>
        <v>1573.4622389119136</v>
      </c>
      <c r="K45" s="41">
        <v>-5</v>
      </c>
      <c r="L45" s="43">
        <v>1.1965765629813945</v>
      </c>
      <c r="M45" s="43"/>
      <c r="N45" s="43"/>
    </row>
    <row r="46" spans="1:14" x14ac:dyDescent="0.3">
      <c r="A46" s="10">
        <v>40057</v>
      </c>
      <c r="B46" s="2">
        <v>1604</v>
      </c>
      <c r="C46" s="28"/>
      <c r="E46">
        <f t="shared" si="11"/>
        <v>1268.3533792374981</v>
      </c>
      <c r="F46">
        <f t="shared" si="10"/>
        <v>7.3179841653712492</v>
      </c>
      <c r="G46">
        <f t="shared" si="12"/>
        <v>1.2391222339355612</v>
      </c>
      <c r="H46" s="40">
        <v>1.2357151024132016</v>
      </c>
      <c r="I46">
        <f t="shared" si="13"/>
        <v>1574.9700779752986</v>
      </c>
      <c r="K46" s="41">
        <v>-4</v>
      </c>
      <c r="L46" s="43">
        <v>1.2469092426627171</v>
      </c>
      <c r="M46" s="43"/>
      <c r="N46" s="43"/>
    </row>
    <row r="47" spans="1:14" x14ac:dyDescent="0.3">
      <c r="A47" s="4">
        <v>40087</v>
      </c>
      <c r="B47">
        <v>1600</v>
      </c>
      <c r="C47" s="28"/>
      <c r="E47">
        <f t="shared" si="11"/>
        <v>1294.2173902076531</v>
      </c>
      <c r="F47">
        <f t="shared" si="10"/>
        <v>9.1725868458496294</v>
      </c>
      <c r="G47">
        <f t="shared" si="12"/>
        <v>1.1793006092363989</v>
      </c>
      <c r="H47" s="40">
        <v>1.1731762741656926</v>
      </c>
      <c r="I47">
        <f t="shared" si="13"/>
        <v>1523.9854437510787</v>
      </c>
      <c r="K47" s="41">
        <v>-3</v>
      </c>
      <c r="L47" s="43">
        <v>1.2391222339355612</v>
      </c>
      <c r="M47" s="43"/>
      <c r="N47" s="43"/>
    </row>
    <row r="48" spans="1:14" x14ac:dyDescent="0.3">
      <c r="A48" s="10">
        <v>40118</v>
      </c>
      <c r="B48" s="2">
        <v>1403</v>
      </c>
      <c r="C48" s="28"/>
      <c r="E48">
        <f t="shared" si="11"/>
        <v>1331.254996605737</v>
      </c>
      <c r="F48">
        <f t="shared" si="10"/>
        <v>11.959088801073054</v>
      </c>
      <c r="G48">
        <f t="shared" si="12"/>
        <v>0.98468510531602338</v>
      </c>
      <c r="H48" s="40">
        <v>0.9776637240264755</v>
      </c>
      <c r="I48">
        <f t="shared" si="13"/>
        <v>1306.2380748103253</v>
      </c>
      <c r="K48" s="41">
        <v>-2</v>
      </c>
      <c r="L48" s="43">
        <v>1.1793006092363989</v>
      </c>
      <c r="M48" s="43"/>
      <c r="N48" s="43"/>
    </row>
    <row r="49" spans="1:14" x14ac:dyDescent="0.3">
      <c r="A49" s="4">
        <v>40148</v>
      </c>
      <c r="B49">
        <v>1209</v>
      </c>
      <c r="C49" s="29"/>
      <c r="E49">
        <f t="shared" si="11"/>
        <v>1376.5624583454398</v>
      </c>
      <c r="F49">
        <f t="shared" si="10"/>
        <v>15.293926094936033</v>
      </c>
      <c r="G49">
        <f t="shared" si="12"/>
        <v>0.81232397511361354</v>
      </c>
      <c r="H49" s="40">
        <v>0.80575083160449945</v>
      </c>
      <c r="I49">
        <f t="shared" si="13"/>
        <v>1114.4393773056868</v>
      </c>
      <c r="K49" s="41">
        <v>-1</v>
      </c>
      <c r="L49" s="43">
        <v>0.98468510531602338</v>
      </c>
      <c r="M49" s="43"/>
      <c r="N49" s="43"/>
    </row>
    <row r="50" spans="1:14" x14ac:dyDescent="0.3">
      <c r="A50" s="10">
        <v>40179</v>
      </c>
      <c r="B50" s="2">
        <v>1030</v>
      </c>
      <c r="C50" s="26" t="s">
        <v>117</v>
      </c>
      <c r="E50">
        <f>0.2*(B50/H38)+(0.8)*(E49+F49)</f>
        <v>1383.8716290163918</v>
      </c>
      <c r="F50">
        <f t="shared" si="10"/>
        <v>14.495450552537626</v>
      </c>
      <c r="G50">
        <f t="shared" si="12"/>
        <v>0.75923475516153882</v>
      </c>
      <c r="H50" s="36">
        <v>0.76372052774555854</v>
      </c>
      <c r="I50">
        <f t="shared" si="13"/>
        <v>1065.3771380000396</v>
      </c>
      <c r="K50" s="41">
        <v>0</v>
      </c>
      <c r="L50" s="43">
        <v>0.81232397511361354</v>
      </c>
      <c r="M50" s="43"/>
      <c r="N50" s="43"/>
    </row>
    <row r="51" spans="1:14" x14ac:dyDescent="0.3">
      <c r="A51" s="4">
        <v>40210</v>
      </c>
      <c r="B51">
        <v>1032</v>
      </c>
      <c r="C51" s="26"/>
      <c r="E51">
        <f t="shared" ref="E51:E61" si="14">0.2*(B51/H39)+(0.8)*(E50+F50)</f>
        <v>1410.3676660872152</v>
      </c>
      <c r="F51">
        <f t="shared" si="10"/>
        <v>15.695509204366202</v>
      </c>
      <c r="G51">
        <f t="shared" si="12"/>
        <v>0.7112520569648324</v>
      </c>
      <c r="H51" s="36">
        <v>0.71239988610997762</v>
      </c>
      <c r="I51">
        <f t="shared" si="13"/>
        <v>1009.1384111229848</v>
      </c>
      <c r="K51" s="39"/>
      <c r="L51" s="38" t="s">
        <v>111</v>
      </c>
      <c r="M51" s="38" t="s">
        <v>112</v>
      </c>
      <c r="N51" s="38" t="s">
        <v>113</v>
      </c>
    </row>
    <row r="52" spans="1:14" x14ac:dyDescent="0.3">
      <c r="A52" s="10">
        <v>40238</v>
      </c>
      <c r="B52" s="2">
        <v>1126</v>
      </c>
      <c r="C52" s="26"/>
      <c r="E52">
        <f t="shared" si="14"/>
        <v>1429.7605625546998</v>
      </c>
      <c r="F52">
        <f t="shared" si="10"/>
        <v>16.065247930678048</v>
      </c>
      <c r="G52">
        <f t="shared" si="12"/>
        <v>0.7806908912580719</v>
      </c>
      <c r="H52" s="36">
        <v>0.78333450261793702</v>
      </c>
      <c r="I52">
        <f t="shared" si="13"/>
        <v>1126.9943835975753</v>
      </c>
      <c r="K52" s="39">
        <v>-23</v>
      </c>
      <c r="L52" s="37">
        <v>0.76187229631325437</v>
      </c>
      <c r="M52" s="37">
        <f>AVERAGE(L52,L64)</f>
        <v>0.76055352573739654</v>
      </c>
      <c r="N52" s="37">
        <f>(M52/$M$65)*12</f>
        <v>0.76372052774555854</v>
      </c>
    </row>
    <row r="53" spans="1:14" x14ac:dyDescent="0.3">
      <c r="A53" s="4">
        <v>40269</v>
      </c>
      <c r="B53">
        <v>1285</v>
      </c>
      <c r="C53" s="26"/>
      <c r="E53">
        <f t="shared" si="14"/>
        <v>1437.7487088142545</v>
      </c>
      <c r="F53">
        <f t="shared" si="10"/>
        <v>15.257537763565713</v>
      </c>
      <c r="G53">
        <f t="shared" si="12"/>
        <v>0.91122234898986132</v>
      </c>
      <c r="H53" s="36">
        <v>0.91656409965886421</v>
      </c>
      <c r="I53">
        <f t="shared" si="13"/>
        <v>1328.4897437643795</v>
      </c>
      <c r="K53" s="39">
        <v>-22</v>
      </c>
      <c r="L53" s="37">
        <v>0.70763934488151303</v>
      </c>
      <c r="M53" s="37">
        <f t="shared" ref="M53:M63" si="15">AVERAGE(L53,L65)</f>
        <v>0.70944570092317272</v>
      </c>
      <c r="N53" s="37">
        <f t="shared" ref="N53:N63" si="16">(M53/$M$65)*12</f>
        <v>0.71239988610997762</v>
      </c>
    </row>
    <row r="54" spans="1:14" x14ac:dyDescent="0.3">
      <c r="A54" s="10">
        <v>40299</v>
      </c>
      <c r="B54" s="2">
        <v>1468</v>
      </c>
      <c r="C54" s="26"/>
      <c r="E54">
        <f t="shared" si="14"/>
        <v>1440.8957214088543</v>
      </c>
      <c r="F54">
        <f t="shared" si="10"/>
        <v>14.046485246669121</v>
      </c>
      <c r="G54">
        <f t="shared" si="12"/>
        <v>1.0489376296412225</v>
      </c>
      <c r="H54" s="36">
        <v>1.0559748110864176</v>
      </c>
      <c r="I54">
        <f t="shared" si="13"/>
        <v>1533.8788506621793</v>
      </c>
      <c r="K54" s="39">
        <v>-21</v>
      </c>
      <c r="L54" s="37">
        <v>0.77948143920548241</v>
      </c>
      <c r="M54" s="37">
        <f t="shared" si="15"/>
        <v>0.78008616523177721</v>
      </c>
      <c r="N54" s="37">
        <f t="shared" si="16"/>
        <v>0.78333450261793702</v>
      </c>
    </row>
    <row r="55" spans="1:14" x14ac:dyDescent="0.3">
      <c r="A55" s="4">
        <v>40330</v>
      </c>
      <c r="B55">
        <v>1637</v>
      </c>
      <c r="C55" s="26"/>
      <c r="E55">
        <f t="shared" si="14"/>
        <v>1449.2222969736599</v>
      </c>
      <c r="F55">
        <f t="shared" si="10"/>
        <v>13.474494278482767</v>
      </c>
      <c r="G55">
        <f t="shared" si="12"/>
        <v>1.1449726774036251</v>
      </c>
      <c r="H55" s="36">
        <v>1.1511050281893087</v>
      </c>
      <c r="I55">
        <f t="shared" si="13"/>
        <v>1678.723295160991</v>
      </c>
      <c r="K55" s="39">
        <v>-20</v>
      </c>
      <c r="L55" s="37">
        <v>0.91430422057254934</v>
      </c>
      <c r="M55" s="37">
        <f t="shared" si="15"/>
        <v>0.91276328478120528</v>
      </c>
      <c r="N55" s="37">
        <f t="shared" si="16"/>
        <v>0.91656409965886421</v>
      </c>
    </row>
    <row r="56" spans="1:14" x14ac:dyDescent="0.3">
      <c r="A56" s="10">
        <v>40360</v>
      </c>
      <c r="B56" s="2">
        <v>1611</v>
      </c>
      <c r="C56" s="26"/>
      <c r="E56">
        <f t="shared" si="14"/>
        <v>1439.5343302386993</v>
      </c>
      <c r="F56">
        <f t="shared" si="10"/>
        <v>11.158248177138432</v>
      </c>
      <c r="G56">
        <f t="shared" si="12"/>
        <v>1.1845463994180818</v>
      </c>
      <c r="H56" s="36">
        <v>1.1952766137043722</v>
      </c>
      <c r="I56">
        <f t="shared" si="13"/>
        <v>1735.16420138426</v>
      </c>
      <c r="K56" s="39">
        <v>-19</v>
      </c>
      <c r="L56" s="37">
        <v>1.054254144010371</v>
      </c>
      <c r="M56" s="37">
        <f t="shared" si="15"/>
        <v>1.0515958868257966</v>
      </c>
      <c r="N56" s="37">
        <f t="shared" si="16"/>
        <v>1.0559748110864176</v>
      </c>
    </row>
    <row r="57" spans="1:14" x14ac:dyDescent="0.3">
      <c r="A57" s="4">
        <v>40391</v>
      </c>
      <c r="B57">
        <v>1608</v>
      </c>
      <c r="C57" s="26"/>
      <c r="E57">
        <f t="shared" si="14"/>
        <v>1418.5857810060488</v>
      </c>
      <c r="F57">
        <f t="shared" si="10"/>
        <v>7.9475684361595373</v>
      </c>
      <c r="G57">
        <f t="shared" si="12"/>
        <v>1.229433132739508</v>
      </c>
      <c r="H57" s="36">
        <v>1.2430504582241904</v>
      </c>
      <c r="I57">
        <f t="shared" si="13"/>
        <v>1777.9718255201285</v>
      </c>
      <c r="K57" s="39">
        <v>-18</v>
      </c>
      <c r="L57" s="37">
        <v>1.1476905570592786</v>
      </c>
      <c r="M57" s="37">
        <f t="shared" si="15"/>
        <v>1.1463316172314517</v>
      </c>
      <c r="N57" s="37">
        <f t="shared" si="16"/>
        <v>1.1511050281893087</v>
      </c>
    </row>
    <row r="58" spans="1:14" x14ac:dyDescent="0.3">
      <c r="A58" s="10">
        <v>40422</v>
      </c>
      <c r="B58" s="2">
        <v>1528</v>
      </c>
      <c r="C58" s="26"/>
      <c r="E58">
        <f t="shared" si="14"/>
        <v>1388.5328744875346</v>
      </c>
      <c r="F58">
        <f t="shared" si="10"/>
        <v>4.1475209406921643</v>
      </c>
      <c r="G58">
        <f t="shared" si="12"/>
        <v>1.2154241485597557</v>
      </c>
      <c r="H58" s="36">
        <v>1.2306729894624657</v>
      </c>
      <c r="I58">
        <f t="shared" si="13"/>
        <v>1720.9561974654493</v>
      </c>
      <c r="K58" s="39">
        <v>-17</v>
      </c>
      <c r="L58" s="37">
        <v>1.1960936639512325</v>
      </c>
      <c r="M58" s="37">
        <f t="shared" si="15"/>
        <v>1.1903200316846572</v>
      </c>
      <c r="N58" s="37">
        <f t="shared" si="16"/>
        <v>1.1952766137043722</v>
      </c>
    </row>
    <row r="59" spans="1:14" x14ac:dyDescent="0.3">
      <c r="A59" s="4">
        <v>40452</v>
      </c>
      <c r="B59">
        <v>1420</v>
      </c>
      <c r="C59" s="26"/>
      <c r="E59">
        <f t="shared" si="14"/>
        <v>1356.2221747632757</v>
      </c>
      <c r="F59">
        <f t="shared" si="10"/>
        <v>0.50169887419705361</v>
      </c>
      <c r="G59">
        <f t="shared" si="12"/>
        <v>1.1542537464508436</v>
      </c>
      <c r="H59" s="36">
        <v>1.1685608070206051</v>
      </c>
      <c r="I59">
        <f t="shared" si="13"/>
        <v>1591.6762591456561</v>
      </c>
      <c r="K59" s="39">
        <v>-16</v>
      </c>
      <c r="L59" s="37">
        <v>1.2463584017964506</v>
      </c>
      <c r="M59" s="37">
        <f t="shared" si="15"/>
        <v>1.2378957672679793</v>
      </c>
      <c r="N59" s="37">
        <f t="shared" si="16"/>
        <v>1.2430504582241904</v>
      </c>
    </row>
    <row r="60" spans="1:14" x14ac:dyDescent="0.3">
      <c r="A60" s="10">
        <v>40483</v>
      </c>
      <c r="B60" s="2">
        <v>1119</v>
      </c>
      <c r="C60" s="26"/>
      <c r="E60">
        <f t="shared" si="14"/>
        <v>1314.2921643127602</v>
      </c>
      <c r="F60">
        <f t="shared" si="10"/>
        <v>-3.7414720582742031</v>
      </c>
      <c r="G60">
        <f t="shared" si="12"/>
        <v>0.95872549518438277</v>
      </c>
      <c r="H60" s="36">
        <v>0.97222624468323526</v>
      </c>
      <c r="I60">
        <f t="shared" si="13"/>
        <v>1281.2778703149961</v>
      </c>
      <c r="K60" s="39">
        <v>-15</v>
      </c>
      <c r="L60" s="37">
        <v>1.2357151024132016</v>
      </c>
      <c r="M60" s="37">
        <f t="shared" si="15"/>
        <v>1.2255696254864787</v>
      </c>
      <c r="N60" s="37">
        <f t="shared" si="16"/>
        <v>1.2306729894624657</v>
      </c>
    </row>
    <row r="61" spans="1:14" x14ac:dyDescent="0.3">
      <c r="A61" s="13">
        <v>40513</v>
      </c>
      <c r="B61" s="3">
        <v>1013</v>
      </c>
      <c r="C61" s="26"/>
      <c r="E61">
        <f t="shared" si="14"/>
        <v>1299.8830494899546</v>
      </c>
      <c r="F61">
        <f t="shared" si="10"/>
        <v>-4.8082363347273409</v>
      </c>
      <c r="G61">
        <f t="shared" si="12"/>
        <v>0.80178333836017091</v>
      </c>
      <c r="H61" s="36">
        <v>0.80711403149706684</v>
      </c>
      <c r="I61">
        <f t="shared" si="13"/>
        <v>1043.5076076898661</v>
      </c>
      <c r="K61" s="39">
        <v>-14</v>
      </c>
      <c r="L61" s="37">
        <v>1.1731762741656926</v>
      </c>
      <c r="M61" s="37">
        <f t="shared" si="15"/>
        <v>1.1637150103082681</v>
      </c>
      <c r="N61" s="37">
        <f t="shared" si="16"/>
        <v>1.1685608070206051</v>
      </c>
    </row>
    <row r="62" spans="1:14" x14ac:dyDescent="0.3">
      <c r="K62" s="39">
        <v>-13</v>
      </c>
      <c r="L62" s="37">
        <v>0.9776637240264755</v>
      </c>
      <c r="M62" s="37">
        <f t="shared" si="15"/>
        <v>0.96819460960542914</v>
      </c>
      <c r="N62" s="37">
        <f t="shared" si="16"/>
        <v>0.97222624468323526</v>
      </c>
    </row>
    <row r="63" spans="1:14" x14ac:dyDescent="0.3">
      <c r="C63" s="1" t="s">
        <v>103</v>
      </c>
      <c r="D63" s="1" t="s">
        <v>104</v>
      </c>
      <c r="E63" s="1" t="s">
        <v>110</v>
      </c>
      <c r="F63" s="1" t="s">
        <v>106</v>
      </c>
      <c r="G63" s="1" t="s">
        <v>107</v>
      </c>
      <c r="H63" s="1" t="s">
        <v>108</v>
      </c>
      <c r="I63" s="1" t="s">
        <v>109</v>
      </c>
      <c r="K63" s="39">
        <v>-12</v>
      </c>
      <c r="L63" s="37">
        <v>0.80575083160449945</v>
      </c>
      <c r="M63" s="37">
        <f t="shared" si="15"/>
        <v>0.80376708498233518</v>
      </c>
      <c r="N63" s="37">
        <f t="shared" si="16"/>
        <v>0.80711403149706684</v>
      </c>
    </row>
    <row r="64" spans="1:14" x14ac:dyDescent="0.3">
      <c r="C64">
        <f>I26-B26</f>
        <v>-39.881455596818796</v>
      </c>
      <c r="D64">
        <f>ABS(C64)</f>
        <v>39.881455596818796</v>
      </c>
      <c r="E64">
        <f>C64^2</f>
        <v>1590.5305005210294</v>
      </c>
      <c r="F64">
        <f>ABS(C64/B26)</f>
        <v>4.4510553121449546E-2</v>
      </c>
      <c r="G64">
        <f>AVERAGE(D64:D99)</f>
        <v>52.091410063976994</v>
      </c>
      <c r="H64">
        <f>AVERAGE(E64:E99)</f>
        <v>5409.6647516401727</v>
      </c>
      <c r="I64" s="19">
        <f>AVERAGE(F64:F99)</f>
        <v>3.9532414729641953E-2</v>
      </c>
      <c r="K64" s="39">
        <v>-11</v>
      </c>
      <c r="L64" s="37">
        <v>0.75923475516153882</v>
      </c>
      <c r="M64" s="37"/>
      <c r="N64" s="37"/>
    </row>
    <row r="65" spans="3:14" x14ac:dyDescent="0.3">
      <c r="C65">
        <f t="shared" ref="C65:C128" si="17">I27-B27</f>
        <v>12.001550974991801</v>
      </c>
      <c r="D65">
        <f t="shared" ref="D65:D99" si="18">ABS(C65)</f>
        <v>12.001550974991801</v>
      </c>
      <c r="E65">
        <f t="shared" ref="E65:E99" si="19">C65^2</f>
        <v>144.03722580532664</v>
      </c>
      <c r="F65">
        <f t="shared" ref="F65:F99" si="20">ABS(C65/B27)</f>
        <v>1.5134364407303659E-2</v>
      </c>
      <c r="K65" s="39">
        <v>-10</v>
      </c>
      <c r="L65" s="37">
        <v>0.7112520569648324</v>
      </c>
      <c r="M65" s="37">
        <f>SUM(M52:M63)</f>
        <v>11.950238310065949</v>
      </c>
      <c r="N65" s="37"/>
    </row>
    <row r="66" spans="3:14" x14ac:dyDescent="0.3">
      <c r="C66">
        <f t="shared" si="17"/>
        <v>8.0339116324671522</v>
      </c>
      <c r="D66">
        <f t="shared" si="18"/>
        <v>8.0339116324671522</v>
      </c>
      <c r="E66">
        <f t="shared" si="19"/>
        <v>64.543736118291022</v>
      </c>
      <c r="F66">
        <f t="shared" si="20"/>
        <v>9.0778662513753133E-3</v>
      </c>
      <c r="K66" s="39">
        <v>-9</v>
      </c>
      <c r="L66" s="37">
        <v>0.7806908912580719</v>
      </c>
      <c r="M66" s="37"/>
      <c r="N66" s="37"/>
    </row>
    <row r="67" spans="3:14" x14ac:dyDescent="0.3">
      <c r="C67">
        <f t="shared" si="17"/>
        <v>0.61155363128955287</v>
      </c>
      <c r="D67">
        <f t="shared" si="18"/>
        <v>0.61155363128955287</v>
      </c>
      <c r="E67">
        <f t="shared" si="19"/>
        <v>0.37399784394343838</v>
      </c>
      <c r="F67">
        <f t="shared" si="20"/>
        <v>5.7967168842611649E-4</v>
      </c>
      <c r="K67" s="39">
        <v>-8</v>
      </c>
      <c r="L67" s="37">
        <v>0.91122234898986132</v>
      </c>
      <c r="M67" s="37"/>
      <c r="N67" s="37"/>
    </row>
    <row r="68" spans="3:14" x14ac:dyDescent="0.3">
      <c r="C68">
        <f t="shared" si="17"/>
        <v>20.502001582433422</v>
      </c>
      <c r="D68">
        <f t="shared" si="18"/>
        <v>20.502001582433422</v>
      </c>
      <c r="E68">
        <f t="shared" si="19"/>
        <v>420.33206888610255</v>
      </c>
      <c r="F68">
        <f t="shared" si="20"/>
        <v>1.7028240516971282E-2</v>
      </c>
      <c r="K68" s="39">
        <v>-7</v>
      </c>
      <c r="L68" s="37">
        <v>1.0489376296412225</v>
      </c>
      <c r="M68" s="37"/>
      <c r="N68" s="37"/>
    </row>
    <row r="69" spans="3:14" x14ac:dyDescent="0.3">
      <c r="C69">
        <f t="shared" si="17"/>
        <v>12.412223159282121</v>
      </c>
      <c r="D69">
        <f t="shared" si="18"/>
        <v>12.412223159282121</v>
      </c>
      <c r="E69">
        <f t="shared" si="19"/>
        <v>154.06328375581944</v>
      </c>
      <c r="F69">
        <f t="shared" si="20"/>
        <v>9.3606509496848567E-3</v>
      </c>
      <c r="K69" s="39">
        <v>-6</v>
      </c>
      <c r="L69" s="37">
        <v>1.1449726774036251</v>
      </c>
      <c r="M69" s="37"/>
      <c r="N69" s="37"/>
    </row>
    <row r="70" spans="3:14" x14ac:dyDescent="0.3">
      <c r="C70">
        <f t="shared" si="17"/>
        <v>85.747471714474841</v>
      </c>
      <c r="D70">
        <f t="shared" si="18"/>
        <v>85.747471714474841</v>
      </c>
      <c r="E70">
        <f t="shared" si="19"/>
        <v>7352.6289054246627</v>
      </c>
      <c r="F70">
        <f t="shared" si="20"/>
        <v>6.5807729635053602E-2</v>
      </c>
      <c r="K70" s="39">
        <v>-5</v>
      </c>
      <c r="L70" s="37">
        <v>1.1845463994180818</v>
      </c>
      <c r="M70" s="37"/>
      <c r="N70" s="37"/>
    </row>
    <row r="71" spans="3:14" x14ac:dyDescent="0.3">
      <c r="C71">
        <f t="shared" si="17"/>
        <v>11.977493166440127</v>
      </c>
      <c r="D71">
        <f t="shared" si="18"/>
        <v>11.977493166440127</v>
      </c>
      <c r="E71">
        <f t="shared" si="19"/>
        <v>143.46034255211993</v>
      </c>
      <c r="F71">
        <f t="shared" si="20"/>
        <v>8.3408726785794748E-3</v>
      </c>
      <c r="K71" s="39">
        <v>-4</v>
      </c>
      <c r="L71" s="37">
        <v>1.229433132739508</v>
      </c>
      <c r="M71" s="37"/>
      <c r="N71" s="37"/>
    </row>
    <row r="72" spans="3:14" x14ac:dyDescent="0.3">
      <c r="C72">
        <f t="shared" si="17"/>
        <v>-26.327791543565581</v>
      </c>
      <c r="D72">
        <f t="shared" si="18"/>
        <v>26.327791543565581</v>
      </c>
      <c r="E72">
        <f t="shared" si="19"/>
        <v>693.15260756144335</v>
      </c>
      <c r="F72">
        <f t="shared" si="20"/>
        <v>1.7873585569290959E-2</v>
      </c>
      <c r="K72" s="39">
        <v>-3</v>
      </c>
      <c r="L72" s="37">
        <v>1.2154241485597557</v>
      </c>
      <c r="M72" s="37"/>
      <c r="N72" s="37"/>
    </row>
    <row r="73" spans="3:14" x14ac:dyDescent="0.3">
      <c r="C73">
        <f t="shared" si="17"/>
        <v>-58.592717442755202</v>
      </c>
      <c r="D73">
        <f t="shared" si="18"/>
        <v>58.592717442755202</v>
      </c>
      <c r="E73">
        <f t="shared" si="19"/>
        <v>3433.1065373265496</v>
      </c>
      <c r="F73">
        <f t="shared" si="20"/>
        <v>4.0325338914490846E-2</v>
      </c>
      <c r="K73" s="39">
        <v>-2</v>
      </c>
      <c r="L73" s="37">
        <v>1.1542537464508436</v>
      </c>
      <c r="M73" s="37"/>
      <c r="N73" s="37"/>
    </row>
    <row r="74" spans="3:14" x14ac:dyDescent="0.3">
      <c r="C74">
        <f t="shared" si="17"/>
        <v>3.2375207326401778</v>
      </c>
      <c r="D74">
        <f t="shared" si="18"/>
        <v>3.2375207326401778</v>
      </c>
      <c r="E74">
        <f t="shared" si="19"/>
        <v>10.481540494274993</v>
      </c>
      <c r="F74">
        <f t="shared" si="20"/>
        <v>2.7671117372992972E-3</v>
      </c>
      <c r="K74" s="39">
        <v>-1</v>
      </c>
      <c r="L74" s="37">
        <v>0.95872549518438277</v>
      </c>
      <c r="M74" s="37"/>
      <c r="N74" s="37"/>
    </row>
    <row r="75" spans="3:14" x14ac:dyDescent="0.3">
      <c r="C75">
        <f t="shared" si="17"/>
        <v>-40.189111447868868</v>
      </c>
      <c r="D75">
        <f t="shared" si="18"/>
        <v>40.189111447868868</v>
      </c>
      <c r="E75">
        <f t="shared" si="19"/>
        <v>1615.1646789692245</v>
      </c>
      <c r="F75">
        <f t="shared" si="20"/>
        <v>3.9285543937310721E-2</v>
      </c>
      <c r="K75" s="39">
        <v>0</v>
      </c>
      <c r="L75" s="37">
        <v>0.80178333836017091</v>
      </c>
      <c r="M75" s="37"/>
      <c r="N75" s="37"/>
    </row>
    <row r="76" spans="3:14" x14ac:dyDescent="0.3">
      <c r="C76">
        <f t="shared" si="17"/>
        <v>-2.2863896800332668</v>
      </c>
      <c r="D76">
        <f t="shared" si="18"/>
        <v>2.2863896800332668</v>
      </c>
      <c r="E76">
        <f t="shared" si="19"/>
        <v>5.2275777689626244</v>
      </c>
      <c r="F76">
        <f t="shared" si="20"/>
        <v>2.4041952471432881E-3</v>
      </c>
    </row>
    <row r="77" spans="3:14" x14ac:dyDescent="0.3">
      <c r="C77">
        <f t="shared" si="17"/>
        <v>24.717380688953995</v>
      </c>
      <c r="D77">
        <f t="shared" si="18"/>
        <v>24.717380688953995</v>
      </c>
      <c r="E77">
        <f t="shared" si="19"/>
        <v>610.9489081226759</v>
      </c>
      <c r="F77">
        <f t="shared" si="20"/>
        <v>2.8707759220620202E-2</v>
      </c>
    </row>
    <row r="78" spans="3:14" x14ac:dyDescent="0.3">
      <c r="C78">
        <f t="shared" si="17"/>
        <v>37.654476471190833</v>
      </c>
      <c r="D78">
        <f t="shared" si="18"/>
        <v>37.654476471190833</v>
      </c>
      <c r="E78">
        <f t="shared" si="19"/>
        <v>1417.8595983194641</v>
      </c>
      <c r="F78">
        <f t="shared" si="20"/>
        <v>4.0143365107879352E-2</v>
      </c>
    </row>
    <row r="79" spans="3:14" x14ac:dyDescent="0.3">
      <c r="C79">
        <f t="shared" si="17"/>
        <v>35.178569229495452</v>
      </c>
      <c r="D79">
        <f t="shared" si="18"/>
        <v>35.178569229495452</v>
      </c>
      <c r="E79">
        <f t="shared" si="19"/>
        <v>1237.5317330344042</v>
      </c>
      <c r="F79">
        <f t="shared" si="20"/>
        <v>3.1720982172673988E-2</v>
      </c>
    </row>
    <row r="80" spans="3:14" x14ac:dyDescent="0.3">
      <c r="C80">
        <f t="shared" si="17"/>
        <v>44.090120146840036</v>
      </c>
      <c r="D80">
        <f t="shared" si="18"/>
        <v>44.090120146840036</v>
      </c>
      <c r="E80">
        <f t="shared" si="19"/>
        <v>1943.9386945627896</v>
      </c>
      <c r="F80">
        <f t="shared" si="20"/>
        <v>3.4607629628602851E-2</v>
      </c>
    </row>
    <row r="81" spans="3:6" x14ac:dyDescent="0.3">
      <c r="C81">
        <f t="shared" si="17"/>
        <v>16.4511296213268</v>
      </c>
      <c r="D81">
        <f t="shared" si="18"/>
        <v>16.4511296213268</v>
      </c>
      <c r="E81">
        <f t="shared" si="19"/>
        <v>270.63966581769603</v>
      </c>
      <c r="F81">
        <f t="shared" si="20"/>
        <v>1.1569008172522363E-2</v>
      </c>
    </row>
    <row r="82" spans="3:6" x14ac:dyDescent="0.3">
      <c r="C82">
        <f t="shared" si="17"/>
        <v>18.689667188243675</v>
      </c>
      <c r="D82">
        <f t="shared" si="18"/>
        <v>18.689667188243675</v>
      </c>
      <c r="E82">
        <f t="shared" si="19"/>
        <v>349.30365960731223</v>
      </c>
      <c r="F82">
        <f t="shared" si="20"/>
        <v>1.2577164998818086E-2</v>
      </c>
    </row>
    <row r="83" spans="3:6" x14ac:dyDescent="0.3">
      <c r="C83">
        <f t="shared" si="17"/>
        <v>18.462238911913573</v>
      </c>
      <c r="D83">
        <f t="shared" si="18"/>
        <v>18.462238911913573</v>
      </c>
      <c r="E83">
        <f t="shared" si="19"/>
        <v>340.8542656405757</v>
      </c>
      <c r="F83">
        <f t="shared" si="20"/>
        <v>1.1872822451391365E-2</v>
      </c>
    </row>
    <row r="84" spans="3:6" x14ac:dyDescent="0.3">
      <c r="C84">
        <f t="shared" si="17"/>
        <v>-29.029922024701364</v>
      </c>
      <c r="D84">
        <f t="shared" si="18"/>
        <v>29.029922024701364</v>
      </c>
      <c r="E84">
        <f t="shared" si="19"/>
        <v>842.73637276024135</v>
      </c>
      <c r="F84">
        <f t="shared" si="20"/>
        <v>1.8098455127619303E-2</v>
      </c>
    </row>
    <row r="85" spans="3:6" x14ac:dyDescent="0.3">
      <c r="C85">
        <f t="shared" si="17"/>
        <v>-76.014556248921281</v>
      </c>
      <c r="D85">
        <f t="shared" si="18"/>
        <v>76.014556248921281</v>
      </c>
      <c r="E85">
        <f t="shared" si="19"/>
        <v>5778.2127617204169</v>
      </c>
      <c r="F85">
        <f t="shared" si="20"/>
        <v>4.7509097655575802E-2</v>
      </c>
    </row>
    <row r="86" spans="3:6" x14ac:dyDescent="0.3">
      <c r="C86">
        <f t="shared" si="17"/>
        <v>-96.761925189674685</v>
      </c>
      <c r="D86">
        <f t="shared" si="18"/>
        <v>96.761925189674685</v>
      </c>
      <c r="E86">
        <f t="shared" si="19"/>
        <v>9362.8701664122</v>
      </c>
      <c r="F86">
        <f t="shared" si="20"/>
        <v>6.8967872551443113E-2</v>
      </c>
    </row>
    <row r="87" spans="3:6" x14ac:dyDescent="0.3">
      <c r="C87">
        <f t="shared" si="17"/>
        <v>-94.560622694313224</v>
      </c>
      <c r="D87">
        <f t="shared" si="18"/>
        <v>94.560622694313224</v>
      </c>
      <c r="E87">
        <f t="shared" si="19"/>
        <v>8941.7113643362645</v>
      </c>
      <c r="F87">
        <f t="shared" si="20"/>
        <v>7.821391455278183E-2</v>
      </c>
    </row>
    <row r="88" spans="3:6" x14ac:dyDescent="0.3">
      <c r="C88">
        <f t="shared" si="17"/>
        <v>35.377138000039622</v>
      </c>
      <c r="D88">
        <f t="shared" si="18"/>
        <v>35.377138000039622</v>
      </c>
      <c r="E88">
        <f t="shared" si="19"/>
        <v>1251.5418930738474</v>
      </c>
      <c r="F88">
        <f t="shared" si="20"/>
        <v>3.4346735922368567E-2</v>
      </c>
    </row>
    <row r="89" spans="3:6" x14ac:dyDescent="0.3">
      <c r="C89">
        <f t="shared" si="17"/>
        <v>-22.861588877015151</v>
      </c>
      <c r="D89">
        <f t="shared" si="18"/>
        <v>22.861588877015151</v>
      </c>
      <c r="E89">
        <f t="shared" si="19"/>
        <v>522.65224598166287</v>
      </c>
      <c r="F89">
        <f t="shared" si="20"/>
        <v>2.2152702400208481E-2</v>
      </c>
    </row>
    <row r="90" spans="3:6" x14ac:dyDescent="0.3">
      <c r="C90">
        <f t="shared" si="17"/>
        <v>0.99438359757527905</v>
      </c>
      <c r="D90">
        <f t="shared" si="18"/>
        <v>0.99438359757527905</v>
      </c>
      <c r="E90">
        <f t="shared" si="19"/>
        <v>0.98879873912675453</v>
      </c>
      <c r="F90">
        <f t="shared" si="20"/>
        <v>8.831115431396794E-4</v>
      </c>
    </row>
    <row r="91" spans="3:6" x14ac:dyDescent="0.3">
      <c r="C91">
        <f t="shared" si="17"/>
        <v>43.489743764379455</v>
      </c>
      <c r="D91">
        <f t="shared" si="18"/>
        <v>43.489743764379455</v>
      </c>
      <c r="E91">
        <f t="shared" si="19"/>
        <v>1891.3578126913817</v>
      </c>
      <c r="F91">
        <f t="shared" si="20"/>
        <v>3.3844158571501519E-2</v>
      </c>
    </row>
    <row r="92" spans="3:6" x14ac:dyDescent="0.3">
      <c r="C92">
        <f t="shared" si="17"/>
        <v>65.878850662179275</v>
      </c>
      <c r="D92">
        <f t="shared" si="18"/>
        <v>65.878850662179275</v>
      </c>
      <c r="E92">
        <f t="shared" si="19"/>
        <v>4340.0229645697191</v>
      </c>
      <c r="F92">
        <f t="shared" si="20"/>
        <v>4.487660126851449E-2</v>
      </c>
    </row>
    <row r="93" spans="3:6" x14ac:dyDescent="0.3">
      <c r="C93">
        <f t="shared" si="17"/>
        <v>41.723295160991029</v>
      </c>
      <c r="D93">
        <f t="shared" si="18"/>
        <v>41.723295160991029</v>
      </c>
      <c r="E93">
        <f t="shared" si="19"/>
        <v>1740.8333590911775</v>
      </c>
      <c r="F93">
        <f t="shared" si="20"/>
        <v>2.5487657398284073E-2</v>
      </c>
    </row>
    <row r="94" spans="3:6" x14ac:dyDescent="0.3">
      <c r="C94">
        <f t="shared" si="17"/>
        <v>124.16420138425997</v>
      </c>
      <c r="D94">
        <f t="shared" si="18"/>
        <v>124.16420138425997</v>
      </c>
      <c r="E94">
        <f t="shared" si="19"/>
        <v>15416.748905391065</v>
      </c>
      <c r="F94">
        <f t="shared" si="20"/>
        <v>7.7072750704071991E-2</v>
      </c>
    </row>
    <row r="95" spans="3:6" x14ac:dyDescent="0.3">
      <c r="C95">
        <f t="shared" si="17"/>
        <v>169.9718255201285</v>
      </c>
      <c r="D95">
        <f t="shared" si="18"/>
        <v>169.9718255201285</v>
      </c>
      <c r="E95">
        <f t="shared" si="19"/>
        <v>28890.421470645008</v>
      </c>
      <c r="F95">
        <f t="shared" si="20"/>
        <v>0.10570387159211972</v>
      </c>
    </row>
    <row r="96" spans="3:6" x14ac:dyDescent="0.3">
      <c r="C96">
        <f t="shared" si="17"/>
        <v>192.95619746544935</v>
      </c>
      <c r="D96">
        <f t="shared" si="18"/>
        <v>192.95619746544935</v>
      </c>
      <c r="E96">
        <f t="shared" si="19"/>
        <v>37232.094140325484</v>
      </c>
      <c r="F96">
        <f t="shared" si="20"/>
        <v>0.12628023394335691</v>
      </c>
    </row>
    <row r="97" spans="3:6" x14ac:dyDescent="0.3">
      <c r="C97">
        <f t="shared" si="17"/>
        <v>171.6762591456561</v>
      </c>
      <c r="D97">
        <f t="shared" si="18"/>
        <v>171.6762591456561</v>
      </c>
      <c r="E97">
        <f t="shared" si="19"/>
        <v>29472.73795424647</v>
      </c>
      <c r="F97">
        <f t="shared" si="20"/>
        <v>0.1208987740462367</v>
      </c>
    </row>
    <row r="98" spans="3:6" x14ac:dyDescent="0.3">
      <c r="C98">
        <f t="shared" si="17"/>
        <v>162.27787031499611</v>
      </c>
      <c r="D98">
        <f t="shared" si="18"/>
        <v>162.27787031499611</v>
      </c>
      <c r="E98">
        <f t="shared" si="19"/>
        <v>26334.107193970696</v>
      </c>
      <c r="F98">
        <f t="shared" si="20"/>
        <v>0.14502043817247195</v>
      </c>
    </row>
    <row r="99" spans="3:6" x14ac:dyDescent="0.3">
      <c r="C99">
        <f t="shared" si="17"/>
        <v>30.507607689866063</v>
      </c>
      <c r="D99">
        <f t="shared" si="18"/>
        <v>30.507607689866063</v>
      </c>
      <c r="E99">
        <f t="shared" si="19"/>
        <v>930.71412695877495</v>
      </c>
      <c r="F99">
        <f t="shared" si="20"/>
        <v>3.0116098410529184E-2</v>
      </c>
    </row>
  </sheetData>
  <mergeCells count="4">
    <mergeCell ref="C26:C37"/>
    <mergeCell ref="C38:C49"/>
    <mergeCell ref="C50:C61"/>
    <mergeCell ref="H14:H2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D730F-F289-43FB-8DAB-8CC1E1FEA45D}">
  <dimension ref="A1"/>
  <sheetViews>
    <sheetView zoomScale="69" workbookViewId="0">
      <selection activeCell="E5" sqref="E5"/>
    </sheetView>
  </sheetViews>
  <sheetFormatPr defaultRowHeight="14.4" x14ac:dyDescent="0.3"/>
  <cols>
    <col min="1" max="1" width="76.6640625" customWidth="1"/>
  </cols>
  <sheetData>
    <row r="1" spans="1:1" ht="164.4" customHeight="1" x14ac:dyDescent="0.3">
      <c r="A1" s="4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2 MA</vt:lpstr>
      <vt:lpstr>Question 3 ES</vt:lpstr>
      <vt:lpstr>Question 4 Linear Regression</vt:lpstr>
      <vt:lpstr>Question 5 Holt</vt:lpstr>
      <vt:lpstr>Question 6 Winters</vt:lpstr>
      <vt:lpstr>Question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Areebah Iqbal</dc:creator>
  <cp:lastModifiedBy>Areebah Iqbal</cp:lastModifiedBy>
  <dcterms:created xsi:type="dcterms:W3CDTF">2023-03-07T16:40:16Z</dcterms:created>
  <dcterms:modified xsi:type="dcterms:W3CDTF">2023-03-14T02:50:59Z</dcterms:modified>
</cp:coreProperties>
</file>